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I9"/>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N76" i="14"/>
  <c r="N8" i="59" s="1"/>
  <c r="L76" i="14"/>
  <c r="K76"/>
  <c r="K8" i="59" s="1"/>
  <c r="K10" s="1"/>
  <c r="H76" i="14"/>
  <c r="H8" i="59" s="1"/>
  <c r="G76" i="14"/>
  <c r="G8" i="59" s="1"/>
  <c r="E76" i="14"/>
  <c r="E8" i="59" s="1"/>
  <c r="B75" i="14"/>
  <c r="B7" i="59" s="1"/>
  <c r="B73" i="14"/>
  <c r="B5" i="59" s="1"/>
  <c r="Q54" i="14"/>
  <c r="Q56" s="1"/>
  <c r="P54"/>
  <c r="P56" s="1"/>
  <c r="L54"/>
  <c r="L56" s="1"/>
  <c r="J54"/>
  <c r="I54"/>
  <c r="H54"/>
  <c r="H56" s="1"/>
  <c r="Q24"/>
  <c r="Q26" s="1"/>
  <c r="P24"/>
  <c r="P26" s="1"/>
  <c r="N24"/>
  <c r="N26" s="1"/>
  <c r="L24"/>
  <c r="L26" s="1"/>
  <c r="J24"/>
  <c r="J26" s="1"/>
  <c r="I24"/>
  <c r="I26" s="1"/>
  <c r="H24"/>
  <c r="Q50"/>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Q52"/>
  <c r="P52"/>
  <c r="R44"/>
  <c r="E25"/>
  <c r="E55" s="1"/>
  <c r="C25"/>
  <c r="B14" i="48" s="1"/>
  <c r="H26" i="14"/>
  <c r="J22"/>
  <c r="G22"/>
  <c r="L8" i="59" l="1"/>
  <c r="L10" s="1"/>
  <c r="L78" i="14"/>
  <c r="N77"/>
  <c r="K10" i="18"/>
  <c r="L90" i="14"/>
  <c r="L18" i="59"/>
  <c r="L20" s="1"/>
  <c r="C98" i="18"/>
  <c r="D101" s="1"/>
  <c r="B8"/>
  <c r="B10" s="1"/>
  <c r="G20" i="59"/>
  <c r="K20"/>
  <c r="P22" i="14"/>
  <c r="K20" i="18"/>
  <c r="H90" i="14"/>
  <c r="H18" i="59"/>
  <c r="H20" s="1"/>
  <c r="D14" i="48"/>
  <c r="K78" i="14"/>
  <c r="B20" i="18"/>
  <c r="M77" i="14"/>
  <c r="M9" i="59" s="1"/>
  <c r="H9" i="18"/>
  <c r="O9" s="1"/>
  <c r="Q22" i="14"/>
  <c r="D22"/>
  <c r="L22"/>
  <c r="E10" i="59"/>
  <c r="F13" i="15"/>
  <c r="G77" i="14"/>
  <c r="G9" i="59" s="1"/>
  <c r="G10" s="1"/>
  <c r="P28" i="48"/>
  <c r="I77" i="14"/>
  <c r="I9" i="59" s="1"/>
  <c r="O10"/>
  <c r="B98" i="18"/>
  <c r="F102" s="1"/>
  <c r="B13" i="15"/>
  <c r="N13"/>
  <c r="L13"/>
  <c r="F77" i="14"/>
  <c r="F9" i="59" s="1"/>
  <c r="G101" i="18"/>
  <c r="C101"/>
  <c r="B101"/>
  <c r="C8" s="1"/>
  <c r="I102"/>
  <c r="H17" s="1"/>
  <c r="E102"/>
  <c r="E17" s="1"/>
  <c r="H102"/>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H78" l="1"/>
  <c r="H9" i="59"/>
  <c r="H10" s="1"/>
  <c r="Q14" i="48"/>
  <c r="N78" i="14"/>
  <c r="N9" i="59"/>
  <c r="N10" s="1"/>
  <c r="O90" i="14"/>
  <c r="O18" i="59"/>
  <c r="O20" s="1"/>
  <c r="N90" i="14"/>
  <c r="N18" i="59"/>
  <c r="N20" s="1"/>
  <c r="I101" i="18"/>
  <c r="H8" s="1"/>
  <c r="M76" i="14" s="1"/>
  <c r="E101" i="18"/>
  <c r="E8" s="1"/>
  <c r="Q77" i="14"/>
  <c r="P9" i="59" s="1"/>
  <c r="F101" i="18"/>
  <c r="I8" s="1"/>
  <c r="C102"/>
  <c r="J17" s="1"/>
  <c r="H101"/>
  <c r="J8" s="1"/>
  <c r="C77" i="14"/>
  <c r="C9" i="59" s="1"/>
  <c r="H20" i="18"/>
  <c r="M87" i="14"/>
  <c r="F76"/>
  <c r="E10" i="18"/>
  <c r="C20"/>
  <c r="D87" i="14"/>
  <c r="D17" i="59" s="1"/>
  <c r="D20" s="1"/>
  <c r="H10" i="18"/>
  <c r="B88" i="14"/>
  <c r="B18" i="59" s="1"/>
  <c r="I17" i="18"/>
  <c r="D76" i="14"/>
  <c r="D8" i="59" s="1"/>
  <c r="D10" s="1"/>
  <c r="C10" i="18"/>
  <c r="C88" i="14"/>
  <c r="C18" i="59" s="1"/>
  <c r="B77" i="14"/>
  <c r="B9" i="59" s="1"/>
  <c r="E20" i="18"/>
  <c r="F87" i="14"/>
  <c r="Q88"/>
  <c r="P18" i="59" s="1"/>
  <c r="H14" i="15"/>
  <c r="H16" s="1"/>
  <c r="G14"/>
  <c r="G16" s="1"/>
  <c r="M78" i="14" l="1"/>
  <c r="M8" i="59"/>
  <c r="M10" s="1"/>
  <c r="I76" i="14"/>
  <c r="I8" i="59" s="1"/>
  <c r="I10" s="1"/>
  <c r="I10" i="18"/>
  <c r="J20"/>
  <c r="J87" i="14"/>
  <c r="O8" i="18"/>
  <c r="O10" s="1"/>
  <c r="O17"/>
  <c r="O20" s="1"/>
  <c r="M90" i="14"/>
  <c r="M17" i="59"/>
  <c r="M20" s="1"/>
  <c r="F78" i="14"/>
  <c r="F8" i="59"/>
  <c r="F10" s="1"/>
  <c r="H5" i="48"/>
  <c r="I10" i="14"/>
  <c r="I16" s="1"/>
  <c r="F90"/>
  <c r="F17" i="59"/>
  <c r="F20" s="1"/>
  <c r="H10" i="14"/>
  <c r="H16" s="1"/>
  <c r="G5" i="48"/>
  <c r="Q76" i="14"/>
  <c r="D78"/>
  <c r="J10" i="18"/>
  <c r="J76" i="14"/>
  <c r="I87"/>
  <c r="I17" i="59" s="1"/>
  <c r="I20" s="1"/>
  <c r="I20" i="18"/>
  <c r="Q87" i="14"/>
  <c r="D90"/>
  <c r="A31" i="23"/>
  <c r="A32"/>
  <c r="A33"/>
  <c r="J78" i="14" l="1"/>
  <c r="J8" i="59"/>
  <c r="J10" s="1"/>
  <c r="Q90" i="14"/>
  <c r="B17" i="6" s="1"/>
  <c r="P17" i="59"/>
  <c r="P20" s="1"/>
  <c r="Q78" i="14"/>
  <c r="B9" i="6" s="1"/>
  <c r="P8" i="59"/>
  <c r="P10" s="1"/>
  <c r="J90" i="14"/>
  <c r="J17" i="59"/>
  <c r="J20" s="1"/>
  <c r="C87" i="14"/>
  <c r="I78"/>
  <c r="B76"/>
  <c r="B87"/>
  <c r="I90"/>
  <c r="C76"/>
  <c r="B11" i="44"/>
  <c r="B25"/>
  <c r="B24"/>
  <c r="C78" i="14" l="1"/>
  <c r="C8" i="59"/>
  <c r="C10" s="1"/>
  <c r="C90" i="14"/>
  <c r="C17" i="59"/>
  <c r="C20" s="1"/>
  <c r="B78" i="14"/>
  <c r="B8" i="59"/>
  <c r="B10" s="1"/>
  <c r="B90" i="14"/>
  <c r="B17" i="59"/>
  <c r="B20" s="1"/>
  <c r="A6" i="23"/>
  <c r="A5"/>
  <c r="B4" i="6" l="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F16"/>
  <c r="N16"/>
  <c r="D16"/>
  <c r="L18"/>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31"/>
  <c r="K26"/>
  <c r="K24"/>
  <c r="K29"/>
  <c r="K25"/>
  <c r="K22"/>
  <c r="K27"/>
  <c r="K30"/>
  <c r="B7"/>
  <c r="C24" i="14"/>
  <c r="C26" s="1"/>
  <c r="J24" i="48"/>
  <c r="J32"/>
  <c r="J30"/>
  <c r="J27"/>
  <c r="J29"/>
  <c r="J28"/>
  <c r="J31"/>
  <c r="Q11" i="14"/>
  <c r="P4" i="48"/>
  <c r="P11" i="14"/>
  <c r="O4" i="48"/>
  <c r="I32"/>
  <c r="I28"/>
  <c r="I22"/>
  <c r="I25"/>
  <c r="I24"/>
  <c r="I31"/>
  <c r="I26"/>
  <c r="I29"/>
  <c r="I30"/>
  <c r="I27"/>
  <c r="E11" i="14"/>
  <c r="D4" i="48"/>
  <c r="D22" s="1"/>
  <c r="H32"/>
  <c r="H29"/>
  <c r="H28"/>
  <c r="H26"/>
  <c r="H25"/>
  <c r="H22"/>
  <c r="H30"/>
  <c r="H24"/>
  <c r="H23"/>
  <c r="C4"/>
  <c r="D11" i="14"/>
  <c r="G25" i="48"/>
  <c r="G24"/>
  <c r="G29"/>
  <c r="G26"/>
  <c r="G32"/>
  <c r="G22"/>
  <c r="G30"/>
  <c r="G23"/>
  <c r="N46" i="14"/>
  <c r="C11"/>
  <c r="B4" i="48"/>
  <c r="F24"/>
  <c r="F32"/>
  <c r="F29"/>
  <c r="F30"/>
  <c r="F27"/>
  <c r="F28"/>
  <c r="F31"/>
  <c r="N27"/>
  <c r="N31"/>
  <c r="N24"/>
  <c r="N32"/>
  <c r="N30"/>
  <c r="N29"/>
  <c r="N28"/>
  <c r="C19" i="14"/>
  <c r="B10" i="48"/>
  <c r="E32"/>
  <c r="E31"/>
  <c r="E24"/>
  <c r="E29"/>
  <c r="E30"/>
  <c r="E28"/>
  <c r="M26"/>
  <c r="M25"/>
  <c r="M32"/>
  <c r="M29"/>
  <c r="M22"/>
  <c r="M30"/>
  <c r="M24"/>
  <c r="M23"/>
  <c r="L10" i="14"/>
  <c r="L16" s="1"/>
  <c r="L27" s="1"/>
  <c r="K5" i="48"/>
  <c r="D30"/>
  <c r="D29"/>
  <c r="D31"/>
  <c r="D24"/>
  <c r="D28"/>
  <c r="D32"/>
  <c r="L32"/>
  <c r="L29"/>
  <c r="L28"/>
  <c r="L27"/>
  <c r="L22"/>
  <c r="L30"/>
  <c r="L31"/>
  <c r="L24"/>
  <c r="Q10" i="14"/>
  <c r="P5" i="48"/>
  <c r="P23" s="1"/>
  <c r="B8" i="9"/>
  <c r="B6" i="48" s="1"/>
  <c r="Q6"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P15" i="48"/>
  <c r="P22"/>
  <c r="E20" i="14"/>
  <c r="E22" s="1"/>
  <c r="D9" i="48"/>
  <c r="D27" s="1"/>
  <c r="P10" i="14"/>
  <c r="O5" i="48"/>
  <c r="O23" s="1"/>
  <c r="K24" i="14"/>
  <c r="K26" s="1"/>
  <c r="J7" i="48"/>
  <c r="J25" s="1"/>
  <c r="C20" i="14"/>
  <c r="B9" i="48"/>
  <c r="O22"/>
  <c r="D10" i="14"/>
  <c r="J12" i="17"/>
  <c r="K54" i="14" s="1"/>
  <c r="K56" s="1"/>
  <c r="L46"/>
  <c r="L61" s="1"/>
  <c r="G13" i="48"/>
  <c r="H18" i="14"/>
  <c r="R18" s="1"/>
  <c r="H13" i="48"/>
  <c r="H31" s="1"/>
  <c r="I18" i="14"/>
  <c r="P22" i="16"/>
  <c r="Q43" i="14" s="1"/>
  <c r="Q13"/>
  <c r="P8" i="48"/>
  <c r="P26" s="1"/>
  <c r="C22" i="14"/>
  <c r="I5" i="48"/>
  <c r="J10" i="14"/>
  <c r="J16" s="1"/>
  <c r="J27" s="1"/>
  <c r="K23" i="48"/>
  <c r="K33" s="1"/>
  <c r="K15"/>
  <c r="F20" i="14"/>
  <c r="F22" s="1"/>
  <c r="E9" i="48"/>
  <c r="E27" s="1"/>
  <c r="G11" i="14"/>
  <c r="F4" i="48"/>
  <c r="F22" s="1"/>
  <c r="Q16" i="14"/>
  <c r="Q27" s="1"/>
  <c r="L63"/>
  <c r="J63"/>
  <c r="C7" i="48"/>
  <c r="D24" i="14"/>
  <c r="D26" s="1"/>
  <c r="C8" i="48"/>
  <c r="D13" i="14"/>
  <c r="E26"/>
  <c r="D25" i="48"/>
  <c r="M10" i="14"/>
  <c r="L5" i="48"/>
  <c r="E10" i="14"/>
  <c r="D5" i="48"/>
  <c r="B34" i="13"/>
  <c r="B46" s="1"/>
  <c r="E5" s="1"/>
  <c r="E8" s="1"/>
  <c r="N8" i="17"/>
  <c r="B35" i="13"/>
  <c r="B47" s="1"/>
  <c r="O18" i="16"/>
  <c r="B36" i="13"/>
  <c r="G31" i="20"/>
  <c r="H48" i="14" s="1"/>
  <c r="G12" i="22"/>
  <c r="D18" i="16"/>
  <c r="E8" i="17"/>
  <c r="H12" i="22"/>
  <c r="L8" i="17"/>
  <c r="M50" i="22"/>
  <c r="M54" s="1"/>
  <c r="G51"/>
  <c r="G50" s="1"/>
  <c r="G54" s="1"/>
  <c r="F12" i="17"/>
  <c r="G54" i="14" s="1"/>
  <c r="G56" s="1"/>
  <c r="D20" i="15"/>
  <c r="E40" i="14" s="1"/>
  <c r="M31" i="20"/>
  <c r="N48" i="14" s="1"/>
  <c r="H31" i="20"/>
  <c r="I48" i="14" s="1"/>
  <c r="M5" i="22"/>
  <c r="M14" s="1"/>
  <c r="G5"/>
  <c r="H5"/>
  <c r="E5" i="15"/>
  <c r="O20"/>
  <c r="P40" i="14" s="1"/>
  <c r="P20" i="15"/>
  <c r="Q40" i="14" s="1"/>
  <c r="Q46" s="1"/>
  <c r="Q61" s="1"/>
  <c r="J5" i="15"/>
  <c r="F5"/>
  <c r="F16" s="1"/>
  <c r="B5"/>
  <c r="B16" s="1"/>
  <c r="B5" i="16"/>
  <c r="B18" s="1"/>
  <c r="N5" i="15"/>
  <c r="N16" s="1"/>
  <c r="F12" i="13"/>
  <c r="G41" i="14" s="1"/>
  <c r="F13" i="16"/>
  <c r="E13"/>
  <c r="N13"/>
  <c r="J13"/>
  <c r="N12"/>
  <c r="J12"/>
  <c r="F12"/>
  <c r="E12"/>
  <c r="B48" i="13"/>
  <c r="C48" s="1"/>
  <c r="N5" s="1"/>
  <c r="N8" s="1"/>
  <c r="C50"/>
  <c r="J5" s="1"/>
  <c r="J8" s="1"/>
  <c r="E12" l="1"/>
  <c r="F41" i="14" s="1"/>
  <c r="F11"/>
  <c r="E4" i="48"/>
  <c r="O11" i="14"/>
  <c r="N4" i="48"/>
  <c r="N22" s="1"/>
  <c r="J4"/>
  <c r="K11" i="14"/>
  <c r="Q13" i="48"/>
  <c r="G31"/>
  <c r="E7"/>
  <c r="E25" s="1"/>
  <c r="F24" i="14"/>
  <c r="F26" s="1"/>
  <c r="I23" i="48"/>
  <c r="I33" s="1"/>
  <c r="I15"/>
  <c r="N20" i="14"/>
  <c r="M9" i="48"/>
  <c r="N19" i="14"/>
  <c r="N22" s="1"/>
  <c r="N27" s="1"/>
  <c r="M10" i="48"/>
  <c r="M28" s="1"/>
  <c r="O22" i="16"/>
  <c r="P43" i="14" s="1"/>
  <c r="P13"/>
  <c r="O8" i="48"/>
  <c r="N52" i="14"/>
  <c r="N61" s="1"/>
  <c r="P16"/>
  <c r="P27" s="1"/>
  <c r="G14" i="22"/>
  <c r="G10" i="48"/>
  <c r="H19" i="14"/>
  <c r="R19" s="1"/>
  <c r="Q63"/>
  <c r="P46"/>
  <c r="P61" s="1"/>
  <c r="P33"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J22" i="48"/>
  <c r="H9"/>
  <c r="I20" i="14"/>
  <c r="I22" s="1"/>
  <c r="I27" s="1"/>
  <c r="I63" s="1"/>
  <c r="G9" i="48"/>
  <c r="H20" i="14"/>
  <c r="E22" i="48"/>
  <c r="Q4"/>
  <c r="R11" i="14"/>
  <c r="G28" i="48"/>
  <c r="Q10"/>
  <c r="O26"/>
  <c r="O33" s="1"/>
  <c r="O15"/>
  <c r="K10" i="14"/>
  <c r="J5" i="48"/>
  <c r="J23" s="1"/>
  <c r="M27"/>
  <c r="M33" s="1"/>
  <c r="M15"/>
  <c r="F10" i="14"/>
  <c r="E5" i="48"/>
  <c r="E23" s="1"/>
  <c r="N63" i="14"/>
  <c r="P63"/>
  <c r="L25" i="48"/>
  <c r="Q7"/>
  <c r="M26" i="14"/>
  <c r="R24"/>
  <c r="R26" s="1"/>
  <c r="E20" i="15"/>
  <c r="F40" i="14" s="1"/>
  <c r="F18" i="16"/>
  <c r="F22" s="1"/>
  <c r="G43" i="14" s="1"/>
  <c r="J18" i="16"/>
  <c r="E18"/>
  <c r="J20" i="15"/>
  <c r="K40" i="14" s="1"/>
  <c r="N18" i="16"/>
  <c r="N22" s="1"/>
  <c r="O43" i="14" s="1"/>
  <c r="G18" i="22"/>
  <c r="H50" i="14" s="1"/>
  <c r="E22" i="16"/>
  <c r="F43" i="14" s="1"/>
  <c r="H18" i="22"/>
  <c r="I50" i="14" s="1"/>
  <c r="I52" s="1"/>
  <c r="I61" s="1"/>
  <c r="G27" i="48" l="1"/>
  <c r="G33" s="1"/>
  <c r="G15"/>
  <c r="Q9"/>
  <c r="E15"/>
  <c r="E33"/>
  <c r="H27"/>
  <c r="H33" s="1"/>
  <c r="H15"/>
  <c r="F46" i="14"/>
  <c r="F61" s="1"/>
  <c r="J22" i="16"/>
  <c r="K43" i="14" s="1"/>
  <c r="K46" s="1"/>
  <c r="K61" s="1"/>
  <c r="K63" s="1"/>
  <c r="J8" i="48"/>
  <c r="J26" s="1"/>
  <c r="J33" s="1"/>
  <c r="K13" i="14"/>
  <c r="K16" s="1"/>
  <c r="K27" s="1"/>
  <c r="F13"/>
  <c r="F16" s="1"/>
  <c r="F27" s="1"/>
  <c r="E8" i="48"/>
  <c r="E26" s="1"/>
  <c r="H22" i="14"/>
  <c r="H27" s="1"/>
  <c r="H63" s="1"/>
  <c r="R20"/>
  <c r="R22" s="1"/>
  <c r="O13"/>
  <c r="N8" i="48"/>
  <c r="N26" s="1"/>
  <c r="F8"/>
  <c r="G13" i="14"/>
  <c r="R13" s="1"/>
  <c r="J15" i="48" l="1"/>
  <c r="F6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<sst xmlns="http://schemas.openxmlformats.org/spreadsheetml/2006/main" count="2419" uniqueCount="907">
  <si>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</si>
  <si>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</si>
  <si>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</si>
  <si>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</si>
  <si>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</si>
  <si>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</si>
  <si>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</si>
  <si>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</si>
  <si>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</si>
  <si>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</si>
  <si>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</si>
  <si>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</si>
  <si>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</si>
  <si>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</si>
  <si>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</si>
  <si>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</si>
  <si>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</si>
  <si>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</si>
  <si>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</si>
  <si>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</si>
  <si>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</si>
  <si>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</si>
  <si>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</si>
  <si>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</si>
  <si>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</si>
  <si>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</si>
  <si>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</si>
  <si>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</si>
  <si>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</si>
  <si>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</si>
  <si>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</si>
  <si>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</si>
  <si>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</si>
  <si>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</si>
  <si>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</si>
  <si>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</si>
  <si>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</si>
  <si>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</si>
  <si>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</si>
  <si>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</si>
  <si>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</si>
  <si>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</si>
  <si>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</si>
  <si>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</si>
  <si>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</si>
  <si>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</si>
  <si>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</si>
  <si>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</si>
  <si>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</si>
  <si>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</si>
  <si>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</si>
  <si>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</si>
  <si>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</si>
  <si>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</si>
  <si>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</si>
  <si>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</si>
  <si>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</si>
  <si>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</si>
  <si>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</si>
  <si>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</si>
  <si>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</si>
  <si>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</si>
  <si>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</si>
  <si>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</si>
  <si>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</si>
  <si>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</si>
  <si>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</si>
  <si>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</si>
  <si>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</si>
  <si>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</si>
  <si>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</si>
  <si>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</si>
  <si>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</si>
  <si>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</si>
  <si>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</si>
  <si>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</si>
  <si>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</si>
  <si>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</si>
  <si>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</si>
  <si>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</si>
  <si>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</si>
  <si>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</si>
  <si>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</si>
  <si>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</si>
  <si>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</si>
  <si>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</si>
  <si>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</si>
  <si>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</si>
  <si>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</si>
  <si>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</si>
  <si>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</si>
  <si>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</si>
  <si>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</si>
  <si>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</si>
  <si>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</si>
  <si>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</si>
  <si>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</si>
  <si>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</si>
  <si>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</si>
  <si>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</si>
  <si>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</si>
  <si>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</si>
  <si>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</si>
  <si>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</si>
  <si>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</si>
  <si>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</si>
  <si>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</si>
  <si>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</si>
  <si>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</si>
  <si>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</si>
  <si>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</si>
  <si>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</si>
  <si>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</si>
  <si>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</si>
  <si>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</si>
  <si>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</si>
  <si>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</si>
  <si>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</si>
  <si>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</si>
  <si>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</si>
  <si>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</si>
  <si>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</si>
  <si>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</si>
  <si>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</si>
  <si>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</si>
  <si>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</si>
  <si>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</si>
  <si>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</si>
  <si>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</si>
  <si>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</si>
  <si>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</si>
  <si>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</si>
  <si>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</si>
  <si>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</si>
  <si>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</si>
  <si>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</si>
  <si>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</si>
  <si>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</si>
  <si>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</si>
  <si>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</si>
  <si>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</si>
  <si>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</si>
  <si>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</si>
  <si>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</si>
  <si>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</si>
  <si>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</si>
  <si>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</si>
  <si>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</si>
  <si>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</si>
  <si>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</si>
  <si>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</si>
  <si>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</si>
  <si>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</si>
  <si>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</si>
  <si>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</si>
  <si>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</si>
  <si>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</si>
  <si>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</si>
  <si>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</si>
  <si>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</si>
  <si>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</si>
  <si>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</si>
  <si>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</si>
  <si>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</si>
  <si>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</si>
  <si>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</si>
  <si>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</si>
  <si>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</si>
  <si>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</si>
  <si>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</si>
  <si>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</si>
  <si>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</si>
  <si>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</si>
  <si>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</si>
  <si>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</si>
  <si>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</si>
  <si>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</si>
  <si>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</si>
  <si>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</si>
  <si>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</si>
  <si>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</si>
  <si>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</si>
  <si>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</si>
  <si>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</si>
  <si>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</si>
  <si>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</si>
  <si>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</si>
  <si>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</si>
  <si>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</si>
  <si>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</si>
  <si>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</si>
  <si>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</si>
  <si>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</si>
  <si>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</si>
  <si>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</si>
  <si>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</si>
  <si>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</si>
  <si>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</si>
  <si>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</si>
  <si>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</si>
  <si>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</si>
  <si>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</si>
  <si>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</si>
  <si>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</si>
  <si>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</si>
  <si>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</si>
  <si>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</si>
  <si>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</si>
  <si>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</si>
  <si>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</si>
  <si>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</si>
  <si>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</si>
  <si>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</si>
  <si>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</si>
  <si>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</si>
  <si>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</si>
  <si>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</si>
  <si>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</si>
  <si>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</si>
  <si>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</si>
  <si>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</si>
  <si>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</si>
  <si>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</si>
  <si>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</si>
  <si>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</si>
  <si>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</si>
  <si>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</si>
  <si>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</si>
  <si>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</si>
  <si>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</si>
  <si>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</si>
  <si>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</si>
  <si>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</si>
  <si>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</si>
  <si>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</si>
  <si>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</si>
  <si>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</si>
  <si>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</si>
  <si>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</si>
  <si>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</si>
  <si>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</si>
  <si>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</si>
  <si>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</si>
  <si>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</si>
  <si>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</si>
  <si>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</si>
  <si>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</si>
  <si>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</si>
  <si>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</si>
  <si>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</si>
  <si>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</si>
  <si>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</si>
  <si>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</si>
  <si>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</si>
  <si>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</si>
  <si>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</si>
  <si>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</si>
  <si>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</si>
  <si>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</si>
  <si>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</si>
  <si>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</si>
  <si>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</si>
  <si>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</si>
  <si>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</si>
  <si>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</si>
  <si>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</si>
  <si>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</si>
  <si>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</si>
  <si>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</si>
  <si>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</si>
  <si>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</si>
  <si>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</si>
  <si>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</si>
  <si>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</si>
  <si>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</si>
  <si>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</si>
  <si>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</si>
  <si>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</si>
  <si>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</si>
  <si>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</si>
  <si>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</si>
  <si>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</si>
  <si>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</si>
  <si>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</si>
  <si>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</si>
  <si>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</si>
  <si>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</si>
  <si>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</si>
  <si>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</si>
  <si>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</si>
  <si>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</si>
  <si>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</si>
  <si>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</si>
  <si>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</si>
  <si>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</si>
  <si>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</si>
  <si>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</si>
  <si>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</si>
  <si>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</si>
  <si>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</si>
  <si>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</si>
  <si>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</si>
  <si>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</si>
  <si>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</si>
  <si>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</si>
  <si>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</si>
  <si>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</si>
  <si>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</si>
  <si>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</si>
  <si>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</si>
  <si>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</si>
  <si>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</si>
  <si>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</si>
  <si>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</si>
  <si>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</si>
  <si>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</si>
  <si>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</si>
  <si>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</si>
  <si>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</si>
  <si>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</si>
  <si>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</si>
  <si>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</si>
  <si>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</si>
  <si>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</si>
  <si>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</si>
  <si>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</si>
  <si>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</si>
  <si>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</si>
  <si>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</si>
  <si>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</si>
  <si>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</si>
  <si>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</si>
  <si>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</si>
  <si>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</si>
  <si>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</si>
  <si>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</si>
  <si>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</si>
  <si>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</si>
  <si>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</si>
  <si>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</si>
  <si>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</si>
  <si>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</si>
  <si>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</si>
  <si>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</si>
  <si>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</si>
  <si>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</si>
  <si>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</si>
  <si>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</si>
  <si>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</si>
  <si>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</si>
  <si>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</si>
  <si>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</si>
  <si>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</si>
  <si>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</si>
  <si>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</si>
  <si>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</si>
  <si>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</si>
  <si>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</si>
  <si>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</si>
  <si>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</si>
  <si>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</si>
  <si>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</si>
  <si>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</si>
  <si>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</si>
  <si>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</si>
  <si>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</si>
  <si>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</si>
  <si>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</si>
  <si>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</si>
  <si>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</si>
  <si>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</si>
  <si>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</si>
  <si>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</si>
  <si>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</si>
  <si>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</si>
  <si>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</si>
  <si>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</si>
  <si>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</si>
  <si>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</si>
  <si>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</si>
  <si>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</si>
  <si>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</si>
  <si>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</si>
  <si>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</si>
  <si>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</si>
  <si>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</si>
  <si>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</si>
  <si>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</si>
  <si>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</si>
  <si>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</si>
  <si>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</si>
  <si>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</si>
  <si>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</si>
  <si>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</si>
  <si>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</si>
  <si>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</si>
  <si>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</si>
  <si>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</si>
  <si>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</si>
  <si>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</si>
  <si>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</si>
  <si>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</si>
  <si>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</si>
  <si>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</si>
  <si>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</si>
  <si>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</si>
  <si>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</si>
  <si>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</si>
  <si>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</si>
  <si>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</si>
  <si>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</si>
  <si>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</si>
  <si>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</si>
  <si>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</si>
  <si>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</si>
  <si>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</si>
  <si>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</si>
  <si>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</si>
  <si>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</si>
  <si>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</si>
  <si>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</si>
  <si>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</si>
  <si>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</si>
  <si>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</si>
  <si>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</si>
  <si>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</si>
  <si>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</si>
  <si>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</si>
  <si>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</si>
  <si>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</si>
  <si>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</si>
  <si>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</si>
  <si>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</si>
  <si>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</si>
  <si>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</si>
  <si>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</si>
  <si>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</si>
  <si>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</si>
  <si>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</si>
  <si>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</si>
  <si>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</si>
  <si>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</si>
  <si>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</si>
  <si>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</si>
  <si>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</si>
  <si>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</si>
  <si>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</si>
  <si>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</si>
  <si>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</si>
  <si>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</si>
  <si>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</si>
  <si>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</si>
  <si>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</si>
  <si>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</si>
  <si>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</si>
  <si>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</si>
  <si>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</si>
  <si>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</si>
  <si>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</si>
  <si>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</si>
  <si>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</si>
  <si>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</si>
  <si>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</si>
  <si>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</si>
  <si>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</si>
  <si>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</si>
  <si>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</si>
  <si>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</si>
  <si>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</si>
  <si>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</si>
  <si>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</si>
  <si>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</si>
  <si>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</si>
  <si>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</si>
  <si>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</si>
  <si>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</si>
  <si>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</si>
  <si>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</si>
  <si>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</si>
  <si>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</si>
  <si>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</si>
  <si>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</si>
  <si>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</si>
  <si>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</si>
  <si>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</si>
  <si>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</si>
  <si>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</si>
  <si>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</si>
  <si>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</si>
  <si>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</si>
  <si>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</si>
  <si>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</si>
  <si>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</si>
  <si>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</si>
  <si>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</si>
  <si>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</si>
  <si>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</si>
  <si>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</si>
  <si>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</si>
  <si>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</si>
  <si>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</si>
  <si>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</si>
  <si>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</si>
  <si>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</si>
  <si>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</si>
  <si>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</si>
  <si>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</si>
  <si>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</si>
  <si>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</si>
  <si>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</si>
  <si>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</si>
  <si>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</si>
  <si>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</si>
  <si>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</si>
  <si>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</si>
  <si>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</si>
  <si>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</si>
  <si>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</si>
  <si>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</si>
  <si>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</si>
  <si>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</si>
  <si>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</si>
  <si>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</si>
  <si>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</si>
  <si>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</si>
  <si>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</si>
  <si>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</si>
  <si>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</si>
  <si>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</si>
  <si>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</si>
  <si>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</si>
  <si>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</si>
  <si>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</si>
  <si>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</si>
  <si>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</si>
  <si>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</si>
  <si>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</si>
  <si>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</si>
  <si>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</si>
  <si>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</si>
  <si>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</si>
  <si>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</si>
  <si>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</si>
  <si>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</si>
  <si>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</si>
  <si>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</si>
  <si>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</si>
  <si>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</si>
  <si>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</si>
  <si>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</si>
  <si>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</si>
  <si>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</si>
  <si>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</si>
  <si>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</si>
  <si>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</si>
  <si>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</si>
  <si>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</si>
  <si>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</si>
  <si>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</si>
  <si>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</si>
  <si>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</si>
  <si>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</si>
  <si>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</si>
  <si>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</si>
  <si>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</si>
  <si>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</si>
  <si>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</si>
  <si>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</si>
  <si>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</si>
  <si>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</si>
  <si>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</si>
  <si>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</si>
  <si>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</si>
  <si>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</si>
  <si>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</si>
  <si>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</si>
  <si>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</si>
  <si>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</si>
  <si>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</si>
  <si>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</si>
  <si>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</si>
  <si>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</si>
  <si>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</si>
  <si>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</si>
  <si>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</si>
  <si>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</si>
  <si>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</si>
  <si>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</si>
  <si>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</si>
  <si>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</si>
  <si>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</si>
  <si>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</si>
  <si>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</si>
  <si>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</si>
  <si>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</si>
  <si>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</si>
  <si>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</si>
  <si>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</si>
  <si>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</si>
  <si>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</si>
  <si>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</si>
  <si>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</si>
  <si>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</si>
  <si>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</si>
  <si>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</si>
  <si>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</si>
  <si>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</si>
  <si>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</si>
  <si>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</si>
  <si>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</si>
  <si>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</si>
  <si>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</si>
  <si>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</si>
  <si>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</si>
  <si>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</si>
  <si>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</si>
  <si>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</si>
  <si>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</si>
  <si>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</si>
  <si>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</si>
  <si>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</si>
  <si>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</si>
  <si>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</si>
  <si>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</si>
  <si>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</si>
  <si>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</si>
  <si>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</si>
  <si>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</si>
  <si>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</si>
  <si>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</si>
  <si>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</si>
  <si>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</si>
  <si>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</si>
  <si>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</si>
  <si>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</si>
  <si>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</si>
  <si>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</si>
  <si>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</si>
  <si>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</si>
  <si>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</si>
  <si>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</si>
  <si>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</si>
  <si>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</si>
  <si>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</si>
  <si>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</si>
  <si>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</si>
  <si>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</si>
  <si>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</si>
  <si>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</si>
  <si>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</si>
  <si>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</si>
  <si>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</si>
  <si>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</si>
  <si>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</si>
  <si>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</si>
  <si>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</si>
  <si>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</si>
  <si>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</si>
  <si>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</si>
  <si>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</si>
  <si>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</si>
  <si>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</si>
  <si>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</si>
  <si>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</si>
  <si>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</si>
  <si>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</si>
  <si>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</si>
  <si>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</si>
  <si>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</si>
  <si>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</si>
  <si>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</si>
  <si>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</si>
  <si>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</si>
  <si>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</si>
  <si>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</si>
  <si>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</si>
  <si>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</si>
  <si>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</si>
  <si>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</si>
  <si>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</si>
  <si>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</si>
  <si>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</si>
  <si>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</si>
  <si>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</si>
  <si>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</si>
  <si>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</si>
  <si>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</si>
  <si>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</si>
  <si>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</si>
  <si>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</si>
  <si>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</si>
  <si>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</si>
  <si>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</si>
  <si>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</si>
  <si>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</si>
  <si>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</si>
  <si>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</si>
  <si>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</si>
  <si>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</si>
  <si>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</si>
  <si>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</si>
  <si>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</si>
  <si>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</si>
  <si>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</si>
  <si>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</si>
  <si>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</si>
  <si>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</si>
  <si>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</si>
  <si>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</si>
  <si>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</si>
  <si>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</si>
  <si>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</si>
  <si>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</si>
  <si>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</si>
  <si>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</si>
  <si>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</si>
  <si>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</si>
  <si>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</si>
  <si>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</si>
  <si>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</si>
  <si>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</si>
  <si>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</si>
  <si>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</si>
  <si>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</si>
  <si>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</si>
  <si>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</si>
  <si>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</si>
  <si>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</si>
  <si>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</si>
  <si>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</si>
  <si>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</si>
  <si>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</si>
  <si>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</si>
  <si>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</si>
  <si>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</si>
  <si>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</si>
  <si>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</si>
  <si>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</si>
  <si>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</si>
  <si>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</si>
  <si>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</si>
  <si>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</si>
  <si>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</si>
  <si>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</si>
  <si>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</si>
  <si>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</si>
  <si>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</si>
  <si>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</si>
  <si>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</si>
  <si>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</si>
  <si>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</si>
  <si>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</si>
  <si>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</si>
  <si>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</si>
  <si>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</si>
  <si>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</si>
  <si>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</si>
  <si>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</si>
  <si>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</si>
  <si>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</si>
  <si>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</si>
  <si>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</si>
  <si>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</si>
  <si>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</si>
  <si>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</si>
  <si>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</si>
  <si>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</si>
  <si>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</si>
  <si>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</si>
  <si>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</si>
  <si>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</si>
  <si>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</si>
  <si>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</si>
  <si>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</si>
  <si>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</si>
  <si>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</si>
  <si>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</si>
  <si>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</si>
  <si>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</si>
  <si>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</si>
  <si>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</si>
  <si>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</si>
  <si>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</si>
  <si>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</si>
  <si>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</si>
  <si>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</si>
  <si>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</si>
  <si>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</si>
  <si>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</si>
  <si>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</si>
  <si>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</si>
  <si>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</si>
  <si>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</si>
  <si>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</si>
  <si>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</si>
  <si>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</si>
  <si>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</si>
  <si>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</si>
  <si>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</si>
  <si>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</si>
  <si>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</si>
  <si>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</si>
  <si>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</si>
  <si>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</si>
  <si>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</si>
  <si>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</si>
  <si>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</si>
  <si>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</si>
  <si>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</si>
  <si>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</si>
  <si>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</si>
  <si>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</si>
  <si>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</si>
  <si>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</si>
  <si>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</si>
  <si>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</si>
  <si>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</si>
  <si>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</si>
  <si>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</si>
  <si>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</si>
  <si>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</si>
  <si>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</si>
  <si>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</si>
  <si>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</si>
  <si>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</si>
  <si>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</si>
  <si>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</si>
  <si>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</si>
  <si>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</si>
  <si>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</si>
  <si>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</si>
  <si>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</si>
  <si>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</si>
  <si>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</si>
  <si>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</si>
  <si>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</si>
  <si>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</si>
  <si>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</si>
  <si>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</si>
  <si>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</si>
  <si>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</si>
  <si>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</si>
  <si>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</si>
  <si>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</si>
  <si>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</si>
  <si>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</si>
  <si>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</si>
  <si>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</si>
  <si>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</si>
  <si>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</si>
  <si>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</si>
  <si>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</si>
  <si>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</si>
  <si>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</si>
  <si>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</si>
  <si>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</si>
  <si>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</si>
  <si>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</si>
  <si>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</si>
  <si>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</si>
  <si>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</si>
  <si>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</si>
  <si>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</si>
  <si>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</si>
  <si>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</si>
  <si>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</si>
  <si>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</si>
  <si>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</si>
  <si>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</si>
  <si>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</si>
  <si>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</si>
  <si>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</si>
  <si>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</si>
  <si>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</si>
  <si>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</si>
  <si>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</si>
  <si>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</si>
  <si>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</si>
  <si>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</si>
  <si>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</si>
  <si>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</si>
  <si>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</si>
  <si>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</si>
  <si>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</si>
  <si>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</si>
  <si>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</si>
  <si>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</si>
  <si>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</si>
  <si>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</si>
  <si>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</si>
  <si>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</si>
  <si>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</si>
  <si>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</si>
  <si>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</si>
  <si>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</si>
  <si>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</si>
  <si>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</si>
  <si>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</si>
  <si>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</si>
  <si>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34023</t>
  </si>
  <si>
    <t>KUURNE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</si>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</sst>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85900.278665079313</c:v>
                </c:pt>
                <c:pt idx="1">
                  <c:v>42728.514510774818</c:v>
                </c:pt>
                <c:pt idx="2">
                  <c:v>872.61900000000003</c:v>
                </c:pt>
                <c:pt idx="3">
                  <c:v>735.38668758045083</c:v>
                </c:pt>
                <c:pt idx="4">
                  <c:v>53442.050210298359</c:v>
                </c:pt>
                <c:pt idx="5">
                  <c:v>54546.270467796385</c:v>
                </c:pt>
                <c:pt idx="6">
                  <c:v>1062.8788464785803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69280"/>
        <c:axId val="181970816"/>
      </c:barChart>
      <c:catAx>
        <c:axId val="181969280"/>
        <c:scaling>
          <c:orientation val="minMax"/>
        </c:scaling>
        <c:axPos val="b"/>
        <c:numFmt formatCode="General" sourceLinked="0"/>
        <c:tickLblPos val="nextTo"/>
        <c:crossAx val="181970816"/>
        <c:crosses val="autoZero"/>
        <c:auto val="1"/>
        <c:lblAlgn val="ctr"/>
        <c:lblOffset val="100"/>
      </c:catAx>
      <c:valAx>
        <c:axId val="181970816"/>
        <c:scaling>
          <c:orientation val="minMax"/>
        </c:scaling>
        <c:axPos val="l"/>
        <c:majorGridlines/>
        <c:numFmt formatCode="#,##0" sourceLinked="1"/>
        <c:tickLblPos val="nextTo"/>
        <c:crossAx val="1819692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85900.278665079313</c:v>
                </c:pt>
                <c:pt idx="1">
                  <c:v>42728.514510774818</c:v>
                </c:pt>
                <c:pt idx="2">
                  <c:v>872.61900000000003</c:v>
                </c:pt>
                <c:pt idx="3">
                  <c:v>735.38668758045083</c:v>
                </c:pt>
                <c:pt idx="4">
                  <c:v>53442.050210298359</c:v>
                </c:pt>
                <c:pt idx="5">
                  <c:v>54546.270467796385</c:v>
                </c:pt>
                <c:pt idx="6">
                  <c:v>1062.8788464785803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15574.030376020872</c:v>
                </c:pt>
                <c:pt idx="2">
                  <c:v>8652.8556838552613</c:v>
                </c:pt>
                <c:pt idx="3">
                  <c:v>175.4658418754731</c:v>
                </c:pt>
                <c:pt idx="4">
                  <c:v>183.60531987505803</c:v>
                </c:pt>
                <c:pt idx="5">
                  <c:v>10425.570117605163</c:v>
                </c:pt>
                <c:pt idx="6">
                  <c:v>13666.557963869876</c:v>
                </c:pt>
                <c:pt idx="7">
                  <c:v>268.47812707851267</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03744"/>
        <c:axId val="182334208"/>
      </c:barChart>
      <c:catAx>
        <c:axId val="182303744"/>
        <c:scaling>
          <c:orientation val="minMax"/>
        </c:scaling>
        <c:axPos val="b"/>
        <c:numFmt formatCode="General" sourceLinked="0"/>
        <c:tickLblPos val="nextTo"/>
        <c:crossAx val="182334208"/>
        <c:crosses val="autoZero"/>
        <c:auto val="1"/>
        <c:lblAlgn val="ctr"/>
        <c:lblOffset val="100"/>
      </c:catAx>
      <c:valAx>
        <c:axId val="182334208"/>
        <c:scaling>
          <c:orientation val="minMax"/>
        </c:scaling>
        <c:axPos val="l"/>
        <c:majorGridlines/>
        <c:numFmt formatCode="#,##0" sourceLinked="1"/>
        <c:tickLblPos val="nextTo"/>
        <c:crossAx val="1823037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15574.030376020872</c:v>
                </c:pt>
                <c:pt idx="2">
                  <c:v>8652.8556838552613</c:v>
                </c:pt>
                <c:pt idx="3">
                  <c:v>175.4658418754731</c:v>
                </c:pt>
                <c:pt idx="4">
                  <c:v>183.60531987505803</c:v>
                </c:pt>
                <c:pt idx="5">
                  <c:v>10425.570117605163</c:v>
                </c:pt>
                <c:pt idx="6">
                  <c:v>13666.557963869876</c:v>
                </c:pt>
                <c:pt idx="7">
                  <c:v>268.47812707851267</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34023</v>
      </c>
      <c r="B6" s="416"/>
      <c r="C6" s="417"/>
    </row>
    <row r="7" spans="1:7" s="414" customFormat="1" ht="15.75" customHeight="1">
      <c r="A7" s="418" t="str">
        <f>txtMunicipality</f>
        <v>KUURNE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21110.262299999999</v>
      </c>
      <c r="D10" s="1025">
        <f ca="1">tertiair!C16</f>
        <v>0</v>
      </c>
      <c r="E10" s="1025">
        <f ca="1">tertiair!D16</f>
        <v>18718.67091202864</v>
      </c>
      <c r="F10" s="1025">
        <f>tertiair!E16</f>
        <v>210.12828533698467</v>
      </c>
      <c r="G10" s="1025">
        <f ca="1">tertiair!F16</f>
        <v>2826.249779360845</v>
      </c>
      <c r="H10" s="1025">
        <f>tertiair!G16</f>
        <v>0</v>
      </c>
      <c r="I10" s="1025">
        <f>tertiair!H16</f>
        <v>0</v>
      </c>
      <c r="J10" s="1025">
        <f>tertiair!I16</f>
        <v>0</v>
      </c>
      <c r="K10" s="1025">
        <f>tertiair!J16</f>
        <v>0</v>
      </c>
      <c r="L10" s="1025">
        <f>tertiair!K16</f>
        <v>0</v>
      </c>
      <c r="M10" s="1025">
        <f ca="1">tertiair!L16</f>
        <v>0</v>
      </c>
      <c r="N10" s="1025">
        <f>tertiair!M16</f>
        <v>0</v>
      </c>
      <c r="O10" s="1025">
        <f ca="1">tertiair!N16</f>
        <v>694.56223404836169</v>
      </c>
      <c r="P10" s="1025">
        <f>tertiair!O16</f>
        <v>3.1266666666666669</v>
      </c>
      <c r="Q10" s="1026">
        <f>tertiair!P16</f>
        <v>38.133333333333333</v>
      </c>
      <c r="R10" s="701">
        <f ca="1">SUM(C10:Q10)</f>
        <v>43601.133510774824</v>
      </c>
      <c r="S10" s="67"/>
    </row>
    <row r="11" spans="1:19" s="474" customFormat="1">
      <c r="A11" s="810" t="s">
        <v>225</v>
      </c>
      <c r="B11" s="815"/>
      <c r="C11" s="1025">
        <f>huishoudens!B8</f>
        <v>20496.623162039687</v>
      </c>
      <c r="D11" s="1025">
        <f>huishoudens!C8</f>
        <v>0</v>
      </c>
      <c r="E11" s="1025">
        <f>huishoudens!D8</f>
        <v>53666.616065786802</v>
      </c>
      <c r="F11" s="1025">
        <f>huishoudens!E8</f>
        <v>2695.6917491563659</v>
      </c>
      <c r="G11" s="1025">
        <f>huishoudens!F8</f>
        <v>0</v>
      </c>
      <c r="H11" s="1025">
        <f>huishoudens!G8</f>
        <v>0</v>
      </c>
      <c r="I11" s="1025">
        <f>huishoudens!H8</f>
        <v>0</v>
      </c>
      <c r="J11" s="1025">
        <f>huishoudens!I8</f>
        <v>0</v>
      </c>
      <c r="K11" s="1025">
        <f>huishoudens!J8</f>
        <v>0</v>
      </c>
      <c r="L11" s="1025">
        <f>huishoudens!K8</f>
        <v>0</v>
      </c>
      <c r="M11" s="1025">
        <f>huishoudens!L8</f>
        <v>0</v>
      </c>
      <c r="N11" s="1025">
        <f>huishoudens!M8</f>
        <v>0</v>
      </c>
      <c r="O11" s="1025">
        <f>huishoudens!N8</f>
        <v>8689.3510214297912</v>
      </c>
      <c r="P11" s="1025">
        <f>huishoudens!O8</f>
        <v>142.26333333333332</v>
      </c>
      <c r="Q11" s="1026">
        <f>huishoudens!P8</f>
        <v>209.73333333333335</v>
      </c>
      <c r="R11" s="701">
        <f>SUM(C11:Q11)</f>
        <v>85900.278665079313</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20480.170689999999</v>
      </c>
      <c r="D13" s="1025">
        <f>industrie!C18</f>
        <v>0</v>
      </c>
      <c r="E13" s="1025">
        <f>industrie!D18</f>
        <v>21744.837917149969</v>
      </c>
      <c r="F13" s="1025">
        <f>industrie!E18</f>
        <v>1133.3797931808158</v>
      </c>
      <c r="G13" s="1025">
        <f>industrie!F18</f>
        <v>6107.0315777997039</v>
      </c>
      <c r="H13" s="1025">
        <f>industrie!G18</f>
        <v>0</v>
      </c>
      <c r="I13" s="1025">
        <f>industrie!H18</f>
        <v>0</v>
      </c>
      <c r="J13" s="1025">
        <f>industrie!I18</f>
        <v>0</v>
      </c>
      <c r="K13" s="1025">
        <f>industrie!J18</f>
        <v>76.594819578409272</v>
      </c>
      <c r="L13" s="1025">
        <f>industrie!K18</f>
        <v>0</v>
      </c>
      <c r="M13" s="1025">
        <f>industrie!L18</f>
        <v>0</v>
      </c>
      <c r="N13" s="1025">
        <f>industrie!M18</f>
        <v>0</v>
      </c>
      <c r="O13" s="1025">
        <f>industrie!N18</f>
        <v>3900.0354125894701</v>
      </c>
      <c r="P13" s="1025">
        <f>industrie!O18</f>
        <v>0</v>
      </c>
      <c r="Q13" s="1026">
        <f>industrie!P18</f>
        <v>0</v>
      </c>
      <c r="R13" s="701">
        <f>SUM(C13:Q13)</f>
        <v>53442.050210298359</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62087.056152039688</v>
      </c>
      <c r="D16" s="733">
        <f t="shared" ref="D16:R16" ca="1" si="0">SUM(D9:D15)</f>
        <v>0</v>
      </c>
      <c r="E16" s="733">
        <f t="shared" ca="1" si="0"/>
        <v>94130.124894965411</v>
      </c>
      <c r="F16" s="733">
        <f t="shared" si="0"/>
        <v>4039.1998276741665</v>
      </c>
      <c r="G16" s="733">
        <f t="shared" ca="1" si="0"/>
        <v>8933.2813571605493</v>
      </c>
      <c r="H16" s="733">
        <f t="shared" si="0"/>
        <v>0</v>
      </c>
      <c r="I16" s="733">
        <f t="shared" si="0"/>
        <v>0</v>
      </c>
      <c r="J16" s="733">
        <f t="shared" si="0"/>
        <v>0</v>
      </c>
      <c r="K16" s="733">
        <f t="shared" si="0"/>
        <v>76.594819578409272</v>
      </c>
      <c r="L16" s="733">
        <f t="shared" si="0"/>
        <v>0</v>
      </c>
      <c r="M16" s="733">
        <f t="shared" ca="1" si="0"/>
        <v>0</v>
      </c>
      <c r="N16" s="733">
        <f t="shared" si="0"/>
        <v>0</v>
      </c>
      <c r="O16" s="733">
        <f t="shared" ca="1" si="0"/>
        <v>13283.948668067624</v>
      </c>
      <c r="P16" s="733">
        <f t="shared" si="0"/>
        <v>145.38999999999999</v>
      </c>
      <c r="Q16" s="733">
        <f t="shared" si="0"/>
        <v>247.86666666666667</v>
      </c>
      <c r="R16" s="733">
        <f t="shared" ca="1" si="0"/>
        <v>182943.4623861525</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1005.5360564738302</v>
      </c>
      <c r="I19" s="1025">
        <f>transport!H54</f>
        <v>0</v>
      </c>
      <c r="J19" s="1025">
        <f>transport!I54</f>
        <v>0</v>
      </c>
      <c r="K19" s="1025">
        <f>transport!J54</f>
        <v>0</v>
      </c>
      <c r="L19" s="1025">
        <f>transport!K54</f>
        <v>0</v>
      </c>
      <c r="M19" s="1025">
        <f>transport!L54</f>
        <v>0</v>
      </c>
      <c r="N19" s="1025">
        <f>transport!M54</f>
        <v>57.342790004750036</v>
      </c>
      <c r="O19" s="1025">
        <f>transport!N54</f>
        <v>0</v>
      </c>
      <c r="P19" s="1025">
        <f>transport!O54</f>
        <v>0</v>
      </c>
      <c r="Q19" s="1026">
        <f>transport!P54</f>
        <v>0</v>
      </c>
      <c r="R19" s="701">
        <f>SUM(C19:Q19)</f>
        <v>1062.8788464785803</v>
      </c>
      <c r="S19" s="67"/>
    </row>
    <row r="20" spans="1:19" s="474" customFormat="1">
      <c r="A20" s="810" t="s">
        <v>307</v>
      </c>
      <c r="B20" s="815"/>
      <c r="C20" s="1025">
        <f>transport!B14</f>
        <v>7.5904753155080957</v>
      </c>
      <c r="D20" s="1025">
        <f>transport!C14</f>
        <v>0</v>
      </c>
      <c r="E20" s="1025">
        <f>transport!D14</f>
        <v>22.871826500055853</v>
      </c>
      <c r="F20" s="1025">
        <f>transport!E14</f>
        <v>142.7886909199498</v>
      </c>
      <c r="G20" s="1025">
        <f>transport!F14</f>
        <v>0</v>
      </c>
      <c r="H20" s="1025">
        <f>transport!G14</f>
        <v>43047.450472320124</v>
      </c>
      <c r="I20" s="1025">
        <f>transport!H14</f>
        <v>8571.603439981307</v>
      </c>
      <c r="J20" s="1025">
        <f>transport!I14</f>
        <v>0</v>
      </c>
      <c r="K20" s="1025">
        <f>transport!J14</f>
        <v>0</v>
      </c>
      <c r="L20" s="1025">
        <f>transport!K14</f>
        <v>0</v>
      </c>
      <c r="M20" s="1025">
        <f>transport!L14</f>
        <v>0</v>
      </c>
      <c r="N20" s="1025">
        <f>transport!M14</f>
        <v>2753.9655627594389</v>
      </c>
      <c r="O20" s="1025">
        <f>transport!N14</f>
        <v>0</v>
      </c>
      <c r="P20" s="1025">
        <f>transport!O14</f>
        <v>0</v>
      </c>
      <c r="Q20" s="1026">
        <f>transport!P14</f>
        <v>0</v>
      </c>
      <c r="R20" s="701">
        <f>SUM(C20:Q20)</f>
        <v>54546.270467796385</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7.5904753155080957</v>
      </c>
      <c r="D22" s="813">
        <f t="shared" ref="D22:R22" si="1">SUM(D18:D21)</f>
        <v>0</v>
      </c>
      <c r="E22" s="813">
        <f t="shared" si="1"/>
        <v>22.871826500055853</v>
      </c>
      <c r="F22" s="813">
        <f t="shared" si="1"/>
        <v>142.7886909199498</v>
      </c>
      <c r="G22" s="813">
        <f t="shared" si="1"/>
        <v>0</v>
      </c>
      <c r="H22" s="813">
        <f t="shared" si="1"/>
        <v>44052.986528793954</v>
      </c>
      <c r="I22" s="813">
        <f t="shared" si="1"/>
        <v>8571.603439981307</v>
      </c>
      <c r="J22" s="813">
        <f t="shared" si="1"/>
        <v>0</v>
      </c>
      <c r="K22" s="813">
        <f t="shared" si="1"/>
        <v>0</v>
      </c>
      <c r="L22" s="813">
        <f t="shared" si="1"/>
        <v>0</v>
      </c>
      <c r="M22" s="813">
        <f t="shared" si="1"/>
        <v>0</v>
      </c>
      <c r="N22" s="813">
        <f t="shared" si="1"/>
        <v>2811.3083527641888</v>
      </c>
      <c r="O22" s="813">
        <f t="shared" si="1"/>
        <v>0</v>
      </c>
      <c r="P22" s="813">
        <f t="shared" si="1"/>
        <v>0</v>
      </c>
      <c r="Q22" s="813">
        <f t="shared" si="1"/>
        <v>0</v>
      </c>
      <c r="R22" s="813">
        <f t="shared" si="1"/>
        <v>55609.149314274968</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186.94007999999999</v>
      </c>
      <c r="D24" s="1025">
        <f>+landbouw!C8</f>
        <v>0</v>
      </c>
      <c r="E24" s="1025">
        <f>+landbouw!D8</f>
        <v>43.752494731712041</v>
      </c>
      <c r="F24" s="1025">
        <f>+landbouw!E8</f>
        <v>1.731517318662779</v>
      </c>
      <c r="G24" s="1025">
        <f>+landbouw!F8</f>
        <v>474.3025950086942</v>
      </c>
      <c r="H24" s="1025">
        <f>+landbouw!G8</f>
        <v>0</v>
      </c>
      <c r="I24" s="1025">
        <f>+landbouw!H8</f>
        <v>0</v>
      </c>
      <c r="J24" s="1025">
        <f>+landbouw!I8</f>
        <v>0</v>
      </c>
      <c r="K24" s="1025">
        <f>+landbouw!J8</f>
        <v>28.66000052138174</v>
      </c>
      <c r="L24" s="1025">
        <f>+landbouw!K8</f>
        <v>0</v>
      </c>
      <c r="M24" s="1025">
        <f>+landbouw!L8</f>
        <v>0</v>
      </c>
      <c r="N24" s="1025">
        <f>+landbouw!M8</f>
        <v>0</v>
      </c>
      <c r="O24" s="1025">
        <f>+landbouw!N8</f>
        <v>0</v>
      </c>
      <c r="P24" s="1025">
        <f>+landbouw!O8</f>
        <v>0</v>
      </c>
      <c r="Q24" s="1026">
        <f>+landbouw!P8</f>
        <v>0</v>
      </c>
      <c r="R24" s="701">
        <f>SUM(C24:Q24)</f>
        <v>735.38668758045083</v>
      </c>
      <c r="S24" s="67"/>
    </row>
    <row r="25" spans="1:19" s="474" customFormat="1" ht="15" thickBot="1">
      <c r="A25" s="832" t="s">
        <v>864</v>
      </c>
      <c r="B25" s="1028"/>
      <c r="C25" s="1029">
        <f>IF(Onbekend_ele_kWh="---",0,Onbekend_ele_kWh)/1000+IF(REST_rest_ele_kWh="---",0,REST_rest_ele_kWh)/1000</f>
        <v>717.34759999999994</v>
      </c>
      <c r="D25" s="1029"/>
      <c r="E25" s="1029">
        <f>IF(onbekend_gas_kWh="---",0,onbekend_gas_kWh)/1000+IF(REST_rest_gas_kWh="---",0,REST_rest_gas_kWh)/1000</f>
        <v>6899.1779081063996</v>
      </c>
      <c r="F25" s="1029"/>
      <c r="G25" s="1029"/>
      <c r="H25" s="1029"/>
      <c r="I25" s="1029"/>
      <c r="J25" s="1029"/>
      <c r="K25" s="1029"/>
      <c r="L25" s="1029"/>
      <c r="M25" s="1029"/>
      <c r="N25" s="1029"/>
      <c r="O25" s="1029"/>
      <c r="P25" s="1029"/>
      <c r="Q25" s="1030"/>
      <c r="R25" s="701">
        <f>SUM(C25:Q25)</f>
        <v>7616.5255081063997</v>
      </c>
      <c r="S25" s="67"/>
    </row>
    <row r="26" spans="1:19" s="474" customFormat="1" ht="15.75" thickBot="1">
      <c r="A26" s="706" t="s">
        <v>865</v>
      </c>
      <c r="B26" s="818"/>
      <c r="C26" s="813">
        <f>SUM(C24:C25)</f>
        <v>904.28767999999991</v>
      </c>
      <c r="D26" s="813">
        <f t="shared" ref="D26:R26" si="2">SUM(D24:D25)</f>
        <v>0</v>
      </c>
      <c r="E26" s="813">
        <f t="shared" si="2"/>
        <v>6942.9304028381121</v>
      </c>
      <c r="F26" s="813">
        <f t="shared" si="2"/>
        <v>1.731517318662779</v>
      </c>
      <c r="G26" s="813">
        <f t="shared" si="2"/>
        <v>474.3025950086942</v>
      </c>
      <c r="H26" s="813">
        <f t="shared" si="2"/>
        <v>0</v>
      </c>
      <c r="I26" s="813">
        <f t="shared" si="2"/>
        <v>0</v>
      </c>
      <c r="J26" s="813">
        <f t="shared" si="2"/>
        <v>0</v>
      </c>
      <c r="K26" s="813">
        <f t="shared" si="2"/>
        <v>28.66000052138174</v>
      </c>
      <c r="L26" s="813">
        <f t="shared" si="2"/>
        <v>0</v>
      </c>
      <c r="M26" s="813">
        <f t="shared" si="2"/>
        <v>0</v>
      </c>
      <c r="N26" s="813">
        <f t="shared" si="2"/>
        <v>0</v>
      </c>
      <c r="O26" s="813">
        <f t="shared" si="2"/>
        <v>0</v>
      </c>
      <c r="P26" s="813">
        <f t="shared" si="2"/>
        <v>0</v>
      </c>
      <c r="Q26" s="813">
        <f t="shared" si="2"/>
        <v>0</v>
      </c>
      <c r="R26" s="813">
        <f t="shared" si="2"/>
        <v>8351.9121956868512</v>
      </c>
      <c r="S26" s="67"/>
    </row>
    <row r="27" spans="1:19" s="474" customFormat="1" ht="17.25" thickTop="1" thickBot="1">
      <c r="A27" s="707" t="s">
        <v>116</v>
      </c>
      <c r="B27" s="806"/>
      <c r="C27" s="708">
        <f ca="1">C22+C16+C26</f>
        <v>62998.934307355194</v>
      </c>
      <c r="D27" s="708">
        <f t="shared" ref="D27:R27" ca="1" si="3">D22+D16+D26</f>
        <v>0</v>
      </c>
      <c r="E27" s="708">
        <f t="shared" ca="1" si="3"/>
        <v>101095.92712430358</v>
      </c>
      <c r="F27" s="708">
        <f t="shared" si="3"/>
        <v>4183.7200359127792</v>
      </c>
      <c r="G27" s="708">
        <f t="shared" ca="1" si="3"/>
        <v>9407.5839521692433</v>
      </c>
      <c r="H27" s="708">
        <f t="shared" si="3"/>
        <v>44052.986528793954</v>
      </c>
      <c r="I27" s="708">
        <f t="shared" si="3"/>
        <v>8571.603439981307</v>
      </c>
      <c r="J27" s="708">
        <f t="shared" si="3"/>
        <v>0</v>
      </c>
      <c r="K27" s="708">
        <f t="shared" si="3"/>
        <v>105.254820099791</v>
      </c>
      <c r="L27" s="708">
        <f t="shared" si="3"/>
        <v>0</v>
      </c>
      <c r="M27" s="708">
        <f t="shared" ca="1" si="3"/>
        <v>0</v>
      </c>
      <c r="N27" s="708">
        <f t="shared" si="3"/>
        <v>2811.3083527641888</v>
      </c>
      <c r="O27" s="708">
        <f t="shared" ca="1" si="3"/>
        <v>13283.948668067624</v>
      </c>
      <c r="P27" s="708">
        <f t="shared" si="3"/>
        <v>145.38999999999999</v>
      </c>
      <c r="Q27" s="708">
        <f t="shared" si="3"/>
        <v>247.86666666666667</v>
      </c>
      <c r="R27" s="708">
        <f t="shared" ca="1" si="3"/>
        <v>246904.52389611435</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4244.8421896401078</v>
      </c>
      <c r="D40" s="1025">
        <f ca="1">tertiair!C20</f>
        <v>0</v>
      </c>
      <c r="E40" s="1025">
        <f ca="1">tertiair!D20</f>
        <v>3781.1715242297855</v>
      </c>
      <c r="F40" s="1025">
        <f>tertiair!E20</f>
        <v>47.699120771495522</v>
      </c>
      <c r="G40" s="1025">
        <f ca="1">tertiair!F20</f>
        <v>754.6086910893456</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8828.3215257307347</v>
      </c>
    </row>
    <row r="41" spans="1:18">
      <c r="A41" s="823" t="s">
        <v>225</v>
      </c>
      <c r="B41" s="830"/>
      <c r="C41" s="1025">
        <f ca="1">huishoudens!B12</f>
        <v>4121.4519036734418</v>
      </c>
      <c r="D41" s="1025">
        <f ca="1">huishoudens!C12</f>
        <v>0</v>
      </c>
      <c r="E41" s="1025">
        <f>huishoudens!D12</f>
        <v>10840.656445288934</v>
      </c>
      <c r="F41" s="1025">
        <f>huishoudens!E12</f>
        <v>611.92202705849502</v>
      </c>
      <c r="G41" s="1025">
        <f>huishoudens!F12</f>
        <v>0</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15574.030376020872</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4118.1436478855476</v>
      </c>
      <c r="D43" s="1025">
        <f ca="1">industrie!C22</f>
        <v>0</v>
      </c>
      <c r="E43" s="1025">
        <f>industrie!D22</f>
        <v>4392.4572592642944</v>
      </c>
      <c r="F43" s="1025">
        <f>industrie!E22</f>
        <v>257.27721305204517</v>
      </c>
      <c r="G43" s="1025">
        <f>industrie!F22</f>
        <v>1630.5774312725209</v>
      </c>
      <c r="H43" s="1025">
        <f>industrie!G22</f>
        <v>0</v>
      </c>
      <c r="I43" s="1025">
        <f>industrie!H22</f>
        <v>0</v>
      </c>
      <c r="J43" s="1025">
        <f>industrie!I22</f>
        <v>0</v>
      </c>
      <c r="K43" s="1025">
        <f>industrie!J22</f>
        <v>27.114566130756881</v>
      </c>
      <c r="L43" s="1025">
        <f>industrie!K22</f>
        <v>0</v>
      </c>
      <c r="M43" s="1025">
        <f>industrie!L22</f>
        <v>0</v>
      </c>
      <c r="N43" s="1025">
        <f>industrie!M22</f>
        <v>0</v>
      </c>
      <c r="O43" s="1025">
        <f>industrie!N22</f>
        <v>0</v>
      </c>
      <c r="P43" s="1025">
        <f>industrie!O22</f>
        <v>0</v>
      </c>
      <c r="Q43" s="775">
        <f>industrie!P22</f>
        <v>0</v>
      </c>
      <c r="R43" s="850">
        <f t="shared" ca="1" si="4"/>
        <v>10425.570117605163</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12484.437741199097</v>
      </c>
      <c r="D46" s="733">
        <f t="shared" ref="D46:Q46" ca="1" si="5">SUM(D39:D45)</f>
        <v>0</v>
      </c>
      <c r="E46" s="733">
        <f t="shared" ca="1" si="5"/>
        <v>19014.285228783014</v>
      </c>
      <c r="F46" s="733">
        <f t="shared" si="5"/>
        <v>916.8983608820356</v>
      </c>
      <c r="G46" s="733">
        <f t="shared" ca="1" si="5"/>
        <v>2385.1861223618666</v>
      </c>
      <c r="H46" s="733">
        <f t="shared" si="5"/>
        <v>0</v>
      </c>
      <c r="I46" s="733">
        <f t="shared" si="5"/>
        <v>0</v>
      </c>
      <c r="J46" s="733">
        <f t="shared" si="5"/>
        <v>0</v>
      </c>
      <c r="K46" s="733">
        <f t="shared" si="5"/>
        <v>27.114566130756881</v>
      </c>
      <c r="L46" s="733">
        <f t="shared" si="5"/>
        <v>0</v>
      </c>
      <c r="M46" s="733">
        <f t="shared" ca="1" si="5"/>
        <v>0</v>
      </c>
      <c r="N46" s="733">
        <f t="shared" si="5"/>
        <v>0</v>
      </c>
      <c r="O46" s="733">
        <f t="shared" ca="1" si="5"/>
        <v>0</v>
      </c>
      <c r="P46" s="733">
        <f t="shared" si="5"/>
        <v>0</v>
      </c>
      <c r="Q46" s="733">
        <f t="shared" si="5"/>
        <v>0</v>
      </c>
      <c r="R46" s="733">
        <f ca="1">SUM(R39:R45)</f>
        <v>34827.922019356774</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268.47812707851267</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268.47812707851267</v>
      </c>
    </row>
    <row r="50" spans="1:18">
      <c r="A50" s="826" t="s">
        <v>307</v>
      </c>
      <c r="B50" s="836"/>
      <c r="C50" s="704">
        <f ca="1">transport!B18</f>
        <v>1.5262894132154186</v>
      </c>
      <c r="D50" s="704">
        <f>transport!C18</f>
        <v>0</v>
      </c>
      <c r="E50" s="704">
        <f>transport!D18</f>
        <v>4.6201089530112824</v>
      </c>
      <c r="F50" s="704">
        <f>transport!E18</f>
        <v>32.413032838828606</v>
      </c>
      <c r="G50" s="704">
        <f>transport!F18</f>
        <v>0</v>
      </c>
      <c r="H50" s="704">
        <f>transport!G18</f>
        <v>11493.669276109475</v>
      </c>
      <c r="I50" s="704">
        <f>transport!H18</f>
        <v>2134.3292565553456</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13666.557963869876</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1.5262894132154186</v>
      </c>
      <c r="D52" s="733">
        <f t="shared" ref="D52:Q52" ca="1" si="6">SUM(D48:D51)</f>
        <v>0</v>
      </c>
      <c r="E52" s="733">
        <f t="shared" si="6"/>
        <v>4.6201089530112824</v>
      </c>
      <c r="F52" s="733">
        <f t="shared" si="6"/>
        <v>32.413032838828606</v>
      </c>
      <c r="G52" s="733">
        <f t="shared" si="6"/>
        <v>0</v>
      </c>
      <c r="H52" s="733">
        <f t="shared" si="6"/>
        <v>11762.147403187988</v>
      </c>
      <c r="I52" s="733">
        <f t="shared" si="6"/>
        <v>2134.3292565553456</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13935.03609094839</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37.589828456025238</v>
      </c>
      <c r="D54" s="704">
        <f ca="1">+landbouw!C12</f>
        <v>0</v>
      </c>
      <c r="E54" s="704">
        <f>+landbouw!D12</f>
        <v>8.8380039358058333</v>
      </c>
      <c r="F54" s="704">
        <f>+landbouw!E12</f>
        <v>0.39305443133645085</v>
      </c>
      <c r="G54" s="704">
        <f>+landbouw!F12</f>
        <v>126.63879286732136</v>
      </c>
      <c r="H54" s="704">
        <f>+landbouw!G12</f>
        <v>0</v>
      </c>
      <c r="I54" s="704">
        <f>+landbouw!H12</f>
        <v>0</v>
      </c>
      <c r="J54" s="704">
        <f>+landbouw!I12</f>
        <v>0</v>
      </c>
      <c r="K54" s="704">
        <f>+landbouw!J12</f>
        <v>10.145640184569135</v>
      </c>
      <c r="L54" s="704">
        <f>+landbouw!K12</f>
        <v>0</v>
      </c>
      <c r="M54" s="704">
        <f>+landbouw!L12</f>
        <v>0</v>
      </c>
      <c r="N54" s="704">
        <f>+landbouw!M12</f>
        <v>0</v>
      </c>
      <c r="O54" s="704">
        <f>+landbouw!N12</f>
        <v>0</v>
      </c>
      <c r="P54" s="704">
        <f>+landbouw!O12</f>
        <v>0</v>
      </c>
      <c r="Q54" s="705">
        <f>+landbouw!P12</f>
        <v>0</v>
      </c>
      <c r="R54" s="732">
        <f ca="1">SUM(C54:Q54)</f>
        <v>183.60531987505803</v>
      </c>
    </row>
    <row r="55" spans="1:18" ht="15" thickBot="1">
      <c r="A55" s="826" t="s">
        <v>864</v>
      </c>
      <c r="B55" s="836"/>
      <c r="C55" s="704">
        <f ca="1">C25*'EF ele_warmte'!B12</f>
        <v>144.24393756192578</v>
      </c>
      <c r="D55" s="704"/>
      <c r="E55" s="704">
        <f>E25*EF_CO2_aardgas</f>
        <v>1393.6339374374927</v>
      </c>
      <c r="F55" s="704"/>
      <c r="G55" s="704"/>
      <c r="H55" s="704"/>
      <c r="I55" s="704"/>
      <c r="J55" s="704"/>
      <c r="K55" s="704"/>
      <c r="L55" s="704"/>
      <c r="M55" s="704"/>
      <c r="N55" s="704"/>
      <c r="O55" s="704"/>
      <c r="P55" s="704"/>
      <c r="Q55" s="705"/>
      <c r="R55" s="732">
        <f ca="1">SUM(C55:Q55)</f>
        <v>1537.8778749994185</v>
      </c>
    </row>
    <row r="56" spans="1:18" ht="15.75" thickBot="1">
      <c r="A56" s="824" t="s">
        <v>865</v>
      </c>
      <c r="B56" s="837"/>
      <c r="C56" s="733">
        <f ca="1">SUM(C54:C55)</f>
        <v>181.83376601795101</v>
      </c>
      <c r="D56" s="733">
        <f t="shared" ref="D56:Q56" ca="1" si="7">SUM(D54:D55)</f>
        <v>0</v>
      </c>
      <c r="E56" s="733">
        <f t="shared" si="7"/>
        <v>1402.4719413732985</v>
      </c>
      <c r="F56" s="733">
        <f t="shared" si="7"/>
        <v>0.39305443133645085</v>
      </c>
      <c r="G56" s="733">
        <f t="shared" si="7"/>
        <v>126.63879286732136</v>
      </c>
      <c r="H56" s="733">
        <f t="shared" si="7"/>
        <v>0</v>
      </c>
      <c r="I56" s="733">
        <f t="shared" si="7"/>
        <v>0</v>
      </c>
      <c r="J56" s="733">
        <f t="shared" si="7"/>
        <v>0</v>
      </c>
      <c r="K56" s="733">
        <f t="shared" si="7"/>
        <v>10.145640184569135</v>
      </c>
      <c r="L56" s="733">
        <f t="shared" si="7"/>
        <v>0</v>
      </c>
      <c r="M56" s="733">
        <f t="shared" si="7"/>
        <v>0</v>
      </c>
      <c r="N56" s="733">
        <f t="shared" si="7"/>
        <v>0</v>
      </c>
      <c r="O56" s="733">
        <f t="shared" si="7"/>
        <v>0</v>
      </c>
      <c r="P56" s="733">
        <f t="shared" si="7"/>
        <v>0</v>
      </c>
      <c r="Q56" s="734">
        <f t="shared" si="7"/>
        <v>0</v>
      </c>
      <c r="R56" s="735">
        <f ca="1">SUM(R54:R55)</f>
        <v>1721.4831948744766</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12667.797796630264</v>
      </c>
      <c r="D61" s="741">
        <f t="shared" ref="D61:Q61" ca="1" si="8">D46+D52+D56</f>
        <v>0</v>
      </c>
      <c r="E61" s="741">
        <f t="shared" ca="1" si="8"/>
        <v>20421.377279109325</v>
      </c>
      <c r="F61" s="741">
        <f t="shared" si="8"/>
        <v>949.7044481522006</v>
      </c>
      <c r="G61" s="741">
        <f t="shared" ca="1" si="8"/>
        <v>2511.8249152291878</v>
      </c>
      <c r="H61" s="741">
        <f t="shared" si="8"/>
        <v>11762.147403187988</v>
      </c>
      <c r="I61" s="741">
        <f t="shared" si="8"/>
        <v>2134.3292565553456</v>
      </c>
      <c r="J61" s="741">
        <f t="shared" si="8"/>
        <v>0</v>
      </c>
      <c r="K61" s="741">
        <f t="shared" si="8"/>
        <v>37.260206315326016</v>
      </c>
      <c r="L61" s="741">
        <f t="shared" si="8"/>
        <v>0</v>
      </c>
      <c r="M61" s="741">
        <f t="shared" ca="1" si="8"/>
        <v>0</v>
      </c>
      <c r="N61" s="741">
        <f t="shared" si="8"/>
        <v>0</v>
      </c>
      <c r="O61" s="741">
        <f t="shared" ca="1" si="8"/>
        <v>0</v>
      </c>
      <c r="P61" s="741">
        <f t="shared" si="8"/>
        <v>0</v>
      </c>
      <c r="Q61" s="741">
        <f t="shared" si="8"/>
        <v>0</v>
      </c>
      <c r="R61" s="741">
        <f ca="1">R46+R52+R56</f>
        <v>50484.441305179636</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0.20107955691484269</v>
      </c>
      <c r="D63" s="782">
        <f t="shared" ca="1" si="9"/>
        <v>0</v>
      </c>
      <c r="E63" s="1036">
        <f t="shared" ca="1" si="9"/>
        <v>0.20200000000000004</v>
      </c>
      <c r="F63" s="782">
        <f t="shared" si="9"/>
        <v>0.22699999999999992</v>
      </c>
      <c r="G63" s="782">
        <f t="shared" ca="1" si="9"/>
        <v>0.26699999999999996</v>
      </c>
      <c r="H63" s="782">
        <f t="shared" si="9"/>
        <v>0.26700000000000007</v>
      </c>
      <c r="I63" s="782">
        <f t="shared" si="9"/>
        <v>0.24900000000000003</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5678.5822864037818</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5678.5822864037818</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20496.623162039687</v>
      </c>
      <c r="C4" s="478">
        <f>huishoudens!C8</f>
        <v>0</v>
      </c>
      <c r="D4" s="478">
        <f>huishoudens!D8</f>
        <v>53666.616065786802</v>
      </c>
      <c r="E4" s="478">
        <f>huishoudens!E8</f>
        <v>2695.6917491563659</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8689.3510214297912</v>
      </c>
      <c r="O4" s="478">
        <f>huishoudens!O8</f>
        <v>142.26333333333332</v>
      </c>
      <c r="P4" s="479">
        <f>huishoudens!P8</f>
        <v>209.73333333333335</v>
      </c>
      <c r="Q4" s="480">
        <f>SUM(B4:P4)</f>
        <v>85900.278665079313</v>
      </c>
    </row>
    <row r="5" spans="1:17">
      <c r="A5" s="477" t="s">
        <v>156</v>
      </c>
      <c r="B5" s="478">
        <f ca="1">tertiair!B16</f>
        <v>20237.6433</v>
      </c>
      <c r="C5" s="478">
        <f ca="1">tertiair!C16</f>
        <v>0</v>
      </c>
      <c r="D5" s="478">
        <f ca="1">tertiair!D16</f>
        <v>18718.67091202864</v>
      </c>
      <c r="E5" s="478">
        <f>tertiair!E16</f>
        <v>210.12828533698467</v>
      </c>
      <c r="F5" s="478">
        <f ca="1">tertiair!F16</f>
        <v>2826.249779360845</v>
      </c>
      <c r="G5" s="478">
        <f>tertiair!G16</f>
        <v>0</v>
      </c>
      <c r="H5" s="478">
        <f>tertiair!H16</f>
        <v>0</v>
      </c>
      <c r="I5" s="478">
        <f>tertiair!I16</f>
        <v>0</v>
      </c>
      <c r="J5" s="478">
        <f>tertiair!J16</f>
        <v>0</v>
      </c>
      <c r="K5" s="478">
        <f>tertiair!K16</f>
        <v>0</v>
      </c>
      <c r="L5" s="478">
        <f ca="1">tertiair!L16</f>
        <v>0</v>
      </c>
      <c r="M5" s="478">
        <f>tertiair!M16</f>
        <v>0</v>
      </c>
      <c r="N5" s="478">
        <f ca="1">tertiair!N16</f>
        <v>694.56223404836169</v>
      </c>
      <c r="O5" s="478">
        <f>tertiair!O16</f>
        <v>3.1266666666666669</v>
      </c>
      <c r="P5" s="479">
        <f>tertiair!P16</f>
        <v>38.133333333333333</v>
      </c>
      <c r="Q5" s="477">
        <f t="shared" ref="Q5:Q14" ca="1" si="0">SUM(B5:P5)</f>
        <v>42728.514510774818</v>
      </c>
    </row>
    <row r="6" spans="1:17">
      <c r="A6" s="477" t="s">
        <v>194</v>
      </c>
      <c r="B6" s="478">
        <f>'openbare verlichting'!B8</f>
        <v>872.61900000000003</v>
      </c>
      <c r="C6" s="478"/>
      <c r="D6" s="478"/>
      <c r="E6" s="478"/>
      <c r="F6" s="478"/>
      <c r="G6" s="478"/>
      <c r="H6" s="478"/>
      <c r="I6" s="478"/>
      <c r="J6" s="478"/>
      <c r="K6" s="478"/>
      <c r="L6" s="478"/>
      <c r="M6" s="478"/>
      <c r="N6" s="478"/>
      <c r="O6" s="478"/>
      <c r="P6" s="479"/>
      <c r="Q6" s="477">
        <f t="shared" si="0"/>
        <v>872.61900000000003</v>
      </c>
    </row>
    <row r="7" spans="1:17">
      <c r="A7" s="477" t="s">
        <v>112</v>
      </c>
      <c r="B7" s="478">
        <f>landbouw!B8</f>
        <v>186.94007999999999</v>
      </c>
      <c r="C7" s="478">
        <f>landbouw!C8</f>
        <v>0</v>
      </c>
      <c r="D7" s="478">
        <f>landbouw!D8</f>
        <v>43.752494731712041</v>
      </c>
      <c r="E7" s="478">
        <f>landbouw!E8</f>
        <v>1.731517318662779</v>
      </c>
      <c r="F7" s="478">
        <f>landbouw!F8</f>
        <v>474.3025950086942</v>
      </c>
      <c r="G7" s="478">
        <f>landbouw!G8</f>
        <v>0</v>
      </c>
      <c r="H7" s="478">
        <f>landbouw!H8</f>
        <v>0</v>
      </c>
      <c r="I7" s="478">
        <f>landbouw!I8</f>
        <v>0</v>
      </c>
      <c r="J7" s="478">
        <f>landbouw!J8</f>
        <v>28.66000052138174</v>
      </c>
      <c r="K7" s="478">
        <f>landbouw!K8</f>
        <v>0</v>
      </c>
      <c r="L7" s="478">
        <f>landbouw!L8</f>
        <v>0</v>
      </c>
      <c r="M7" s="478">
        <f>landbouw!M8</f>
        <v>0</v>
      </c>
      <c r="N7" s="478">
        <f>landbouw!N8</f>
        <v>0</v>
      </c>
      <c r="O7" s="478">
        <f>landbouw!O8</f>
        <v>0</v>
      </c>
      <c r="P7" s="479">
        <f>landbouw!P8</f>
        <v>0</v>
      </c>
      <c r="Q7" s="477">
        <f t="shared" si="0"/>
        <v>735.38668758045083</v>
      </c>
    </row>
    <row r="8" spans="1:17">
      <c r="A8" s="477" t="s">
        <v>650</v>
      </c>
      <c r="B8" s="478">
        <f>industrie!B18</f>
        <v>20480.170689999999</v>
      </c>
      <c r="C8" s="478">
        <f>industrie!C18</f>
        <v>0</v>
      </c>
      <c r="D8" s="478">
        <f>industrie!D18</f>
        <v>21744.837917149969</v>
      </c>
      <c r="E8" s="478">
        <f>industrie!E18</f>
        <v>1133.3797931808158</v>
      </c>
      <c r="F8" s="478">
        <f>industrie!F18</f>
        <v>6107.0315777997039</v>
      </c>
      <c r="G8" s="478">
        <f>industrie!G18</f>
        <v>0</v>
      </c>
      <c r="H8" s="478">
        <f>industrie!H18</f>
        <v>0</v>
      </c>
      <c r="I8" s="478">
        <f>industrie!I18</f>
        <v>0</v>
      </c>
      <c r="J8" s="478">
        <f>industrie!J18</f>
        <v>76.594819578409272</v>
      </c>
      <c r="K8" s="478">
        <f>industrie!K18</f>
        <v>0</v>
      </c>
      <c r="L8" s="478">
        <f>industrie!L18</f>
        <v>0</v>
      </c>
      <c r="M8" s="478">
        <f>industrie!M18</f>
        <v>0</v>
      </c>
      <c r="N8" s="478">
        <f>industrie!N18</f>
        <v>3900.0354125894701</v>
      </c>
      <c r="O8" s="478">
        <f>industrie!O18</f>
        <v>0</v>
      </c>
      <c r="P8" s="479">
        <f>industrie!P18</f>
        <v>0</v>
      </c>
      <c r="Q8" s="477">
        <f t="shared" si="0"/>
        <v>53442.050210298359</v>
      </c>
    </row>
    <row r="9" spans="1:17" s="483" customFormat="1">
      <c r="A9" s="481" t="s">
        <v>571</v>
      </c>
      <c r="B9" s="482">
        <f>transport!B14</f>
        <v>7.5904753155080957</v>
      </c>
      <c r="C9" s="482">
        <f>transport!C14</f>
        <v>0</v>
      </c>
      <c r="D9" s="482">
        <f>transport!D14</f>
        <v>22.871826500055853</v>
      </c>
      <c r="E9" s="482">
        <f>transport!E14</f>
        <v>142.7886909199498</v>
      </c>
      <c r="F9" s="482">
        <f>transport!F14</f>
        <v>0</v>
      </c>
      <c r="G9" s="482">
        <f>transport!G14</f>
        <v>43047.450472320124</v>
      </c>
      <c r="H9" s="482">
        <f>transport!H14</f>
        <v>8571.603439981307</v>
      </c>
      <c r="I9" s="482">
        <f>transport!I14</f>
        <v>0</v>
      </c>
      <c r="J9" s="482">
        <f>transport!J14</f>
        <v>0</v>
      </c>
      <c r="K9" s="482">
        <f>transport!K14</f>
        <v>0</v>
      </c>
      <c r="L9" s="482">
        <f>transport!L14</f>
        <v>0</v>
      </c>
      <c r="M9" s="482">
        <f>transport!M14</f>
        <v>2753.9655627594389</v>
      </c>
      <c r="N9" s="482">
        <f>transport!N14</f>
        <v>0</v>
      </c>
      <c r="O9" s="482">
        <f>transport!O14</f>
        <v>0</v>
      </c>
      <c r="P9" s="482">
        <f>transport!P14</f>
        <v>0</v>
      </c>
      <c r="Q9" s="481">
        <f>SUM(B9:P9)</f>
        <v>54546.270467796385</v>
      </c>
    </row>
    <row r="10" spans="1:17">
      <c r="A10" s="477" t="s">
        <v>561</v>
      </c>
      <c r="B10" s="478">
        <f>transport!B54</f>
        <v>0</v>
      </c>
      <c r="C10" s="478">
        <f>transport!C54</f>
        <v>0</v>
      </c>
      <c r="D10" s="478">
        <f>transport!D54</f>
        <v>0</v>
      </c>
      <c r="E10" s="478">
        <f>transport!E54</f>
        <v>0</v>
      </c>
      <c r="F10" s="478">
        <f>transport!F54</f>
        <v>0</v>
      </c>
      <c r="G10" s="478">
        <f>transport!G54</f>
        <v>1005.5360564738302</v>
      </c>
      <c r="H10" s="478">
        <f>transport!H54</f>
        <v>0</v>
      </c>
      <c r="I10" s="478">
        <f>transport!I54</f>
        <v>0</v>
      </c>
      <c r="J10" s="478">
        <f>transport!J54</f>
        <v>0</v>
      </c>
      <c r="K10" s="478">
        <f>transport!K54</f>
        <v>0</v>
      </c>
      <c r="L10" s="478">
        <f>transport!L54</f>
        <v>0</v>
      </c>
      <c r="M10" s="478">
        <f>transport!M54</f>
        <v>57.342790004750036</v>
      </c>
      <c r="N10" s="478">
        <f>transport!N54</f>
        <v>0</v>
      </c>
      <c r="O10" s="478">
        <f>transport!O54</f>
        <v>0</v>
      </c>
      <c r="P10" s="479">
        <f>transport!P54</f>
        <v>0</v>
      </c>
      <c r="Q10" s="477">
        <f t="shared" si="0"/>
        <v>1062.8788464785803</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717.34759999999994</v>
      </c>
      <c r="C14" s="485"/>
      <c r="D14" s="485">
        <f>'SEAP template'!E25</f>
        <v>6899.1779081063996</v>
      </c>
      <c r="E14" s="485"/>
      <c r="F14" s="485"/>
      <c r="G14" s="485"/>
      <c r="H14" s="485"/>
      <c r="I14" s="485"/>
      <c r="J14" s="485"/>
      <c r="K14" s="485"/>
      <c r="L14" s="485"/>
      <c r="M14" s="485"/>
      <c r="N14" s="485"/>
      <c r="O14" s="485"/>
      <c r="P14" s="486"/>
      <c r="Q14" s="477">
        <f t="shared" si="0"/>
        <v>7616.5255081063997</v>
      </c>
    </row>
    <row r="15" spans="1:17" s="487" customFormat="1">
      <c r="A15" s="1051" t="s">
        <v>565</v>
      </c>
      <c r="B15" s="991">
        <f ca="1">SUM(B4:B14)</f>
        <v>62998.934307355186</v>
      </c>
      <c r="C15" s="991">
        <f t="shared" ref="C15:Q15" ca="1" si="1">SUM(C4:C14)</f>
        <v>0</v>
      </c>
      <c r="D15" s="991">
        <f t="shared" ca="1" si="1"/>
        <v>101095.92712430358</v>
      </c>
      <c r="E15" s="991">
        <f t="shared" si="1"/>
        <v>4183.7200359127792</v>
      </c>
      <c r="F15" s="991">
        <f t="shared" ca="1" si="1"/>
        <v>9407.5839521692433</v>
      </c>
      <c r="G15" s="991">
        <f t="shared" si="1"/>
        <v>44052.986528793954</v>
      </c>
      <c r="H15" s="991">
        <f t="shared" si="1"/>
        <v>8571.603439981307</v>
      </c>
      <c r="I15" s="991">
        <f t="shared" si="1"/>
        <v>0</v>
      </c>
      <c r="J15" s="991">
        <f t="shared" si="1"/>
        <v>105.254820099791</v>
      </c>
      <c r="K15" s="991">
        <f t="shared" si="1"/>
        <v>0</v>
      </c>
      <c r="L15" s="991">
        <f t="shared" ca="1" si="1"/>
        <v>0</v>
      </c>
      <c r="M15" s="991">
        <f t="shared" si="1"/>
        <v>2811.3083527641888</v>
      </c>
      <c r="N15" s="991">
        <f t="shared" ca="1" si="1"/>
        <v>13283.948668067624</v>
      </c>
      <c r="O15" s="991">
        <f t="shared" si="1"/>
        <v>145.38999999999999</v>
      </c>
      <c r="P15" s="991">
        <f t="shared" si="1"/>
        <v>247.86666666666667</v>
      </c>
      <c r="Q15" s="991">
        <f t="shared" ca="1" si="1"/>
        <v>246904.52389611435</v>
      </c>
    </row>
    <row r="17" spans="1:17">
      <c r="A17" s="488" t="s">
        <v>566</v>
      </c>
      <c r="B17" s="787">
        <f ca="1">huishoudens!B10</f>
        <v>0.20107955691484267</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4121.4519036734418</v>
      </c>
      <c r="C22" s="478">
        <f t="shared" ref="C22:C32" ca="1" si="3">C4*$C$17</f>
        <v>0</v>
      </c>
      <c r="D22" s="478">
        <f t="shared" ref="D22:D32" si="4">D4*$D$17</f>
        <v>10840.656445288934</v>
      </c>
      <c r="E22" s="478">
        <f t="shared" ref="E22:E32" si="5">E4*$E$17</f>
        <v>611.92202705849502</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15574.030376020872</v>
      </c>
    </row>
    <row r="23" spans="1:17">
      <c r="A23" s="477" t="s">
        <v>156</v>
      </c>
      <c r="B23" s="478">
        <f t="shared" ca="1" si="2"/>
        <v>4069.3763477646344</v>
      </c>
      <c r="C23" s="478">
        <f t="shared" ca="1" si="3"/>
        <v>0</v>
      </c>
      <c r="D23" s="478">
        <f t="shared" ca="1" si="4"/>
        <v>3781.1715242297855</v>
      </c>
      <c r="E23" s="478">
        <f t="shared" si="5"/>
        <v>47.699120771495522</v>
      </c>
      <c r="F23" s="478">
        <f t="shared" ca="1" si="6"/>
        <v>754.6086910893456</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8652.8556838552613</v>
      </c>
    </row>
    <row r="24" spans="1:17">
      <c r="A24" s="477" t="s">
        <v>194</v>
      </c>
      <c r="B24" s="478">
        <f t="shared" ca="1" si="2"/>
        <v>175.4658418754731</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175.4658418754731</v>
      </c>
    </row>
    <row r="25" spans="1:17">
      <c r="A25" s="477" t="s">
        <v>112</v>
      </c>
      <c r="B25" s="478">
        <f t="shared" ca="1" si="2"/>
        <v>37.589828456025238</v>
      </c>
      <c r="C25" s="478">
        <f t="shared" ca="1" si="3"/>
        <v>0</v>
      </c>
      <c r="D25" s="478">
        <f t="shared" si="4"/>
        <v>8.8380039358058333</v>
      </c>
      <c r="E25" s="478">
        <f t="shared" si="5"/>
        <v>0.39305443133645085</v>
      </c>
      <c r="F25" s="478">
        <f t="shared" si="6"/>
        <v>126.63879286732136</v>
      </c>
      <c r="G25" s="478">
        <f t="shared" si="7"/>
        <v>0</v>
      </c>
      <c r="H25" s="478">
        <f t="shared" si="8"/>
        <v>0</v>
      </c>
      <c r="I25" s="478">
        <f t="shared" si="9"/>
        <v>0</v>
      </c>
      <c r="J25" s="478">
        <f t="shared" si="10"/>
        <v>10.145640184569135</v>
      </c>
      <c r="K25" s="478">
        <f t="shared" si="11"/>
        <v>0</v>
      </c>
      <c r="L25" s="478">
        <f t="shared" si="12"/>
        <v>0</v>
      </c>
      <c r="M25" s="478">
        <f t="shared" si="13"/>
        <v>0</v>
      </c>
      <c r="N25" s="478">
        <f t="shared" si="14"/>
        <v>0</v>
      </c>
      <c r="O25" s="478">
        <f t="shared" si="15"/>
        <v>0</v>
      </c>
      <c r="P25" s="479">
        <f t="shared" si="16"/>
        <v>0</v>
      </c>
      <c r="Q25" s="477">
        <f t="shared" ca="1" si="17"/>
        <v>183.60531987505803</v>
      </c>
    </row>
    <row r="26" spans="1:17">
      <c r="A26" s="477" t="s">
        <v>650</v>
      </c>
      <c r="B26" s="478">
        <f t="shared" ca="1" si="2"/>
        <v>4118.1436478855476</v>
      </c>
      <c r="C26" s="478">
        <f t="shared" ca="1" si="3"/>
        <v>0</v>
      </c>
      <c r="D26" s="478">
        <f t="shared" si="4"/>
        <v>4392.4572592642944</v>
      </c>
      <c r="E26" s="478">
        <f t="shared" si="5"/>
        <v>257.27721305204517</v>
      </c>
      <c r="F26" s="478">
        <f t="shared" si="6"/>
        <v>1630.5774312725209</v>
      </c>
      <c r="G26" s="478">
        <f t="shared" si="7"/>
        <v>0</v>
      </c>
      <c r="H26" s="478">
        <f t="shared" si="8"/>
        <v>0</v>
      </c>
      <c r="I26" s="478">
        <f t="shared" si="9"/>
        <v>0</v>
      </c>
      <c r="J26" s="478">
        <f t="shared" si="10"/>
        <v>27.114566130756881</v>
      </c>
      <c r="K26" s="478">
        <f t="shared" si="11"/>
        <v>0</v>
      </c>
      <c r="L26" s="478">
        <f t="shared" si="12"/>
        <v>0</v>
      </c>
      <c r="M26" s="478">
        <f t="shared" si="13"/>
        <v>0</v>
      </c>
      <c r="N26" s="478">
        <f t="shared" si="14"/>
        <v>0</v>
      </c>
      <c r="O26" s="478">
        <f t="shared" si="15"/>
        <v>0</v>
      </c>
      <c r="P26" s="479">
        <f t="shared" si="16"/>
        <v>0</v>
      </c>
      <c r="Q26" s="477">
        <f t="shared" ca="1" si="17"/>
        <v>10425.570117605163</v>
      </c>
    </row>
    <row r="27" spans="1:17" s="483" customFormat="1">
      <c r="A27" s="481" t="s">
        <v>571</v>
      </c>
      <c r="B27" s="781">
        <f t="shared" ca="1" si="2"/>
        <v>1.5262894132154186</v>
      </c>
      <c r="C27" s="482">
        <f t="shared" ca="1" si="3"/>
        <v>0</v>
      </c>
      <c r="D27" s="482">
        <f t="shared" si="4"/>
        <v>4.6201089530112824</v>
      </c>
      <c r="E27" s="482">
        <f t="shared" si="5"/>
        <v>32.413032838828606</v>
      </c>
      <c r="F27" s="482">
        <f t="shared" si="6"/>
        <v>0</v>
      </c>
      <c r="G27" s="482">
        <f t="shared" si="7"/>
        <v>11493.669276109475</v>
      </c>
      <c r="H27" s="482">
        <f t="shared" si="8"/>
        <v>2134.3292565553456</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13666.557963869876</v>
      </c>
    </row>
    <row r="28" spans="1:17">
      <c r="A28" s="477" t="s">
        <v>561</v>
      </c>
      <c r="B28" s="478">
        <f t="shared" ca="1" si="2"/>
        <v>0</v>
      </c>
      <c r="C28" s="478">
        <f t="shared" ca="1" si="3"/>
        <v>0</v>
      </c>
      <c r="D28" s="478">
        <f t="shared" si="4"/>
        <v>0</v>
      </c>
      <c r="E28" s="478">
        <f t="shared" si="5"/>
        <v>0</v>
      </c>
      <c r="F28" s="478">
        <f t="shared" si="6"/>
        <v>0</v>
      </c>
      <c r="G28" s="478">
        <f t="shared" si="7"/>
        <v>268.47812707851267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268.47812707851267</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144.24393756192578</v>
      </c>
      <c r="C32" s="478">
        <f t="shared" ca="1" si="3"/>
        <v>0</v>
      </c>
      <c r="D32" s="478">
        <f t="shared" si="4"/>
        <v>1393.6339374374927</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1537.8778749994185</v>
      </c>
    </row>
    <row r="33" spans="1:17" s="487" customFormat="1">
      <c r="A33" s="1051" t="s">
        <v>565</v>
      </c>
      <c r="B33" s="991">
        <f ca="1">SUM(B22:B32)</f>
        <v>12667.797796630262</v>
      </c>
      <c r="C33" s="991">
        <f t="shared" ref="C33:Q33" ca="1" si="18">SUM(C22:C32)</f>
        <v>0</v>
      </c>
      <c r="D33" s="991">
        <f t="shared" ca="1" si="18"/>
        <v>20421.377279109322</v>
      </c>
      <c r="E33" s="991">
        <f t="shared" si="18"/>
        <v>949.7044481522006</v>
      </c>
      <c r="F33" s="991">
        <f t="shared" ca="1" si="18"/>
        <v>2511.8249152291878</v>
      </c>
      <c r="G33" s="991">
        <f t="shared" si="18"/>
        <v>11762.147403187988</v>
      </c>
      <c r="H33" s="991">
        <f t="shared" si="18"/>
        <v>2134.3292565553456</v>
      </c>
      <c r="I33" s="991">
        <f t="shared" si="18"/>
        <v>0</v>
      </c>
      <c r="J33" s="991">
        <f t="shared" si="18"/>
        <v>37.260206315326016</v>
      </c>
      <c r="K33" s="991">
        <f t="shared" si="18"/>
        <v>0</v>
      </c>
      <c r="L33" s="991">
        <f t="shared" ca="1" si="18"/>
        <v>0</v>
      </c>
      <c r="M33" s="991">
        <f t="shared" si="18"/>
        <v>0</v>
      </c>
      <c r="N33" s="991">
        <f t="shared" ca="1" si="18"/>
        <v>0</v>
      </c>
      <c r="O33" s="991">
        <f t="shared" si="18"/>
        <v>0</v>
      </c>
      <c r="P33" s="991">
        <f t="shared" si="18"/>
        <v>0</v>
      </c>
      <c r="Q33" s="991">
        <f t="shared" ca="1" si="18"/>
        <v>50484.441305179629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5678.5822864037818</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5678.5822864037818</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0.20107955691484267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0.20107955691484267</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1</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1.5633333333333335</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4</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76.266666666666666</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0.20107955691484267</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0.20107955691484267</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34023</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5479</v>
      </c>
      <c r="C9" s="342">
        <v>5625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312</v>
      </c>
    </row>
    <row r="15" spans="1:6">
      <c r="A15" s="348" t="s">
        <v>184</v>
      </c>
      <c r="B15" s="334">
        <v>2</v>
      </c>
    </row>
    <row r="16" spans="1:6">
      <c r="A16" s="348" t="s">
        <v>6</v>
      </c>
      <c r="B16" s="334">
        <v>66</v>
      </c>
    </row>
    <row r="17" spans="1:6">
      <c r="A17" s="348" t="s">
        <v>7</v>
      </c>
      <c r="B17" s="334">
        <v>156</v>
      </c>
    </row>
    <row r="18" spans="1:6">
      <c r="A18" s="348" t="s">
        <v>8</v>
      </c>
      <c r="B18" s="334">
        <v>209</v>
      </c>
    </row>
    <row r="19" spans="1:6">
      <c r="A19" s="348" t="s">
        <v>9</v>
      </c>
      <c r="B19" s="334">
        <v>168</v>
      </c>
    </row>
    <row r="20" spans="1:6">
      <c r="A20" s="348" t="s">
        <v>10</v>
      </c>
      <c r="B20" s="334">
        <v>128</v>
      </c>
    </row>
    <row r="21" spans="1:6">
      <c r="A21" s="348" t="s">
        <v>11</v>
      </c>
      <c r="B21" s="334">
        <v>0</v>
      </c>
    </row>
    <row r="22" spans="1:6">
      <c r="A22" s="348" t="s">
        <v>12</v>
      </c>
      <c r="B22" s="334">
        <v>187</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901</v>
      </c>
      <c r="B29" s="355">
        <v>17</v>
      </c>
      <c r="C29" s="356"/>
      <c r="D29" s="356"/>
      <c r="E29" s="356"/>
      <c r="F29" s="356"/>
    </row>
    <row r="30" spans="1:6">
      <c r="A30" s="341" t="s">
        <v>902</v>
      </c>
      <c r="B30" s="341">
        <v>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24684.44</v>
      </c>
    </row>
    <row r="39" spans="1:6">
      <c r="A39" s="348" t="s">
        <v>30</v>
      </c>
      <c r="B39" s="348" t="s">
        <v>31</v>
      </c>
      <c r="C39" s="334">
        <v>4390</v>
      </c>
      <c r="D39" s="334">
        <v>59497357.057413302</v>
      </c>
      <c r="E39" s="334">
        <v>5336</v>
      </c>
      <c r="F39" s="334">
        <v>18405292</v>
      </c>
    </row>
    <row r="40" spans="1:6">
      <c r="A40" s="348" t="s">
        <v>30</v>
      </c>
      <c r="B40" s="348" t="s">
        <v>29</v>
      </c>
      <c r="C40" s="334">
        <v>0</v>
      </c>
      <c r="D40" s="334">
        <v>0</v>
      </c>
      <c r="E40" s="334">
        <v>0</v>
      </c>
      <c r="F40" s="334">
        <v>0</v>
      </c>
    </row>
    <row r="41" spans="1:6">
      <c r="A41" s="348" t="s">
        <v>32</v>
      </c>
      <c r="B41" s="348" t="s">
        <v>33</v>
      </c>
      <c r="C41" s="334">
        <v>83</v>
      </c>
      <c r="D41" s="334">
        <v>2384459.7283302601</v>
      </c>
      <c r="E41" s="334">
        <v>152</v>
      </c>
      <c r="F41" s="334">
        <v>1276256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16</v>
      </c>
      <c r="F44" s="334">
        <v>1428058</v>
      </c>
    </row>
    <row r="45" spans="1:6">
      <c r="A45" s="348" t="s">
        <v>32</v>
      </c>
      <c r="B45" s="348" t="s">
        <v>37</v>
      </c>
      <c r="C45" s="334">
        <v>0</v>
      </c>
      <c r="D45" s="334">
        <v>0</v>
      </c>
      <c r="E45" s="334">
        <v>3</v>
      </c>
      <c r="F45" s="334">
        <v>22222.19</v>
      </c>
    </row>
    <row r="46" spans="1:6">
      <c r="A46" s="348" t="s">
        <v>32</v>
      </c>
      <c r="B46" s="348" t="s">
        <v>38</v>
      </c>
      <c r="C46" s="334">
        <v>0</v>
      </c>
      <c r="D46" s="334">
        <v>0</v>
      </c>
      <c r="E46" s="334">
        <v>0</v>
      </c>
      <c r="F46" s="334">
        <v>0</v>
      </c>
    </row>
    <row r="47" spans="1:6">
      <c r="A47" s="348" t="s">
        <v>32</v>
      </c>
      <c r="B47" s="348" t="s">
        <v>39</v>
      </c>
      <c r="C47" s="334">
        <v>0</v>
      </c>
      <c r="D47" s="334">
        <v>0</v>
      </c>
      <c r="E47" s="334">
        <v>3</v>
      </c>
      <c r="F47" s="334">
        <v>880293.1</v>
      </c>
    </row>
    <row r="48" spans="1:6">
      <c r="A48" s="348" t="s">
        <v>32</v>
      </c>
      <c r="B48" s="348" t="s">
        <v>29</v>
      </c>
      <c r="C48" s="334">
        <v>45</v>
      </c>
      <c r="D48" s="334">
        <v>15415836.6229627</v>
      </c>
      <c r="E48" s="334">
        <v>49</v>
      </c>
      <c r="F48" s="334">
        <v>14413077</v>
      </c>
    </row>
    <row r="49" spans="1:6">
      <c r="A49" s="348" t="s">
        <v>32</v>
      </c>
      <c r="B49" s="348" t="s">
        <v>40</v>
      </c>
      <c r="C49" s="334">
        <v>3</v>
      </c>
      <c r="D49" s="334">
        <v>5869553.97689291</v>
      </c>
      <c r="E49" s="334">
        <v>9</v>
      </c>
      <c r="F49" s="334">
        <v>1787801</v>
      </c>
    </row>
    <row r="50" spans="1:6">
      <c r="A50" s="348" t="s">
        <v>32</v>
      </c>
      <c r="B50" s="348" t="s">
        <v>41</v>
      </c>
      <c r="C50" s="334">
        <v>6</v>
      </c>
      <c r="D50" s="334">
        <v>437508.78173648799</v>
      </c>
      <c r="E50" s="334">
        <v>9</v>
      </c>
      <c r="F50" s="334">
        <v>672463.4</v>
      </c>
    </row>
    <row r="51" spans="1:6">
      <c r="A51" s="348" t="s">
        <v>42</v>
      </c>
      <c r="B51" s="348" t="s">
        <v>43</v>
      </c>
      <c r="C51" s="334">
        <v>0</v>
      </c>
      <c r="D51" s="334">
        <v>0</v>
      </c>
      <c r="E51" s="334">
        <v>16</v>
      </c>
      <c r="F51" s="334">
        <v>134527.4</v>
      </c>
    </row>
    <row r="52" spans="1:6">
      <c r="A52" s="348" t="s">
        <v>42</v>
      </c>
      <c r="B52" s="348" t="s">
        <v>29</v>
      </c>
      <c r="C52" s="334">
        <v>3</v>
      </c>
      <c r="D52" s="334">
        <v>48506.0917203016</v>
      </c>
      <c r="E52" s="334">
        <v>4</v>
      </c>
      <c r="F52" s="334">
        <v>52412.68</v>
      </c>
    </row>
    <row r="53" spans="1:6">
      <c r="A53" s="348" t="s">
        <v>44</v>
      </c>
      <c r="B53" s="348" t="s">
        <v>45</v>
      </c>
      <c r="C53" s="334">
        <v>86</v>
      </c>
      <c r="D53" s="334">
        <v>6899177.9081063997</v>
      </c>
      <c r="E53" s="334">
        <v>151</v>
      </c>
      <c r="F53" s="334">
        <v>717347.6</v>
      </c>
    </row>
    <row r="54" spans="1:6">
      <c r="A54" s="348" t="s">
        <v>46</v>
      </c>
      <c r="B54" s="348" t="s">
        <v>47</v>
      </c>
      <c r="C54" s="334">
        <v>0</v>
      </c>
      <c r="D54" s="334">
        <v>0</v>
      </c>
      <c r="E54" s="334">
        <v>1</v>
      </c>
      <c r="F54" s="334">
        <v>872619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32</v>
      </c>
      <c r="D57" s="334">
        <v>962807.76001784601</v>
      </c>
      <c r="E57" s="334">
        <v>47</v>
      </c>
      <c r="F57" s="334">
        <v>409277.9</v>
      </c>
    </row>
    <row r="58" spans="1:6">
      <c r="A58" s="348" t="s">
        <v>49</v>
      </c>
      <c r="B58" s="348" t="s">
        <v>51</v>
      </c>
      <c r="C58" s="334">
        <v>9</v>
      </c>
      <c r="D58" s="334">
        <v>441453.77249142999</v>
      </c>
      <c r="E58" s="334">
        <v>24</v>
      </c>
      <c r="F58" s="334">
        <v>3047879</v>
      </c>
    </row>
    <row r="59" spans="1:6">
      <c r="A59" s="348" t="s">
        <v>49</v>
      </c>
      <c r="B59" s="348" t="s">
        <v>52</v>
      </c>
      <c r="C59" s="334">
        <v>127</v>
      </c>
      <c r="D59" s="334">
        <v>5721121.3656140203</v>
      </c>
      <c r="E59" s="334">
        <v>224</v>
      </c>
      <c r="F59" s="334">
        <v>7419941</v>
      </c>
    </row>
    <row r="60" spans="1:6">
      <c r="A60" s="348" t="s">
        <v>49</v>
      </c>
      <c r="B60" s="348" t="s">
        <v>53</v>
      </c>
      <c r="C60" s="334">
        <v>58</v>
      </c>
      <c r="D60" s="334">
        <v>2721522.0612440002</v>
      </c>
      <c r="E60" s="334">
        <v>66</v>
      </c>
      <c r="F60" s="334">
        <v>2034655</v>
      </c>
    </row>
    <row r="61" spans="1:6">
      <c r="A61" s="348" t="s">
        <v>49</v>
      </c>
      <c r="B61" s="348" t="s">
        <v>54</v>
      </c>
      <c r="C61" s="334">
        <v>103</v>
      </c>
      <c r="D61" s="334">
        <v>2152788.3904455402</v>
      </c>
      <c r="E61" s="334">
        <v>265</v>
      </c>
      <c r="F61" s="334">
        <v>3854519</v>
      </c>
    </row>
    <row r="62" spans="1:6">
      <c r="A62" s="348" t="s">
        <v>49</v>
      </c>
      <c r="B62" s="348" t="s">
        <v>55</v>
      </c>
      <c r="C62" s="334">
        <v>33</v>
      </c>
      <c r="D62" s="334">
        <v>3943163.0312572801</v>
      </c>
      <c r="E62" s="334">
        <v>9</v>
      </c>
      <c r="F62" s="334">
        <v>162686.39999999999</v>
      </c>
    </row>
    <row r="63" spans="1:6">
      <c r="A63" s="348" t="s">
        <v>49</v>
      </c>
      <c r="B63" s="348" t="s">
        <v>29</v>
      </c>
      <c r="C63" s="334">
        <v>91</v>
      </c>
      <c r="D63" s="334">
        <v>4809550.3950148504</v>
      </c>
      <c r="E63" s="334">
        <v>103</v>
      </c>
      <c r="F63" s="334">
        <v>3308685</v>
      </c>
    </row>
    <row r="64" spans="1:6">
      <c r="A64" s="348" t="s">
        <v>56</v>
      </c>
      <c r="B64" s="348" t="s">
        <v>57</v>
      </c>
      <c r="C64" s="334">
        <v>0</v>
      </c>
      <c r="D64" s="334">
        <v>0</v>
      </c>
      <c r="E64" s="334">
        <v>0</v>
      </c>
      <c r="F64" s="334">
        <v>0</v>
      </c>
    </row>
    <row r="65" spans="1:6">
      <c r="A65" s="348" t="s">
        <v>56</v>
      </c>
      <c r="B65" s="348" t="s">
        <v>29</v>
      </c>
      <c r="C65" s="334">
        <v>1</v>
      </c>
      <c r="D65" s="334">
        <v>13217.839228298801</v>
      </c>
      <c r="E65" s="334">
        <v>4</v>
      </c>
      <c r="F65" s="334">
        <v>15490.6</v>
      </c>
    </row>
    <row r="66" spans="1:6">
      <c r="A66" s="348" t="s">
        <v>56</v>
      </c>
      <c r="B66" s="348" t="s">
        <v>58</v>
      </c>
      <c r="C66" s="334">
        <v>0</v>
      </c>
      <c r="D66" s="334">
        <v>0</v>
      </c>
      <c r="E66" s="334">
        <v>10</v>
      </c>
      <c r="F66" s="334">
        <v>69686.259999999995</v>
      </c>
    </row>
    <row r="67" spans="1:6">
      <c r="A67" s="355" t="s">
        <v>56</v>
      </c>
      <c r="B67" s="355" t="s">
        <v>59</v>
      </c>
      <c r="C67" s="334">
        <v>0</v>
      </c>
      <c r="D67" s="334">
        <v>0</v>
      </c>
      <c r="E67" s="334">
        <v>0</v>
      </c>
      <c r="F67" s="334">
        <v>0</v>
      </c>
    </row>
    <row r="68" spans="1:6">
      <c r="A68" s="341" t="s">
        <v>56</v>
      </c>
      <c r="B68" s="341" t="s">
        <v>60</v>
      </c>
      <c r="C68" s="334">
        <v>3</v>
      </c>
      <c r="D68" s="334">
        <v>46739.857809557601</v>
      </c>
      <c r="E68" s="334">
        <v>5</v>
      </c>
      <c r="F68" s="334">
        <v>101367.5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33576496</v>
      </c>
      <c r="E73" s="476">
        <v>30893430.773253229</v>
      </c>
    </row>
    <row r="74" spans="1:6">
      <c r="A74" s="348" t="s">
        <v>64</v>
      </c>
      <c r="B74" s="348" t="s">
        <v>714</v>
      </c>
      <c r="C74" s="1311" t="s">
        <v>716</v>
      </c>
      <c r="D74" s="476">
        <v>3880482.6982346945</v>
      </c>
      <c r="E74" s="476">
        <v>3656125.8588011861</v>
      </c>
    </row>
    <row r="75" spans="1:6">
      <c r="A75" s="348" t="s">
        <v>65</v>
      </c>
      <c r="B75" s="348" t="s">
        <v>713</v>
      </c>
      <c r="C75" s="1311" t="s">
        <v>717</v>
      </c>
      <c r="D75" s="476">
        <v>21806797</v>
      </c>
      <c r="E75" s="476">
        <v>16975289.484813295</v>
      </c>
    </row>
    <row r="76" spans="1:6">
      <c r="A76" s="348" t="s">
        <v>65</v>
      </c>
      <c r="B76" s="348" t="s">
        <v>714</v>
      </c>
      <c r="C76" s="1311" t="s">
        <v>718</v>
      </c>
      <c r="D76" s="476">
        <v>1307878.6982346945</v>
      </c>
      <c r="E76" s="476">
        <v>1183717.2181076608</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284026.60353061114</v>
      </c>
      <c r="C83" s="476">
        <v>286451.18966351543</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2091.3311620396848</v>
      </c>
    </row>
    <row r="92" spans="1:6">
      <c r="A92" s="341" t="s">
        <v>69</v>
      </c>
      <c r="B92" s="342">
        <v>3587.251124364097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3195</v>
      </c>
    </row>
    <row r="98" spans="1:6">
      <c r="A98" s="348" t="s">
        <v>72</v>
      </c>
      <c r="B98" s="334">
        <v>0</v>
      </c>
    </row>
    <row r="99" spans="1:6">
      <c r="A99" s="348" t="s">
        <v>73</v>
      </c>
      <c r="B99" s="334">
        <v>60</v>
      </c>
    </row>
    <row r="100" spans="1:6">
      <c r="A100" s="348" t="s">
        <v>74</v>
      </c>
      <c r="B100" s="334">
        <v>247</v>
      </c>
    </row>
    <row r="101" spans="1:6">
      <c r="A101" s="348" t="s">
        <v>75</v>
      </c>
      <c r="B101" s="334">
        <v>51</v>
      </c>
    </row>
    <row r="102" spans="1:6">
      <c r="A102" s="348" t="s">
        <v>76</v>
      </c>
      <c r="B102" s="334">
        <v>81</v>
      </c>
    </row>
    <row r="103" spans="1:6">
      <c r="A103" s="348" t="s">
        <v>77</v>
      </c>
      <c r="B103" s="334">
        <v>88</v>
      </c>
    </row>
    <row r="104" spans="1:6">
      <c r="A104" s="348" t="s">
        <v>78</v>
      </c>
      <c r="B104" s="334">
        <v>1163</v>
      </c>
    </row>
    <row r="105" spans="1:6">
      <c r="A105" s="341" t="s">
        <v>79</v>
      </c>
      <c r="B105" s="341">
        <v>5</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309" t="s">
        <v>663</v>
      </c>
      <c r="B111" s="1310">
        <v>4</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v>
      </c>
      <c r="C123" s="334">
        <v>7</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84</v>
      </c>
    </row>
    <row r="130" spans="1:6">
      <c r="A130" s="348" t="s">
        <v>295</v>
      </c>
      <c r="B130" s="334">
        <v>2</v>
      </c>
    </row>
    <row r="131" spans="1:6">
      <c r="A131" s="348" t="s">
        <v>296</v>
      </c>
      <c r="B131" s="334">
        <v>2</v>
      </c>
    </row>
    <row r="132" spans="1:6">
      <c r="A132" s="341" t="s">
        <v>297</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62998.934307355194</v>
      </c>
      <c r="C3" s="43" t="s">
        <v>170</v>
      </c>
      <c r="D3" s="43"/>
      <c r="E3" s="154"/>
      <c r="F3" s="43"/>
      <c r="G3" s="43"/>
      <c r="H3" s="43"/>
      <c r="I3" s="43"/>
      <c r="J3" s="43"/>
      <c r="K3" s="96"/>
    </row>
    <row r="4" spans="1:11">
      <c r="A4" s="384" t="s">
        <v>171</v>
      </c>
      <c r="B4" s="49">
        <f>IF(ISERROR('SEAP template'!B78+'SEAP template'!C78),0,'SEAP template'!B78+'SEAP template'!C78)</f>
        <v>5678.5822864037818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0.20107955691484267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872.61900000000003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872.61900000000003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0.20107955691484267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175.4658418754731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18405.292000000001</v>
      </c>
      <c r="C5" s="17">
        <f>IF(ISERROR('Eigen informatie GS &amp; warmtenet'!B57),0,'Eigen informatie GS &amp; warmtenet'!B57)</f>
        <v>0</v>
      </c>
      <c r="D5" s="30">
        <f>(SUM(HH_hh_gas_kWh,HH_rest_gas_kWh)/1000)*0.902</f>
        <v>53666.616065786802</v>
      </c>
      <c r="E5" s="17">
        <f>B46*B57</f>
        <v>2695.6917491563659</v>
      </c>
      <c r="F5" s="17">
        <f>B51*B62</f>
        <v>0</v>
      </c>
      <c r="G5" s="18"/>
      <c r="H5" s="17"/>
      <c r="I5" s="17"/>
      <c r="J5" s="17">
        <f>B50*B61+C50*C61</f>
        <v>0</v>
      </c>
      <c r="K5" s="17"/>
      <c r="L5" s="17"/>
      <c r="M5" s="17"/>
      <c r="N5" s="17">
        <f>B48*B59+C48*C59</f>
        <v>8689.3510214297912</v>
      </c>
      <c r="O5" s="17">
        <f>B69*B70*B71</f>
        <v>142.26333333333332</v>
      </c>
      <c r="P5" s="17">
        <f>B77*B78*B79/1000-B77*B78*B79/1000/B80</f>
        <v>209.73333333333335</v>
      </c>
    </row>
    <row r="6" spans="1:16">
      <c r="A6" s="16" t="s">
        <v>631</v>
      </c>
      <c r="B6" s="789">
        <f>kWh_PV_kleiner_dan_10kW</f>
        <v>2091.3311620396848</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20496.623162039687</v>
      </c>
      <c r="C8" s="21">
        <f>C5</f>
        <v>0</v>
      </c>
      <c r="D8" s="21">
        <f>D5</f>
        <v>53666.616065786802</v>
      </c>
      <c r="E8" s="21">
        <f>E5</f>
        <v>2695.6917491563659</v>
      </c>
      <c r="F8" s="21">
        <f>F5</f>
        <v>0</v>
      </c>
      <c r="G8" s="21"/>
      <c r="H8" s="21"/>
      <c r="I8" s="21"/>
      <c r="J8" s="21">
        <f>J5</f>
        <v>0</v>
      </c>
      <c r="K8" s="21"/>
      <c r="L8" s="21">
        <f>L5</f>
        <v>0</v>
      </c>
      <c r="M8" s="21">
        <f>M5</f>
        <v>0</v>
      </c>
      <c r="N8" s="21">
        <f>N5</f>
        <v>8689.3510214297912</v>
      </c>
      <c r="O8" s="21">
        <f>O5</f>
        <v>142.26333333333332</v>
      </c>
      <c r="P8" s="21">
        <f>P5</f>
        <v>209.73333333333335</v>
      </c>
    </row>
    <row r="9" spans="1:16">
      <c r="B9" s="19"/>
      <c r="C9" s="19"/>
      <c r="D9" s="258"/>
      <c r="E9" s="19"/>
      <c r="F9" s="19"/>
      <c r="G9" s="19"/>
      <c r="H9" s="19"/>
      <c r="I9" s="19"/>
      <c r="J9" s="19"/>
      <c r="K9" s="19"/>
      <c r="L9" s="19"/>
      <c r="M9" s="19"/>
      <c r="N9" s="19"/>
      <c r="O9" s="19"/>
      <c r="P9" s="19"/>
    </row>
    <row r="10" spans="1:16">
      <c r="A10" s="24" t="s">
        <v>214</v>
      </c>
      <c r="B10" s="25">
        <f ca="1">'EF ele_warmte'!B12</f>
        <v>0.20107955691484267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4121.4519036734418</v>
      </c>
      <c r="C12" s="23">
        <f ca="1">C10*C8</f>
        <v>0</v>
      </c>
      <c r="D12" s="23">
        <f>D8*D10</f>
        <v>10840.656445288934</v>
      </c>
      <c r="E12" s="23">
        <f>E10*E8</f>
        <v>611.92202705849502</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3195</v>
      </c>
      <c r="C18" s="166" t="s">
        <v>111</v>
      </c>
      <c r="D18" s="228"/>
      <c r="E18" s="15"/>
    </row>
    <row r="19" spans="1:7">
      <c r="A19" s="171" t="s">
        <v>72</v>
      </c>
      <c r="B19" s="37">
        <f>aantalw2001_ander</f>
        <v>0</v>
      </c>
      <c r="C19" s="166" t="s">
        <v>111</v>
      </c>
      <c r="D19" s="229"/>
      <c r="E19" s="15"/>
    </row>
    <row r="20" spans="1:7">
      <c r="A20" s="171" t="s">
        <v>73</v>
      </c>
      <c r="B20" s="37">
        <f>aantalw2001_propaan</f>
        <v>60</v>
      </c>
      <c r="C20" s="167">
        <f>IF(ISERROR(B20/SUM($B$20,$B$21,$B$22)*100),0,B20/SUM($B$20,$B$21,$B$22)*100)</f>
        <v>16.759776536312849</v>
      </c>
      <c r="D20" s="229"/>
      <c r="E20" s="15"/>
    </row>
    <row r="21" spans="1:7">
      <c r="A21" s="171" t="s">
        <v>74</v>
      </c>
      <c r="B21" s="37">
        <f>aantalw2001_elektriciteit</f>
        <v>247</v>
      </c>
      <c r="C21" s="167">
        <f>IF(ISERROR(B21/SUM($B$20,$B$21,$B$22)*100),0,B21/SUM($B$20,$B$21,$B$22)*100)</f>
        <v>68.994413407821227</v>
      </c>
      <c r="D21" s="229"/>
      <c r="E21" s="15"/>
    </row>
    <row r="22" spans="1:7">
      <c r="A22" s="171" t="s">
        <v>75</v>
      </c>
      <c r="B22" s="37">
        <f>aantalw2001_hout</f>
        <v>51</v>
      </c>
      <c r="C22" s="167">
        <f>IF(ISERROR(B22/SUM($B$20,$B$21,$B$22)*100),0,B22/SUM($B$20,$B$21,$B$22)*100)</f>
        <v>14.24581005586592</v>
      </c>
      <c r="D22" s="229"/>
      <c r="E22" s="15"/>
    </row>
    <row r="23" spans="1:7">
      <c r="A23" s="171" t="s">
        <v>76</v>
      </c>
      <c r="B23" s="37">
        <f>aantalw2001_niet_gespec</f>
        <v>81</v>
      </c>
      <c r="C23" s="166" t="s">
        <v>111</v>
      </c>
      <c r="D23" s="228"/>
      <c r="E23" s="15"/>
    </row>
    <row r="24" spans="1:7">
      <c r="A24" s="171" t="s">
        <v>77</v>
      </c>
      <c r="B24" s="37">
        <f>aantalw2001_steenkool</f>
        <v>88</v>
      </c>
      <c r="C24" s="166" t="s">
        <v>111</v>
      </c>
      <c r="D24" s="229"/>
      <c r="E24" s="15"/>
    </row>
    <row r="25" spans="1:7">
      <c r="A25" s="171" t="s">
        <v>78</v>
      </c>
      <c r="B25" s="37">
        <f>aantalw2001_stookolie</f>
        <v>1163</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740</v>
      </c>
      <c r="B28" s="37">
        <f>aantalHuishoudens2011</f>
        <v>5479</v>
      </c>
      <c r="C28" s="36"/>
      <c r="D28" s="228"/>
    </row>
    <row r="29" spans="1:7" s="15" customFormat="1">
      <c r="A29" s="230" t="s">
        <v>741</v>
      </c>
      <c r="B29" s="37">
        <f>SUM(HH_hh_gas_aantal,HH_rest_gas_aantal)</f>
        <v>4390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4390</v>
      </c>
      <c r="C32" s="167">
        <f>IF(ISERROR(B32/SUM($B$32,$B$34,$B$35,$B$36,$B$38,$B$39)*100),0,B32/SUM($B$32,$B$34,$B$35,$B$36,$B$38,$B$39)*100)</f>
        <v>80.285296269202632</v>
      </c>
      <c r="D32" s="233"/>
      <c r="G32" s="15"/>
    </row>
    <row r="33" spans="1:7">
      <c r="A33" s="171" t="s">
        <v>72</v>
      </c>
      <c r="B33" s="34" t="s">
        <v>111</v>
      </c>
      <c r="C33" s="167"/>
      <c r="D33" s="233"/>
      <c r="G33" s="15"/>
    </row>
    <row r="34" spans="1:7">
      <c r="A34" s="171" t="s">
        <v>73</v>
      </c>
      <c r="B34" s="33">
        <f>IF((($B$28-$B$32-$B$39-$B$77-$B$38)*C20/100)&lt;0,0,($B$28-$B$32-$B$39-$B$77-$B$38)*C20/100)</f>
        <v>180.67039106145251</v>
      </c>
      <c r="C34" s="167">
        <f>IF(ISERROR(B34/SUM($B$32,$B$34,$B$35,$B$36,$B$38,$B$39)*100),0,B34/SUM($B$32,$B$34,$B$35,$B$36,$B$38,$B$39)*100)</f>
        <v>3.3041402900777705</v>
      </c>
      <c r="D34" s="233"/>
      <c r="G34" s="15"/>
    </row>
    <row r="35" spans="1:7">
      <c r="A35" s="171" t="s">
        <v>74</v>
      </c>
      <c r="B35" s="33">
        <f>IF((($B$28-$B$32-$B$39-$B$77-$B$38)*C21/100)&lt;0,0,($B$28-$B$32-$B$39-$B$77-$B$38)*C21/100)</f>
        <v>743.75977653631287</v>
      </c>
      <c r="C35" s="167">
        <f>IF(ISERROR(B35/SUM($B$32,$B$34,$B$35,$B$36,$B$38,$B$39)*100),0,B35/SUM($B$32,$B$34,$B$35,$B$36,$B$38,$B$39)*100)</f>
        <v>13.602044194153489</v>
      </c>
      <c r="D35" s="233"/>
      <c r="G35" s="15"/>
    </row>
    <row r="36" spans="1:7">
      <c r="A36" s="171" t="s">
        <v>75</v>
      </c>
      <c r="B36" s="33">
        <f>IF((($B$28-$B$32-$B$39-$B$77-$B$38)*C22/100)&lt;0,0,($B$28-$B$32-$B$39-$B$77-$B$38)*C22/100)</f>
        <v>153.56983240223462</v>
      </c>
      <c r="C36" s="167">
        <f>IF(ISERROR(B36/SUM($B$32,$B$34,$B$35,$B$36,$B$38,$B$39)*100),0,B36/SUM($B$32,$B$34,$B$35,$B$36,$B$38,$B$39)*100)</f>
        <v>2.8085192465661049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4390</v>
      </c>
      <c r="C44" s="34" t="s">
        <v>111</v>
      </c>
      <c r="D44" s="174"/>
    </row>
    <row r="45" spans="1:7">
      <c r="A45" s="171" t="s">
        <v>72</v>
      </c>
      <c r="B45" s="33" t="str">
        <f t="shared" si="0"/>
        <v>-</v>
      </c>
      <c r="C45" s="34" t="s">
        <v>111</v>
      </c>
      <c r="D45" s="174"/>
    </row>
    <row r="46" spans="1:7">
      <c r="A46" s="171" t="s">
        <v>73</v>
      </c>
      <c r="B46" s="33">
        <f t="shared" si="0"/>
        <v>180.67039106145251</v>
      </c>
      <c r="C46" s="34" t="s">
        <v>111</v>
      </c>
      <c r="D46" s="174"/>
    </row>
    <row r="47" spans="1:7">
      <c r="A47" s="171" t="s">
        <v>74</v>
      </c>
      <c r="B47" s="33">
        <f t="shared" si="0"/>
        <v>743.75977653631287</v>
      </c>
      <c r="C47" s="34" t="s">
        <v>111</v>
      </c>
      <c r="D47" s="174"/>
    </row>
    <row r="48" spans="1:7">
      <c r="A48" s="171" t="s">
        <v>75</v>
      </c>
      <c r="B48" s="33">
        <f t="shared" si="0"/>
        <v>153.56983240223462</v>
      </c>
      <c r="C48" s="33">
        <f>B48*10</f>
        <v>1535.6983240223462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20237.6433</v>
      </c>
      <c r="C5" s="17">
        <f>IF(ISERROR('Eigen informatie GS &amp; warmtenet'!B58),0,'Eigen informatie GS &amp; warmtenet'!B58)</f>
        <v>0</v>
      </c>
      <c r="D5" s="30">
        <f>SUM(D6:D12)</f>
        <v>18718.67091202864</v>
      </c>
      <c r="E5" s="17">
        <f>SUM(E6:E12)</f>
        <v>210.12828533698467</v>
      </c>
      <c r="F5" s="17">
        <f>SUM(F6:F12)</f>
        <v>2826.249779360845</v>
      </c>
      <c r="G5" s="18"/>
      <c r="H5" s="17"/>
      <c r="I5" s="17"/>
      <c r="J5" s="17">
        <f>SUM(J6:J12)</f>
        <v>0</v>
      </c>
      <c r="K5" s="17"/>
      <c r="L5" s="17"/>
      <c r="M5" s="17"/>
      <c r="N5" s="17">
        <f>SUM(N6:N12)</f>
        <v>694.56223404836169</v>
      </c>
      <c r="O5" s="17">
        <f>B38*B39*B40</f>
        <v>3.1266666666666669</v>
      </c>
      <c r="P5" s="17">
        <f>B46*B47*B48/1000-B46*B47*B48/1000/B49</f>
        <v>38.133333333333333</v>
      </c>
      <c r="R5" s="32"/>
    </row>
    <row r="6" spans="1:18">
      <c r="A6" s="32" t="s">
        <v>54</v>
      </c>
      <c r="B6" s="37">
        <f>B26</f>
        <v>3854.5189999999998</v>
      </c>
      <c r="C6" s="33"/>
      <c r="D6" s="37">
        <f>IF(ISERROR(TER_kantoor_gas_kWh/1000),0,TER_kantoor_gas_kWh/1000)*0.902</f>
        <v>1941.8151281818773</v>
      </c>
      <c r="E6" s="33">
        <f>$C$26*'E Balans VL '!I12/100/3.6*1000000</f>
        <v>11.167107081126419</v>
      </c>
      <c r="F6" s="33">
        <f>$C$26*('E Balans VL '!L12+'E Balans VL '!N12)/100/3.6*1000000</f>
        <v>436.24662916225623</v>
      </c>
      <c r="G6" s="34"/>
      <c r="H6" s="33"/>
      <c r="I6" s="33"/>
      <c r="J6" s="33">
        <f>$C$26*('E Balans VL '!D12+'E Balans VL '!E12)/100/3.6*1000000</f>
        <v>0</v>
      </c>
      <c r="K6" s="33"/>
      <c r="L6" s="33"/>
      <c r="M6" s="33"/>
      <c r="N6" s="33">
        <f>$C$26*'E Balans VL '!Y12/100/3.6*1000000</f>
        <v>38.580895053592208</v>
      </c>
      <c r="O6" s="33"/>
      <c r="P6" s="33"/>
      <c r="R6" s="32"/>
    </row>
    <row r="7" spans="1:18">
      <c r="A7" s="32" t="s">
        <v>53</v>
      </c>
      <c r="B7" s="37">
        <f t="shared" ref="B7:B12" si="0">B27</f>
        <v>2034.655</v>
      </c>
      <c r="C7" s="33"/>
      <c r="D7" s="37">
        <f>IF(ISERROR(TER_horeca_gas_kWh/1000),0,TER_horeca_gas_kWh/1000)*0.902</f>
        <v>2454.8128992420884</v>
      </c>
      <c r="E7" s="33">
        <f>$C$27*'E Balans VL '!I9/100/3.6*1000000</f>
        <v>85.409132186281724</v>
      </c>
      <c r="F7" s="33">
        <f>$C$27*('E Balans VL '!L9+'E Balans VL '!N9)/100/3.6*1000000</f>
        <v>437.18735128051424</v>
      </c>
      <c r="G7" s="34"/>
      <c r="H7" s="33"/>
      <c r="I7" s="33"/>
      <c r="J7" s="33">
        <f>$C$27*('E Balans VL '!D9+'E Balans VL '!E9)/100/3.6*1000000</f>
        <v>0</v>
      </c>
      <c r="K7" s="33"/>
      <c r="L7" s="33"/>
      <c r="M7" s="33"/>
      <c r="N7" s="33">
        <f>$C$27*'E Balans VL '!Y9/100/3.6*1000000</f>
        <v>0.52431279979651724</v>
      </c>
      <c r="O7" s="33"/>
      <c r="P7" s="33"/>
      <c r="R7" s="32"/>
    </row>
    <row r="8" spans="1:18">
      <c r="A8" s="6" t="s">
        <v>52</v>
      </c>
      <c r="B8" s="37">
        <f t="shared" si="0"/>
        <v>7419.9409999999998</v>
      </c>
      <c r="C8" s="33"/>
      <c r="D8" s="37">
        <f>IF(ISERROR(TER_handel_gas_kWh/1000),0,TER_handel_gas_kWh/1000)*0.902</f>
        <v>5160.4514717838456</v>
      </c>
      <c r="E8" s="33">
        <f>$C$28*'E Balans VL '!I13/100/3.6*1000000</f>
        <v>79.696341781347527</v>
      </c>
      <c r="F8" s="33">
        <f>$C$28*('E Balans VL '!L13+'E Balans VL '!N13)/100/3.6*1000000</f>
        <v>960.57263505965545</v>
      </c>
      <c r="G8" s="34"/>
      <c r="H8" s="33"/>
      <c r="I8" s="33"/>
      <c r="J8" s="33">
        <f>$C$28*('E Balans VL '!D13+'E Balans VL '!E13)/100/3.6*1000000</f>
        <v>0</v>
      </c>
      <c r="K8" s="33"/>
      <c r="L8" s="33"/>
      <c r="M8" s="33"/>
      <c r="N8" s="33">
        <f>$C$28*'E Balans VL '!Y13/100/3.6*1000000</f>
        <v>60.190966538394164</v>
      </c>
      <c r="O8" s="33"/>
      <c r="P8" s="33"/>
      <c r="R8" s="32"/>
    </row>
    <row r="9" spans="1:18">
      <c r="A9" s="32" t="s">
        <v>51</v>
      </c>
      <c r="B9" s="37">
        <f t="shared" si="0"/>
        <v>3047.8789999999999</v>
      </c>
      <c r="C9" s="33"/>
      <c r="D9" s="37">
        <f>IF(ISERROR(TER_gezond_gas_kWh/1000),0,TER_gezond_gas_kWh/1000)*0.902</f>
        <v>398.19130278726988</v>
      </c>
      <c r="E9" s="33">
        <f>$C$29*'E Balans VL '!I10/100/3.6*1000000</f>
        <v>2.4263088155324102</v>
      </c>
      <c r="F9" s="33">
        <f>$C$29*('E Balans VL '!L10+'E Balans VL '!N10)/100/3.6*1000000</f>
        <v>370.51373826877472</v>
      </c>
      <c r="G9" s="34"/>
      <c r="H9" s="33"/>
      <c r="I9" s="33"/>
      <c r="J9" s="33">
        <f>$C$29*('E Balans VL '!D10+'E Balans VL '!E10)/100/3.6*1000000</f>
        <v>0</v>
      </c>
      <c r="K9" s="33"/>
      <c r="L9" s="33"/>
      <c r="M9" s="33"/>
      <c r="N9" s="33">
        <f>$C$29*'E Balans VL '!Y10/100/3.6*1000000</f>
        <v>24.619959079513539</v>
      </c>
      <c r="O9" s="33"/>
      <c r="P9" s="33"/>
      <c r="R9" s="32"/>
    </row>
    <row r="10" spans="1:18">
      <c r="A10" s="32" t="s">
        <v>50</v>
      </c>
      <c r="B10" s="37">
        <f t="shared" si="0"/>
        <v>409.27790000000005</v>
      </c>
      <c r="C10" s="33"/>
      <c r="D10" s="37">
        <f>IF(ISERROR(TER_ander_gas_kWh/1000),0,TER_ander_gas_kWh/1000)*0.902</f>
        <v>868.45259953609718</v>
      </c>
      <c r="E10" s="33">
        <f>$C$30*'E Balans VL '!I14/100/3.6*1000000</f>
        <v>1.4026168640047774</v>
      </c>
      <c r="F10" s="33">
        <f>$C$30*('E Balans VL '!L14+'E Balans VL '!N14)/100/3.6*1000000</f>
        <v>91.416051765228787</v>
      </c>
      <c r="G10" s="34"/>
      <c r="H10" s="33"/>
      <c r="I10" s="33"/>
      <c r="J10" s="33">
        <f>$C$30*('E Balans VL '!D14+'E Balans VL '!E14)/100/3.6*1000000</f>
        <v>0</v>
      </c>
      <c r="K10" s="33"/>
      <c r="L10" s="33"/>
      <c r="M10" s="33"/>
      <c r="N10" s="33">
        <f>$C$30*'E Balans VL '!Y14/100/3.6*1000000</f>
        <v>288.29758860146308</v>
      </c>
      <c r="O10" s="33"/>
      <c r="P10" s="33"/>
      <c r="R10" s="32"/>
    </row>
    <row r="11" spans="1:18">
      <c r="A11" s="32" t="s">
        <v>55</v>
      </c>
      <c r="B11" s="37">
        <f t="shared" si="0"/>
        <v>162.68639999999999</v>
      </c>
      <c r="C11" s="33"/>
      <c r="D11" s="37">
        <f>IF(ISERROR(TER_onderwijs_gas_kWh/1000),0,TER_onderwijs_gas_kWh/1000)*0.902</f>
        <v>3556.7330541940669</v>
      </c>
      <c r="E11" s="33">
        <f>$C$31*'E Balans VL '!I11/100/3.6*1000000</f>
        <v>0.11246009797320052</v>
      </c>
      <c r="F11" s="33">
        <f>$C$31*('E Balans VL '!L11+'E Balans VL '!N11)/100/3.6*1000000</f>
        <v>42.586573800727749</v>
      </c>
      <c r="G11" s="34"/>
      <c r="H11" s="33"/>
      <c r="I11" s="33"/>
      <c r="J11" s="33">
        <f>$C$31*('E Balans VL '!D11+'E Balans VL '!E11)/100/3.6*1000000</f>
        <v>0</v>
      </c>
      <c r="K11" s="33"/>
      <c r="L11" s="33"/>
      <c r="M11" s="33"/>
      <c r="N11" s="33">
        <f>$C$31*'E Balans VL '!Y11/100/3.6*1000000</f>
        <v>0.16194045465337306</v>
      </c>
      <c r="O11" s="33"/>
      <c r="P11" s="33"/>
      <c r="R11" s="32"/>
    </row>
    <row r="12" spans="1:18">
      <c r="A12" s="32" t="s">
        <v>260</v>
      </c>
      <c r="B12" s="37">
        <f t="shared" si="0"/>
        <v>3308.6849999999999</v>
      </c>
      <c r="C12" s="33"/>
      <c r="D12" s="37">
        <f>IF(ISERROR(TER_rest_gas_kWh/1000),0,TER_rest_gas_kWh/1000)*0.902</f>
        <v>4338.2144563033953</v>
      </c>
      <c r="E12" s="33">
        <f>$C$32*'E Balans VL '!I8/100/3.6*1000000</f>
        <v>29.914318510718587</v>
      </c>
      <c r="F12" s="33">
        <f>$C$32*('E Balans VL '!L8+'E Balans VL '!N8)/100/3.6*1000000</f>
        <v>487.72680002368742</v>
      </c>
      <c r="G12" s="34"/>
      <c r="H12" s="33"/>
      <c r="I12" s="33"/>
      <c r="J12" s="33">
        <f>$C$32*('E Balans VL '!D8+'E Balans VL '!E8)/100/3.6*1000000</f>
        <v>0</v>
      </c>
      <c r="K12" s="33"/>
      <c r="L12" s="33"/>
      <c r="M12" s="33"/>
      <c r="N12" s="33">
        <f>$C$32*'E Balans VL '!Y8/100/3.6*1000000</f>
        <v>282.18657152094886</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20237.6433</v>
      </c>
      <c r="C16" s="21">
        <f t="shared" ca="1" si="1"/>
        <v>0</v>
      </c>
      <c r="D16" s="21">
        <f t="shared" ca="1" si="1"/>
        <v>18718.67091202864</v>
      </c>
      <c r="E16" s="21">
        <f t="shared" si="1"/>
        <v>210.12828533698467</v>
      </c>
      <c r="F16" s="21">
        <f t="shared" ca="1" si="1"/>
        <v>2826.249779360845</v>
      </c>
      <c r="G16" s="21">
        <f t="shared" si="1"/>
        <v>0</v>
      </c>
      <c r="H16" s="21">
        <f t="shared" si="1"/>
        <v>0</v>
      </c>
      <c r="I16" s="21">
        <f t="shared" si="1"/>
        <v>0</v>
      </c>
      <c r="J16" s="21">
        <f t="shared" si="1"/>
        <v>0</v>
      </c>
      <c r="K16" s="21">
        <f t="shared" si="1"/>
        <v>0</v>
      </c>
      <c r="L16" s="21">
        <f t="shared" ca="1" si="1"/>
        <v>0</v>
      </c>
      <c r="M16" s="21">
        <f t="shared" si="1"/>
        <v>0</v>
      </c>
      <c r="N16" s="21">
        <f t="shared" ca="1" si="1"/>
        <v>694.56223404836169</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0.20107955691484267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4069.3763477646344</v>
      </c>
      <c r="C20" s="23">
        <f t="shared" ref="C20:P20" ca="1" si="2">C16*C18</f>
        <v>0</v>
      </c>
      <c r="D20" s="23">
        <f t="shared" ca="1" si="2"/>
        <v>3781.1715242297855</v>
      </c>
      <c r="E20" s="23">
        <f t="shared" si="2"/>
        <v>47.699120771495522</v>
      </c>
      <c r="F20" s="23">
        <f t="shared" ca="1" si="2"/>
        <v>754.6086910893456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3854.5189999999998</v>
      </c>
      <c r="C26" s="39">
        <f>IF(ISERROR(B26*3.6/1000000/'E Balans VL '!Z12*100),0,B26*3.6/1000000/'E Balans VL '!Z12*100)</f>
        <v>8.4668966105202609E-2</v>
      </c>
      <c r="D26" s="237" t="s">
        <v>692</v>
      </c>
      <c r="F26" s="6"/>
    </row>
    <row r="27" spans="1:18">
      <c r="A27" s="231" t="s">
        <v>53</v>
      </c>
      <c r="B27" s="33">
        <f>IF(ISERROR(TER_horeca_ele_kWh/1000),0,TER_horeca_ele_kWh/1000)</f>
        <v>2034.655</v>
      </c>
      <c r="C27" s="39">
        <f>IF(ISERROR(B27*3.6/1000000/'E Balans VL '!Z9*100),0,B27*3.6/1000000/'E Balans VL '!Z9*100)</f>
        <v>0.16350481093058852</v>
      </c>
      <c r="D27" s="237" t="s">
        <v>692</v>
      </c>
      <c r="F27" s="6"/>
    </row>
    <row r="28" spans="1:18">
      <c r="A28" s="171" t="s">
        <v>52</v>
      </c>
      <c r="B28" s="33">
        <f>IF(ISERROR(TER_handel_ele_kWh/1000),0,TER_handel_ele_kWh/1000)</f>
        <v>7419.9409999999998</v>
      </c>
      <c r="C28" s="39">
        <f>IF(ISERROR(B28*3.6/1000000/'E Balans VL '!Z13*100),0,B28*3.6/1000000/'E Balans VL '!Z13*100)</f>
        <v>0.21940247169037785</v>
      </c>
      <c r="D28" s="237" t="s">
        <v>692</v>
      </c>
      <c r="F28" s="6"/>
    </row>
    <row r="29" spans="1:18">
      <c r="A29" s="231" t="s">
        <v>51</v>
      </c>
      <c r="B29" s="33">
        <f>IF(ISERROR(TER_gezond_ele_kWh/1000),0,TER_gezond_ele_kWh/1000)</f>
        <v>3047.8789999999999</v>
      </c>
      <c r="C29" s="39">
        <f>IF(ISERROR(B29*3.6/1000000/'E Balans VL '!Z10*100),0,B29*3.6/1000000/'E Balans VL '!Z10*100)</f>
        <v>0.34341727400069927</v>
      </c>
      <c r="D29" s="237" t="s">
        <v>692</v>
      </c>
      <c r="F29" s="6"/>
    </row>
    <row r="30" spans="1:18">
      <c r="A30" s="231" t="s">
        <v>50</v>
      </c>
      <c r="B30" s="33">
        <f>IF(ISERROR(TER_ander_ele_kWh/1000),0,TER_ander_ele_kWh/1000)</f>
        <v>409.27790000000005</v>
      </c>
      <c r="C30" s="39">
        <f>IF(ISERROR(B30*3.6/1000000/'E Balans VL '!Z14*100),0,B30*3.6/1000000/'E Balans VL '!Z14*100)</f>
        <v>3.0952987948032234E-2</v>
      </c>
      <c r="D30" s="237" t="s">
        <v>692</v>
      </c>
      <c r="F30" s="6"/>
    </row>
    <row r="31" spans="1:18">
      <c r="A31" s="231" t="s">
        <v>55</v>
      </c>
      <c r="B31" s="33">
        <f>IF(ISERROR(TER_onderwijs_ele_kWh/1000),0,TER_onderwijs_ele_kWh/1000)</f>
        <v>162.68639999999999</v>
      </c>
      <c r="C31" s="39">
        <f>IF(ISERROR(B31*3.6/1000000/'E Balans VL '!Z11*100),0,B31*3.6/1000000/'E Balans VL '!Z11*100)</f>
        <v>3.3769920037355149E-2</v>
      </c>
      <c r="D31" s="237" t="s">
        <v>692</v>
      </c>
    </row>
    <row r="32" spans="1:18">
      <c r="A32" s="231" t="s">
        <v>260</v>
      </c>
      <c r="B32" s="33">
        <f>IF(ISERROR(TER_rest_ele_kWh/1000),0,TER_rest_ele_kWh/1000)</f>
        <v>3308.6849999999999</v>
      </c>
      <c r="C32" s="39">
        <f>IF(ISERROR(B32*3.6/1000000/'E Balans VL '!Z8*100),0,B32*3.6/1000000/'E Balans VL '!Z8*100)</f>
        <v>2.7873724691529777E-2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2</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20480.170689999999</v>
      </c>
      <c r="C5" s="17">
        <f>IF(ISERROR('Eigen informatie GS &amp; warmtenet'!B59),0,'Eigen informatie GS &amp; warmtenet'!B59)</f>
        <v>0</v>
      </c>
      <c r="D5" s="30">
        <f>SUM(D6:D15)</f>
        <v>21744.837917149969</v>
      </c>
      <c r="E5" s="17">
        <f>SUM(E6:E15)</f>
        <v>1133.3797931808158</v>
      </c>
      <c r="F5" s="17">
        <f>SUM(F6:F15)</f>
        <v>6107.0315777997039</v>
      </c>
      <c r="G5" s="18"/>
      <c r="H5" s="17"/>
      <c r="I5" s="17"/>
      <c r="J5" s="17">
        <f>SUM(J6:J15)</f>
        <v>76.594819578409272</v>
      </c>
      <c r="K5" s="17"/>
      <c r="L5" s="17"/>
      <c r="M5" s="17"/>
      <c r="N5" s="17">
        <f>SUM(N6:N15)</f>
        <v>3900.0354125894701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1428.058</v>
      </c>
      <c r="C8" s="33"/>
      <c r="D8" s="37">
        <f>IF( ISERROR(IND_metaal_Gas_kWH/1000),0,IND_metaal_Gas_kWH/1000)*0.902</f>
        <v>0</v>
      </c>
      <c r="E8" s="33">
        <f>C30*'E Balans VL '!I18/100/3.6*1000000</f>
        <v>35.739293644077229</v>
      </c>
      <c r="F8" s="33">
        <f>C30*'E Balans VL '!L18/100/3.6*1000000+C30*'E Balans VL '!N18/100/3.6*1000000</f>
        <v>447.56048072581189</v>
      </c>
      <c r="G8" s="34"/>
      <c r="H8" s="33"/>
      <c r="I8" s="33"/>
      <c r="J8" s="40">
        <f>C30*'E Balans VL '!D18/100/3.6*1000000+C30*'E Balans VL '!E18/100/3.6*1000000</f>
        <v>0</v>
      </c>
      <c r="K8" s="33"/>
      <c r="L8" s="33"/>
      <c r="M8" s="33"/>
      <c r="N8" s="33">
        <f>C30*'E Balans VL '!Y18/100/3.6*1000000</f>
        <v>35.876523093687361</v>
      </c>
      <c r="O8" s="33"/>
      <c r="P8" s="33"/>
      <c r="R8" s="32"/>
    </row>
    <row r="9" spans="1:18">
      <c r="A9" s="6" t="s">
        <v>33</v>
      </c>
      <c r="B9" s="37">
        <f t="shared" si="0"/>
        <v>1276.2560000000001</v>
      </c>
      <c r="C9" s="33"/>
      <c r="D9" s="37">
        <f>IF( ISERROR(IND_andere_gas_kWh/1000),0,IND_andere_gas_kWh/1000)*0.902</f>
        <v>2150.7826749538945</v>
      </c>
      <c r="E9" s="33">
        <f>C31*'E Balans VL '!I19/100/3.6*1000000</f>
        <v>350.91805428920748</v>
      </c>
      <c r="F9" s="33">
        <f>C31*'E Balans VL '!L19/100/3.6*1000000+C31*'E Balans VL '!N19/100/3.6*1000000</f>
        <v>1005.9118124892132</v>
      </c>
      <c r="G9" s="34"/>
      <c r="H9" s="33"/>
      <c r="I9" s="33"/>
      <c r="J9" s="40">
        <f>C31*'E Balans VL '!D19/100/3.6*1000000+C31*'E Balans VL '!E19/100/3.6*1000000</f>
        <v>0</v>
      </c>
      <c r="K9" s="33"/>
      <c r="L9" s="33"/>
      <c r="M9" s="33"/>
      <c r="N9" s="33">
        <f>C31*'E Balans VL '!Y19/100/3.6*1000000</f>
        <v>413.15775472115899</v>
      </c>
      <c r="O9" s="33"/>
      <c r="P9" s="33"/>
      <c r="R9" s="32"/>
    </row>
    <row r="10" spans="1:18">
      <c r="A10" s="6" t="s">
        <v>41</v>
      </c>
      <c r="B10" s="37">
        <f t="shared" si="0"/>
        <v>672.46339999999998</v>
      </c>
      <c r="C10" s="33"/>
      <c r="D10" s="37">
        <f>IF( ISERROR(IND_voed_gas_kWh/1000),0,IND_voed_gas_kWh/1000)*0.902</f>
        <v>394.63292112631217</v>
      </c>
      <c r="E10" s="33">
        <f>C32*'E Balans VL '!I20/100/3.6*1000000</f>
        <v>6.855393900799073</v>
      </c>
      <c r="F10" s="33">
        <f>C32*'E Balans VL '!L20/100/3.6*1000000+C32*'E Balans VL '!N20/100/3.6*1000000</f>
        <v>1270.279156747428</v>
      </c>
      <c r="G10" s="34"/>
      <c r="H10" s="33"/>
      <c r="I10" s="33"/>
      <c r="J10" s="40">
        <f>C32*'E Balans VL '!D20/100/3.6*1000000+C32*'E Balans VL '!E20/100/3.6*1000000</f>
        <v>16.094249472206478</v>
      </c>
      <c r="K10" s="33"/>
      <c r="L10" s="33"/>
      <c r="M10" s="33"/>
      <c r="N10" s="33">
        <f>C32*'E Balans VL '!Y20/100/3.6*1000000</f>
        <v>354.46567008546884</v>
      </c>
      <c r="O10" s="33"/>
      <c r="P10" s="33"/>
      <c r="R10" s="32"/>
    </row>
    <row r="11" spans="1:18">
      <c r="A11" s="6" t="s">
        <v>40</v>
      </c>
      <c r="B11" s="37">
        <f t="shared" si="0"/>
        <v>1787.8009999999999</v>
      </c>
      <c r="C11" s="33"/>
      <c r="D11" s="37">
        <f>IF( ISERROR(IND_textiel_gas_kWh/1000),0,IND_textiel_gas_kWh/1000)*0.902</f>
        <v>5294.3376871574055</v>
      </c>
      <c r="E11" s="33">
        <f>C33*'E Balans VL '!I21/100/3.6*1000000</f>
        <v>4.7385472735400782</v>
      </c>
      <c r="F11" s="33">
        <f>C33*'E Balans VL '!L21/100/3.6*1000000+C33*'E Balans VL '!N21/100/3.6*1000000</f>
        <v>79.845036914058312</v>
      </c>
      <c r="G11" s="34"/>
      <c r="H11" s="33"/>
      <c r="I11" s="33"/>
      <c r="J11" s="40">
        <f>C33*'E Balans VL '!D21/100/3.6*1000000+C33*'E Balans VL '!E21/100/3.6*1000000</f>
        <v>0</v>
      </c>
      <c r="K11" s="33"/>
      <c r="L11" s="33"/>
      <c r="M11" s="33"/>
      <c r="N11" s="33">
        <f>C33*'E Balans VL '!Y21/100/3.6*1000000</f>
        <v>16.848746429559711</v>
      </c>
      <c r="O11" s="33"/>
      <c r="P11" s="33"/>
      <c r="R11" s="32"/>
    </row>
    <row r="12" spans="1:18">
      <c r="A12" s="6" t="s">
        <v>37</v>
      </c>
      <c r="B12" s="37">
        <f t="shared" si="0"/>
        <v>22.222189999999998</v>
      </c>
      <c r="C12" s="33"/>
      <c r="D12" s="37">
        <f>IF( ISERROR(IND_min_gas_kWh/1000),0,IND_min_gas_kWh/1000)*0.902</f>
        <v>0</v>
      </c>
      <c r="E12" s="33">
        <f>C34*'E Balans VL '!I22/100/3.6*1000000</f>
        <v>6.73009612371787E-2</v>
      </c>
      <c r="F12" s="33">
        <f>C34*'E Balans VL '!L22/100/3.6*1000000+C34*'E Balans VL '!N22/100/3.6*1000000</f>
        <v>0.69446254271907515</v>
      </c>
      <c r="G12" s="34"/>
      <c r="H12" s="33"/>
      <c r="I12" s="33"/>
      <c r="J12" s="40">
        <f>C34*'E Balans VL '!D22/100/3.6*1000000+C34*'E Balans VL '!E22/100/3.6*1000000</f>
        <v>3.2950574698016433E-2</v>
      </c>
      <c r="K12" s="33"/>
      <c r="L12" s="33"/>
      <c r="M12" s="33"/>
      <c r="N12" s="33">
        <f>C34*'E Balans VL '!Y22/100/3.6*1000000</f>
        <v>0</v>
      </c>
      <c r="O12" s="33"/>
      <c r="P12" s="33"/>
      <c r="R12" s="32"/>
    </row>
    <row r="13" spans="1:18">
      <c r="A13" s="6" t="s">
        <v>39</v>
      </c>
      <c r="B13" s="37">
        <f t="shared" si="0"/>
        <v>880.29309999999998</v>
      </c>
      <c r="C13" s="33"/>
      <c r="D13" s="37">
        <f>IF( ISERROR(IND_papier_gas_kWh/1000),0,IND_papier_gas_kWh/1000)*0.902</f>
        <v>0</v>
      </c>
      <c r="E13" s="33">
        <f>C35*'E Balans VL '!I23/100/3.6*1000000</f>
        <v>1.8231464284534808</v>
      </c>
      <c r="F13" s="33">
        <f>C35*'E Balans VL '!L23/100/3.6*1000000+C35*'E Balans VL '!N23/100/3.6*1000000</f>
        <v>17.458099371410391</v>
      </c>
      <c r="G13" s="34"/>
      <c r="H13" s="33"/>
      <c r="I13" s="33"/>
      <c r="J13" s="40">
        <f>C35*'E Balans VL '!D23/100/3.6*1000000+C35*'E Balans VL '!E23/100/3.6*1000000</f>
        <v>0</v>
      </c>
      <c r="K13" s="33"/>
      <c r="L13" s="33"/>
      <c r="M13" s="33"/>
      <c r="N13" s="33">
        <f>C35*'E Balans VL '!Y23/100/3.6*1000000</f>
        <v>371.70188537696328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14413.076999999999</v>
      </c>
      <c r="C15" s="33"/>
      <c r="D15" s="37">
        <f>IF( ISERROR(IND_rest_gas_kWh/1000),0,IND_rest_gas_kWh/1000)*0.902</f>
        <v>13905.084633912356</v>
      </c>
      <c r="E15" s="33">
        <f>C37*'E Balans VL '!I15/100/3.6*1000000</f>
        <v>733.23805668350121</v>
      </c>
      <c r="F15" s="33">
        <f>C37*'E Balans VL '!L15/100/3.6*1000000+C37*'E Balans VL '!N15/100/3.6*1000000</f>
        <v>3285.2825290090627</v>
      </c>
      <c r="G15" s="34"/>
      <c r="H15" s="33"/>
      <c r="I15" s="33"/>
      <c r="J15" s="40">
        <f>C37*'E Balans VL '!D15/100/3.6*1000000+C37*'E Balans VL '!E15/100/3.6*1000000</f>
        <v>60.467619531504781</v>
      </c>
      <c r="K15" s="33"/>
      <c r="L15" s="33"/>
      <c r="M15" s="33"/>
      <c r="N15" s="33">
        <f>C37*'E Balans VL '!Y15/100/3.6*1000000</f>
        <v>2707.984832882632</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20480.170689999999</v>
      </c>
      <c r="C18" s="21">
        <f>C5+C16</f>
        <v>0</v>
      </c>
      <c r="D18" s="21">
        <f>MAX((D5+D16),0)</f>
        <v>21744.837917149969</v>
      </c>
      <c r="E18" s="21">
        <f>MAX((E5+E16),0)</f>
        <v>1133.3797931808158</v>
      </c>
      <c r="F18" s="21">
        <f>MAX((F5+F16),0)</f>
        <v>6107.0315777997039</v>
      </c>
      <c r="G18" s="21"/>
      <c r="H18" s="21"/>
      <c r="I18" s="21"/>
      <c r="J18" s="21">
        <f>MAX((J5+J16),0)</f>
        <v>76.594819578409272</v>
      </c>
      <c r="K18" s="21"/>
      <c r="L18" s="21">
        <f>MAX((L5+L16),0)</f>
        <v>0</v>
      </c>
      <c r="M18" s="21"/>
      <c r="N18" s="21">
        <f>MAX((N5+N16),0)</f>
        <v>3900.0354125894701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0.20107955691484267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4118.1436478855476</v>
      </c>
      <c r="C22" s="23">
        <f ca="1">C18*C20</f>
        <v>0</v>
      </c>
      <c r="D22" s="23">
        <f>D18*D20</f>
        <v>4392.4572592642944</v>
      </c>
      <c r="E22" s="23">
        <f>E18*E20</f>
        <v>257.27721305204517</v>
      </c>
      <c r="F22" s="23">
        <f>F18*F20</f>
        <v>1630.5774312725209</v>
      </c>
      <c r="G22" s="23"/>
      <c r="H22" s="23"/>
      <c r="I22" s="23"/>
      <c r="J22" s="23">
        <f>J18*J20</f>
        <v>27.114566130756881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1428.058</v>
      </c>
      <c r="C30" s="39">
        <f>IF(ISERROR(B30*3.6/1000000/'E Balans VL '!Z18*100),0,B30*3.6/1000000/'E Balans VL '!Z18*100)</f>
        <v>0.19988052944140258</v>
      </c>
      <c r="D30" s="237" t="s">
        <v>692</v>
      </c>
    </row>
    <row r="31" spans="1:18">
      <c r="A31" s="6" t="s">
        <v>33</v>
      </c>
      <c r="B31" s="37">
        <f>IF( ISERROR(IND_ander_ele_kWh/1000),0,IND_ander_ele_kWh/1000)</f>
        <v>1276.2560000000001</v>
      </c>
      <c r="C31" s="39">
        <f>IF(ISERROR(B31*3.6/1000000/'E Balans VL '!Z19*100),0,B31*3.6/1000000/'E Balans VL '!Z19*100)</f>
        <v>5.5861518081861988E-2</v>
      </c>
      <c r="D31" s="237" t="s">
        <v>692</v>
      </c>
    </row>
    <row r="32" spans="1:18">
      <c r="A32" s="171" t="s">
        <v>41</v>
      </c>
      <c r="B32" s="37">
        <f>IF( ISERROR(IND_voed_ele_kWh/1000),0,IND_voed_ele_kWh/1000)</f>
        <v>672.46339999999998</v>
      </c>
      <c r="C32" s="39">
        <f>IF(ISERROR(B32*3.6/1000000/'E Balans VL '!Z20*100),0,B32*3.6/1000000/'E Balans VL '!Z20*100)</f>
        <v>0.16647960643199342</v>
      </c>
      <c r="D32" s="237" t="s">
        <v>692</v>
      </c>
    </row>
    <row r="33" spans="1:5">
      <c r="A33" s="171" t="s">
        <v>40</v>
      </c>
      <c r="B33" s="37">
        <f>IF( ISERROR(IND_textiel_ele_kWh/1000),0,IND_textiel_ele_kWh/1000)</f>
        <v>1787.8009999999999</v>
      </c>
      <c r="C33" s="39">
        <f>IF(ISERROR(B33*3.6/1000000/'E Balans VL '!Z21*100),0,B33*3.6/1000000/'E Balans VL '!Z21*100)</f>
        <v>0.2014536802952448</v>
      </c>
      <c r="D33" s="237" t="s">
        <v>692</v>
      </c>
    </row>
    <row r="34" spans="1:5">
      <c r="A34" s="171" t="s">
        <v>37</v>
      </c>
      <c r="B34" s="37">
        <f>IF( ISERROR(IND_min_ele_kWh/1000),0,IND_min_ele_kWh/1000)</f>
        <v>22.222189999999998</v>
      </c>
      <c r="C34" s="39">
        <f>IF(ISERROR(B34*3.6/1000000/'E Balans VL '!Z22*100),0,B34*3.6/1000000/'E Balans VL '!Z22*100)</f>
        <v>6.3057509053736165E-4</v>
      </c>
      <c r="D34" s="237" t="s">
        <v>692</v>
      </c>
    </row>
    <row r="35" spans="1:5">
      <c r="A35" s="171" t="s">
        <v>39</v>
      </c>
      <c r="B35" s="37">
        <f>IF( ISERROR(IND_papier_ele_kWh/1000),0,IND_papier_ele_kWh/1000)</f>
        <v>880.29309999999998</v>
      </c>
      <c r="C35" s="39">
        <f>IF(ISERROR(B35*3.6/1000000/'E Balans VL '!Z22*100),0,B35*3.6/1000000/'E Balans VL '!Z22*100)</f>
        <v>2.4979126775169985E-2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14413.076999999999</v>
      </c>
      <c r="C37" s="39">
        <f>IF(ISERROR(B37*3.6/1000000/'E Balans VL '!Z15*100),0,B37*3.6/1000000/'E Balans VL '!Z15*100)</f>
        <v>0.10687049833179657</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186.94007999999999</v>
      </c>
      <c r="C5" s="17">
        <f>'Eigen informatie GS &amp; warmtenet'!B60</f>
        <v>0</v>
      </c>
      <c r="D5" s="30">
        <f>IF(ISERROR(SUM(LB_lb_gas_kWh,LB_rest_gas_kWh)/1000),0,SUM(LB_lb_gas_kWh,LB_rest_gas_kWh)/1000)*0.902</f>
        <v>43.752494731712041</v>
      </c>
      <c r="E5" s="17">
        <f>B17*'E Balans VL '!I25/3.6*1000000/100</f>
        <v>1.731517318662779</v>
      </c>
      <c r="F5" s="17">
        <f>B17*('E Balans VL '!L25/3.6*1000000+'E Balans VL '!N25/3.6*1000000)/100</f>
        <v>474.3025950086942</v>
      </c>
      <c r="G5" s="18"/>
      <c r="H5" s="17"/>
      <c r="I5" s="17"/>
      <c r="J5" s="17">
        <f>('E Balans VL '!D25+'E Balans VL '!E25)/3.6*1000000*landbouw!B17/100</f>
        <v>28.66000052138174</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186.94007999999999</v>
      </c>
      <c r="C8" s="21">
        <f>C5+C6</f>
        <v>0</v>
      </c>
      <c r="D8" s="21">
        <f>MAX((D5+D6),0)</f>
        <v>43.752494731712041</v>
      </c>
      <c r="E8" s="21">
        <f>MAX((E5+E6),0)</f>
        <v>1.731517318662779</v>
      </c>
      <c r="F8" s="21">
        <f>MAX((F5+F6),0)</f>
        <v>474.3025950086942</v>
      </c>
      <c r="G8" s="21"/>
      <c r="H8" s="21"/>
      <c r="I8" s="21"/>
      <c r="J8" s="21">
        <f>MAX((J5+J6),0)</f>
        <v>28.66000052138174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0.20107955691484267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37.589828456025238</v>
      </c>
      <c r="C12" s="23">
        <f ca="1">C8*C10</f>
        <v>0</v>
      </c>
      <c r="D12" s="23">
        <f>D8*D10</f>
        <v>8.8380039358058333</v>
      </c>
      <c r="E12" s="23">
        <f>E8*E10</f>
        <v>0.39305443133645085</v>
      </c>
      <c r="F12" s="23">
        <f>F8*F10</f>
        <v>126.63879286732136</v>
      </c>
      <c r="G12" s="23"/>
      <c r="H12" s="23"/>
      <c r="I12" s="23"/>
      <c r="J12" s="23">
        <f>J8*J10</f>
        <v>10.145640184569135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2.6578915561162292E-2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45.101156834362186</v>
      </c>
      <c r="C26" s="247">
        <f>B26*'GWP N2O_CH4'!B5</f>
        <v>947.12429352160586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6.1201653644852181</v>
      </c>
      <c r="C27" s="247">
        <f>B27*'GWP N2O_CH4'!B5</f>
        <v>128.52347265418959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0.66791798152415516</v>
      </c>
      <c r="C28" s="247">
        <f>B28*'GWP N2O_CH4'!B4</f>
        <v>207.05457427248811</v>
      </c>
      <c r="D28" s="50"/>
    </row>
    <row r="29" spans="1:4">
      <c r="A29" s="41" t="s">
        <v>277</v>
      </c>
      <c r="B29" s="247">
        <f>B34*'ha_N2O bodem landbouw'!B4</f>
        <v>2.0653735900478858</v>
      </c>
      <c r="C29" s="247">
        <f>B29*'GWP N2O_CH4'!B4</f>
        <v>640.26581291484456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4.6322690992018245E-4</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2.7325711135829145E-5</v>
      </c>
      <c r="C5" s="464" t="s">
        <v>211</v>
      </c>
      <c r="D5" s="449">
        <f>SUM(D6:D11)</f>
        <v>8.2338575400201061E-5</v>
      </c>
      <c r="E5" s="449">
        <f>SUM(E6:E11)</f>
        <v>5.1403928731181929E-4</v>
      </c>
      <c r="F5" s="462" t="s">
        <v>211</v>
      </c>
      <c r="G5" s="449">
        <f>SUM(G6:G11)</f>
        <v>0.15497082170035245</v>
      </c>
      <c r="H5" s="449">
        <f>SUM(H6:H11)</f>
        <v>3.0857772383932704E-2</v>
      </c>
      <c r="I5" s="464" t="s">
        <v>211</v>
      </c>
      <c r="J5" s="464" t="s">
        <v>211</v>
      </c>
      <c r="K5" s="464" t="s">
        <v>211</v>
      </c>
      <c r="L5" s="464" t="s">
        <v>211</v>
      </c>
      <c r="M5" s="449">
        <f>SUM(M6:M11)</f>
        <v>9.9142760259339786E-3</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1.6566397210243938E-5</v>
      </c>
      <c r="C6" s="450"/>
      <c r="D6" s="893">
        <f>vkm_2011_GW_PW*SUMIFS(TableVerdeelsleutelVkm[CNG],TableVerdeelsleutelVkm[Voertuigtype],"Lichte voertuigen")*SUMIFS(TableECFTransport[EnergieConsumptieFactor (PJ per km)],TableECFTransport[Index],CONCATENATE($A6,"_CNG_CNG"))</f>
        <v>3.8319900632073216E-5</v>
      </c>
      <c r="E6" s="893">
        <f>vkm_2011_GW_PW*SUMIFS(TableVerdeelsleutelVkm[LPG],TableVerdeelsleutelVkm[Voertuigtype],"Lichte voertuigen")*SUMIFS(TableECFTransport[EnergieConsumptieFactor (PJ per km)],TableECFTransport[Index],CONCATENATE($A6,"_LPG_LPG"))</f>
        <v>2.4951605217625716E-4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5.1835113852516129E-2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1.4611247390391822E-2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3.4482216951016568E-3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3.6200419559505093E-2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1.2379886059106936E-5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2.094399464807379E-3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1.0759313925585205E-5</v>
      </c>
      <c r="C8" s="450"/>
      <c r="D8" s="452">
        <f>vkm_2011_NGW_PW*SUMIFS(TableVerdeelsleutelVkm[CNG],TableVerdeelsleutelVkm[Voertuigtype],"Lichte voertuigen")*SUMIFS(TableECFTransport[EnergieConsumptieFactor (PJ per km)],TableECFTransport[Index],CONCATENATE($A8,"_CNG_CNG"))</f>
        <v>4.4018674768127845E-5</v>
      </c>
      <c r="E8" s="452">
        <f>vkm_2011_NGW_PW*SUMIFS(TableVerdeelsleutelVkm[LPG],TableVerdeelsleutelVkm[Voertuigtype],"Lichte voertuigen")*SUMIFS(TableECFTransport[EnergieConsumptieFactor (PJ per km)],TableECFTransport[Index],CONCATENATE($A8,"_LPG_LPG"))</f>
        <v>2.6452323513556213E-4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5.1370023661625651E-2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1.6229108369163435E-2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3.4711248932747592E-3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1.5565264626705572E-2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5.036738318341632E-6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9.0052997275018385E-4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7.5904753155080957</v>
      </c>
      <c r="C14" s="21"/>
      <c r="D14" s="21">
        <f t="shared" ref="D14:M14" si="0">((D5)*10^9/3600)+D12</f>
        <v>22.871826500055853</v>
      </c>
      <c r="E14" s="21">
        <f t="shared" si="0"/>
        <v>142.7886909199498</v>
      </c>
      <c r="F14" s="21"/>
      <c r="G14" s="21">
        <f t="shared" si="0"/>
        <v>43047.450472320124</v>
      </c>
      <c r="H14" s="21">
        <f t="shared" si="0"/>
        <v>8571.603439981307</v>
      </c>
      <c r="I14" s="21"/>
      <c r="J14" s="21"/>
      <c r="K14" s="21"/>
      <c r="L14" s="21"/>
      <c r="M14" s="21">
        <f t="shared" si="0"/>
        <v>2753.9655627594389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0.20107955691484267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1.5262894132154186</v>
      </c>
      <c r="C18" s="23"/>
      <c r="D18" s="23">
        <f t="shared" ref="D18:M18" si="1">D14*D16</f>
        <v>4.6201089530112824</v>
      </c>
      <c r="E18" s="23">
        <f t="shared" si="1"/>
        <v>32.413032838828606</v>
      </c>
      <c r="F18" s="23"/>
      <c r="G18" s="23">
        <f t="shared" si="1"/>
        <v>11493.669276109475</v>
      </c>
      <c r="H18" s="23">
        <f t="shared" si="1"/>
        <v>2134.3292565553456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3.6199298033057882E-3</v>
      </c>
      <c r="H50" s="321">
        <f t="shared" si="2"/>
        <v>0</v>
      </c>
      <c r="I50" s="321">
        <f t="shared" si="2"/>
        <v>0</v>
      </c>
      <c r="J50" s="321">
        <f t="shared" si="2"/>
        <v>0</v>
      </c>
      <c r="K50" s="321">
        <f t="shared" si="2"/>
        <v>0</v>
      </c>
      <c r="L50" s="321">
        <f t="shared" si="2"/>
        <v>0</v>
      </c>
      <c r="M50" s="321">
        <f t="shared" si="2"/>
        <v>2.0643404401710013E-4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3.6199298033057882E-3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2.0643404401710013E-4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1005.5360564738302</v>
      </c>
      <c r="H54" s="21">
        <f t="shared" si="3"/>
        <v>0</v>
      </c>
      <c r="I54" s="21">
        <f t="shared" si="3"/>
        <v>0</v>
      </c>
      <c r="J54" s="21">
        <f t="shared" si="3"/>
        <v>0</v>
      </c>
      <c r="K54" s="21">
        <f t="shared" si="3"/>
        <v>0</v>
      </c>
      <c r="L54" s="21">
        <f t="shared" si="3"/>
        <v>0</v>
      </c>
      <c r="M54" s="21">
        <f t="shared" si="3"/>
        <v>57.342790004750036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0.20107955691484267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268.47812707851267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5678.5822864037818</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5678.5822864037818</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2019-08-12T08:08:40Z</dcterms:modified>
</cp:coreProperties>
</file>