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Q9" i="48"/>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<sst xmlns="http://schemas.openxmlformats.org/spreadsheetml/2006/main" count="2419" uniqueCount="907">
  <si>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</si>
  <si>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</si>
  <si>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</si>
  <si>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</si>
  <si>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</si>
  <si>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</si>
  <si>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</si>
  <si>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</si>
  <si>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</si>
  <si>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</si>
  <si>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</si>
  <si>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</si>
  <si>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</si>
  <si>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</si>
  <si>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</si>
  <si>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</si>
  <si>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</si>
  <si>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</si>
  <si>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</si>
  <si>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</si>
  <si>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</si>
  <si>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</si>
  <si>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</si>
  <si>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</si>
  <si>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</si>
  <si>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</si>
  <si>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</si>
  <si>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</si>
  <si>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</si>
  <si>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</si>
  <si>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</si>
  <si>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</si>
  <si>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</si>
  <si>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</si>
  <si>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</si>
  <si>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</si>
  <si>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</si>
  <si>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</si>
  <si>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</si>
  <si>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</si>
  <si>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</si>
  <si>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</si>
  <si>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</si>
  <si>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</si>
  <si>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</si>
  <si>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</si>
  <si>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</si>
  <si>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</si>
  <si>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</si>
  <si>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</si>
  <si>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</si>
  <si>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</si>
  <si>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</si>
  <si>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</si>
  <si>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</si>
  <si>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</si>
  <si>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</si>
  <si>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</si>
  <si>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</si>
  <si>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</si>
  <si>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</si>
  <si>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</si>
  <si>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</si>
  <si>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</si>
  <si>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</si>
  <si>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</si>
  <si>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</si>
  <si>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</si>
  <si>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</si>
  <si>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</si>
  <si>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</si>
  <si>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</si>
  <si>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</si>
  <si>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</si>
  <si>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</si>
  <si>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</si>
  <si>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</si>
  <si>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</si>
  <si>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</si>
  <si>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</si>
  <si>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</si>
  <si>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</si>
  <si>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</si>
  <si>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</si>
  <si>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</si>
  <si>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</si>
  <si>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</si>
  <si>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</si>
  <si>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</si>
  <si>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</si>
  <si>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</si>
  <si>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</si>
  <si>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</si>
  <si>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</si>
  <si>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</si>
  <si>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</si>
  <si>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</si>
  <si>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</si>
  <si>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</si>
  <si>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</si>
  <si>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</si>
  <si>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</si>
  <si>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</si>
  <si>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</si>
  <si>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</si>
  <si>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</si>
  <si>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</si>
  <si>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</si>
  <si>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</si>
  <si>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</si>
  <si>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</si>
  <si>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</si>
  <si>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</si>
  <si>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</si>
  <si>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</si>
  <si>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</si>
  <si>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</si>
  <si>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</si>
  <si>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</si>
  <si>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</si>
  <si>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</si>
  <si>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</si>
  <si>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</si>
  <si>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</si>
  <si>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</si>
  <si>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</si>
  <si>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</si>
  <si>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</si>
  <si>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</si>
  <si>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</si>
  <si>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</si>
  <si>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</si>
  <si>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</si>
  <si>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</si>
  <si>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</si>
  <si>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</si>
  <si>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</si>
  <si>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</si>
  <si>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</si>
  <si>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</si>
  <si>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</si>
  <si>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</si>
  <si>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</si>
  <si>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</si>
  <si>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</si>
  <si>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</si>
  <si>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</si>
  <si>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</si>
  <si>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</si>
  <si>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</si>
  <si>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</si>
  <si>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</si>
  <si>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</si>
  <si>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</si>
  <si>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</si>
  <si>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</si>
  <si>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</si>
  <si>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</si>
  <si>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</si>
  <si>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</si>
  <si>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</si>
  <si>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</si>
  <si>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</si>
  <si>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</si>
  <si>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</si>
  <si>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</si>
  <si>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</si>
  <si>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</si>
  <si>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</si>
  <si>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</si>
  <si>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</si>
  <si>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</si>
  <si>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</si>
  <si>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</si>
  <si>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</si>
  <si>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</si>
  <si>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</si>
  <si>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</si>
  <si>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</si>
  <si>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</si>
  <si>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</si>
  <si>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</si>
  <si>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</si>
  <si>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</si>
  <si>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</si>
  <si>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</si>
  <si>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</si>
  <si>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</si>
  <si>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</si>
  <si>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</si>
  <si>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</si>
  <si>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</si>
  <si>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</si>
  <si>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</si>
  <si>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</si>
  <si>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</si>
  <si>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</si>
  <si>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</si>
  <si>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</si>
  <si>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</si>
  <si>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</si>
  <si>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</si>
  <si>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</si>
  <si>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</si>
  <si>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</si>
  <si>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</si>
  <si>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</si>
  <si>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</si>
  <si>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</si>
  <si>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</si>
  <si>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</si>
  <si>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</si>
  <si>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</si>
  <si>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</si>
  <si>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</si>
  <si>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</si>
  <si>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</si>
  <si>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</si>
  <si>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</si>
  <si>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</si>
  <si>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</si>
  <si>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</si>
  <si>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</si>
  <si>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</si>
  <si>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</si>
  <si>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</si>
  <si>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</si>
  <si>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</si>
  <si>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</si>
  <si>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</si>
  <si>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</si>
  <si>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</si>
  <si>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</si>
  <si>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</si>
  <si>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</si>
  <si>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</si>
  <si>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</si>
  <si>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</si>
  <si>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</si>
  <si>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</si>
  <si>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</si>
  <si>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</si>
  <si>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</si>
  <si>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</si>
  <si>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</si>
  <si>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</si>
  <si>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</si>
  <si>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</si>
  <si>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</si>
  <si>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</si>
  <si>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</si>
  <si>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</si>
  <si>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</si>
  <si>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</si>
  <si>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</si>
  <si>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</si>
  <si>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</si>
  <si>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</si>
  <si>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</si>
  <si>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</si>
  <si>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</si>
  <si>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</si>
  <si>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</si>
  <si>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</si>
  <si>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</si>
  <si>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</si>
  <si>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</si>
  <si>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</si>
  <si>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</si>
  <si>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</si>
  <si>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</si>
  <si>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</si>
  <si>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</si>
  <si>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</si>
  <si>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</si>
  <si>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</si>
  <si>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</si>
  <si>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</si>
  <si>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</si>
  <si>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</si>
  <si>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</si>
  <si>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</si>
  <si>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</si>
  <si>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</si>
  <si>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</si>
  <si>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</si>
  <si>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</si>
  <si>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</si>
  <si>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</si>
  <si>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</si>
  <si>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</si>
  <si>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</si>
  <si>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</si>
  <si>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</si>
  <si>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</si>
  <si>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</si>
  <si>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</si>
  <si>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</si>
  <si>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</si>
  <si>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</si>
  <si>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</si>
  <si>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</si>
  <si>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</si>
  <si>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</si>
  <si>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</si>
  <si>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</si>
  <si>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</si>
  <si>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</si>
  <si>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</si>
  <si>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</si>
  <si>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</si>
  <si>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</si>
  <si>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</si>
  <si>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</si>
  <si>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</si>
  <si>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</si>
  <si>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</si>
  <si>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</si>
  <si>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</si>
  <si>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</si>
  <si>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</si>
  <si>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</si>
  <si>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</si>
  <si>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</si>
  <si>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</si>
  <si>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</si>
  <si>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</si>
  <si>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</si>
  <si>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</si>
  <si>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</si>
  <si>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</si>
  <si>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</si>
  <si>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</si>
  <si>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</si>
  <si>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</si>
  <si>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</si>
  <si>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</si>
  <si>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</si>
  <si>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</si>
  <si>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</si>
  <si>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</si>
  <si>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</si>
  <si>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</si>
  <si>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</si>
  <si>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</si>
  <si>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</si>
  <si>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</si>
  <si>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</si>
  <si>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</si>
  <si>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</si>
  <si>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</si>
  <si>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</si>
  <si>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</si>
  <si>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</si>
  <si>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</si>
  <si>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</si>
  <si>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</si>
  <si>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</si>
  <si>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</si>
  <si>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</si>
  <si>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</si>
  <si>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</si>
  <si>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</si>
  <si>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</si>
  <si>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</si>
  <si>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</si>
  <si>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</si>
  <si>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</si>
  <si>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</si>
  <si>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</si>
  <si>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</si>
  <si>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</si>
  <si>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</si>
  <si>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</si>
  <si>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</si>
  <si>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</si>
  <si>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</si>
  <si>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</si>
  <si>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</si>
  <si>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</si>
  <si>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</si>
  <si>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</si>
  <si>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</si>
  <si>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</si>
  <si>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</si>
  <si>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</si>
  <si>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</si>
  <si>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</si>
  <si>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</si>
  <si>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</si>
  <si>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</si>
  <si>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</si>
  <si>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</si>
  <si>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</si>
  <si>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</si>
  <si>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</si>
  <si>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</si>
  <si>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</si>
  <si>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</si>
  <si>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</si>
  <si>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</si>
  <si>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</si>
  <si>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</si>
  <si>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</si>
  <si>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</si>
  <si>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</si>
  <si>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</si>
  <si>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</si>
  <si>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</si>
  <si>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</si>
  <si>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</si>
  <si>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</si>
  <si>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</si>
  <si>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</si>
  <si>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</si>
  <si>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</si>
  <si>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</si>
  <si>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</si>
  <si>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</si>
  <si>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</si>
  <si>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</si>
  <si>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</si>
  <si>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</si>
  <si>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</si>
  <si>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</si>
  <si>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</si>
  <si>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</si>
  <si>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</si>
  <si>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</si>
  <si>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</si>
  <si>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</si>
  <si>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</si>
  <si>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</si>
  <si>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</si>
  <si>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</si>
  <si>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</si>
  <si>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</si>
  <si>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</si>
  <si>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</si>
  <si>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</si>
  <si>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</si>
  <si>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</si>
  <si>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</si>
  <si>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</si>
  <si>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</si>
  <si>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</si>
  <si>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</si>
  <si>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</si>
  <si>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</si>
  <si>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</si>
  <si>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</si>
  <si>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</si>
  <si>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</si>
  <si>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</si>
  <si>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</si>
  <si>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</si>
  <si>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</si>
  <si>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</si>
  <si>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</si>
  <si>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</si>
  <si>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</si>
  <si>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</si>
  <si>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</si>
  <si>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</si>
  <si>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</si>
  <si>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</si>
  <si>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</si>
  <si>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</si>
  <si>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</si>
  <si>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</si>
  <si>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</si>
  <si>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</si>
  <si>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</si>
  <si>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</si>
  <si>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</si>
  <si>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</si>
  <si>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</si>
  <si>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</si>
  <si>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</si>
  <si>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</si>
  <si>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</si>
  <si>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</si>
  <si>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</si>
  <si>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</si>
  <si>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</si>
  <si>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</si>
  <si>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</si>
  <si>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</si>
  <si>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</si>
  <si>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</si>
  <si>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</si>
  <si>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</si>
  <si>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</si>
  <si>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</si>
  <si>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</si>
  <si>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</si>
  <si>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</si>
  <si>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</si>
  <si>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</si>
  <si>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</si>
  <si>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</si>
  <si>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</si>
  <si>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</si>
  <si>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</si>
  <si>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</si>
  <si>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</si>
  <si>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</si>
  <si>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</si>
  <si>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</si>
  <si>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</si>
  <si>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</si>
  <si>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</si>
  <si>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</si>
  <si>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</si>
  <si>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</si>
  <si>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</si>
  <si>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</si>
  <si>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</si>
  <si>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</si>
  <si>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</si>
  <si>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</si>
  <si>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</si>
  <si>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</si>
  <si>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</si>
  <si>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</si>
  <si>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</si>
  <si>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</si>
  <si>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</si>
  <si>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</si>
  <si>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</si>
  <si>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</si>
  <si>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</si>
  <si>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</si>
  <si>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</si>
  <si>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</si>
  <si>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</si>
  <si>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</si>
  <si>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</si>
  <si>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</si>
  <si>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</si>
  <si>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</si>
  <si>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</si>
  <si>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</si>
  <si>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</si>
  <si>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</si>
  <si>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</si>
  <si>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</si>
  <si>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</si>
  <si>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</si>
  <si>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</si>
  <si>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</si>
  <si>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</si>
  <si>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</si>
  <si>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</si>
  <si>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</si>
  <si>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</si>
  <si>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</si>
  <si>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</si>
  <si>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</si>
  <si>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</si>
  <si>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</si>
  <si>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</si>
  <si>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</si>
  <si>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</si>
  <si>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</si>
  <si>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</si>
  <si>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</si>
  <si>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</si>
  <si>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</si>
  <si>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</si>
  <si>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</si>
  <si>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</si>
  <si>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</si>
  <si>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</si>
  <si>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</si>
  <si>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</si>
  <si>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</si>
  <si>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</si>
  <si>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</si>
  <si>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</si>
  <si>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</si>
  <si>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</si>
  <si>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</si>
  <si>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</si>
  <si>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</si>
  <si>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</si>
  <si>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</si>
  <si>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</si>
  <si>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</si>
  <si>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</si>
  <si>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</si>
  <si>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</si>
  <si>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</si>
  <si>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</si>
  <si>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</si>
  <si>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</si>
  <si>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</si>
  <si>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</si>
  <si>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</si>
  <si>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</si>
  <si>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</si>
  <si>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</si>
  <si>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</si>
  <si>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</si>
  <si>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</si>
  <si>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</si>
  <si>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</si>
  <si>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</si>
  <si>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</si>
  <si>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</si>
  <si>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</si>
  <si>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</si>
  <si>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</si>
  <si>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</si>
  <si>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</si>
  <si>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</si>
  <si>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</si>
  <si>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</si>
  <si>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</si>
  <si>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</si>
  <si>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</si>
  <si>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</si>
  <si>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</si>
  <si>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</si>
  <si>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</si>
  <si>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</si>
  <si>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</si>
  <si>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</si>
  <si>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</si>
  <si>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</si>
  <si>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</si>
  <si>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</si>
  <si>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</si>
  <si>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</si>
  <si>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</si>
  <si>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</si>
  <si>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</si>
  <si>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</si>
  <si>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</si>
  <si>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</si>
  <si>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</si>
  <si>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</si>
  <si>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</si>
  <si>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</si>
  <si>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</si>
  <si>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</si>
  <si>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</si>
  <si>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</si>
  <si>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</si>
  <si>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</si>
  <si>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</si>
  <si>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</si>
  <si>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</si>
  <si>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</si>
  <si>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</si>
  <si>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</si>
  <si>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</si>
  <si>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</si>
  <si>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</si>
  <si>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</si>
  <si>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</si>
  <si>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</si>
  <si>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</si>
  <si>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</si>
  <si>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</si>
  <si>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</si>
  <si>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</si>
  <si>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</si>
  <si>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</si>
  <si>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</si>
  <si>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</si>
  <si>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</si>
  <si>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</si>
  <si>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</si>
  <si>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</si>
  <si>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</si>
  <si>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</si>
  <si>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</si>
  <si>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</si>
  <si>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</si>
  <si>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</si>
  <si>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</si>
  <si>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</si>
  <si>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</si>
  <si>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</si>
  <si>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</si>
  <si>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</si>
  <si>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</si>
  <si>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</si>
  <si>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</si>
  <si>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</si>
  <si>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</si>
  <si>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</si>
  <si>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</si>
  <si>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</si>
  <si>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</si>
  <si>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</si>
  <si>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</si>
  <si>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</si>
  <si>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</si>
  <si>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</si>
  <si>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</si>
  <si>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</si>
  <si>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</si>
  <si>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</si>
  <si>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</si>
  <si>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</si>
  <si>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</si>
  <si>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</si>
  <si>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</si>
  <si>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</si>
  <si>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</si>
  <si>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</si>
  <si>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</si>
  <si>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</si>
  <si>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</si>
  <si>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</si>
  <si>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</si>
  <si>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</si>
  <si>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</si>
  <si>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</si>
  <si>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</si>
  <si>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</si>
  <si>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</si>
  <si>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</si>
  <si>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</si>
  <si>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</si>
  <si>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</si>
  <si>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</si>
  <si>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</si>
  <si>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</si>
  <si>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</si>
  <si>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</si>
  <si>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</si>
  <si>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</si>
  <si>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</si>
  <si>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</si>
  <si>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</si>
  <si>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</si>
  <si>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</si>
  <si>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</si>
  <si>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</si>
  <si>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</si>
  <si>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</si>
  <si>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</si>
  <si>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</si>
  <si>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</si>
  <si>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</si>
  <si>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</si>
  <si>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</si>
  <si>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</si>
  <si>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</si>
  <si>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</si>
  <si>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</si>
  <si>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</si>
  <si>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</si>
  <si>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</si>
  <si>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</si>
  <si>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</si>
  <si>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</si>
  <si>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</si>
  <si>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</si>
  <si>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</si>
  <si>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</si>
  <si>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</si>
  <si>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</si>
  <si>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</si>
  <si>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</si>
  <si>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</si>
  <si>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</si>
  <si>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</si>
  <si>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</si>
  <si>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</si>
  <si>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</si>
  <si>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</si>
  <si>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</si>
  <si>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</si>
  <si>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</si>
  <si>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</si>
  <si>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</si>
  <si>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</si>
  <si>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</si>
  <si>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</si>
  <si>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</si>
  <si>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</si>
  <si>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</si>
  <si>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</si>
  <si>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</si>
  <si>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</si>
  <si>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</si>
  <si>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</si>
  <si>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</si>
  <si>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</si>
  <si>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</si>
  <si>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</si>
  <si>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</si>
  <si>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</si>
  <si>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</si>
  <si>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</si>
  <si>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</si>
  <si>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</si>
  <si>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</si>
  <si>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</si>
  <si>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</si>
  <si>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</si>
  <si>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</si>
  <si>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</si>
  <si>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</si>
  <si>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</si>
  <si>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</si>
  <si>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</si>
  <si>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</si>
  <si>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</si>
  <si>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</si>
  <si>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</si>
  <si>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</si>
  <si>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</si>
  <si>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</si>
  <si>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</si>
  <si>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</si>
  <si>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</si>
  <si>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</si>
  <si>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</si>
  <si>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</si>
  <si>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</si>
  <si>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</si>
  <si>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</si>
  <si>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</si>
  <si>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</si>
  <si>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</si>
  <si>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</si>
  <si>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</si>
  <si>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</si>
  <si>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</si>
  <si>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</si>
  <si>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</si>
  <si>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</si>
  <si>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</si>
  <si>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</si>
  <si>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</si>
  <si>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</si>
  <si>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</si>
  <si>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</si>
  <si>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</si>
  <si>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</si>
  <si>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</si>
  <si>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</si>
  <si>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</si>
  <si>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</si>
  <si>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</si>
  <si>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</si>
  <si>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</si>
  <si>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</si>
  <si>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</si>
  <si>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</si>
  <si>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</si>
  <si>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</si>
  <si>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</si>
  <si>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</si>
  <si>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</si>
  <si>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</si>
  <si>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</si>
  <si>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</si>
  <si>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</si>
  <si>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</si>
  <si>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</si>
  <si>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</si>
  <si>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</si>
  <si>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</si>
  <si>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</si>
  <si>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</si>
  <si>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</si>
  <si>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</si>
  <si>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</si>
  <si>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</si>
  <si>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</si>
  <si>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</si>
  <si>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</si>
  <si>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</si>
  <si>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</si>
  <si>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</si>
  <si>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</si>
  <si>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</si>
  <si>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</si>
  <si>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</si>
  <si>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</si>
  <si>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</si>
  <si>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</si>
  <si>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</si>
  <si>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</si>
  <si>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</si>
  <si>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</si>
  <si>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</si>
  <si>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</si>
  <si>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</si>
  <si>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</si>
  <si>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</si>
  <si>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</si>
  <si>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</si>
  <si>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34009</t>
  </si>
  <si>
    <t>DEERLIJK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</si>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</sst>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90345.220142469771</c:v>
                </c:pt>
                <c:pt idx="1">
                  <c:v>33093.373241302143</c:v>
                </c:pt>
                <c:pt idx="2">
                  <c:v>951.02200000000005</c:v>
                </c:pt>
                <c:pt idx="3">
                  <c:v>4390.7846611456416</c:v>
                </c:pt>
                <c:pt idx="4">
                  <c:v>51361.33186610978</c:v>
                </c:pt>
                <c:pt idx="5">
                  <c:v>189566.26808617078</c:v>
                </c:pt>
                <c:pt idx="6">
                  <c:v>445.80817488576776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90345.220142469771</c:v>
                </c:pt>
                <c:pt idx="1">
                  <c:v>33093.373241302143</c:v>
                </c:pt>
                <c:pt idx="2">
                  <c:v>951.02200000000005</c:v>
                </c:pt>
                <c:pt idx="3">
                  <c:v>4390.7846611456416</c:v>
                </c:pt>
                <c:pt idx="4">
                  <c:v>51361.33186610978</c:v>
                </c:pt>
                <c:pt idx="5">
                  <c:v>189566.26808617078</c:v>
                </c:pt>
                <c:pt idx="6">
                  <c:v>445.80817488576776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18226.146207955913</c:v>
                </c:pt>
                <c:pt idx="2">
                  <c:v>6389.798520229625</c:v>
                </c:pt>
                <c:pt idx="3">
                  <c:v>180.30218450037421</c:v>
                </c:pt>
                <c:pt idx="4">
                  <c:v>1091.0446411259138</c:v>
                </c:pt>
                <c:pt idx="5">
                  <c:v>9992.2252868483884</c:v>
                </c:pt>
                <c:pt idx="6">
                  <c:v>47584.691351105772</c:v>
                </c:pt>
                <c:pt idx="7">
                  <c:v>112.60901863478098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13728"/>
      </c:barChart>
      <c:catAx>
        <c:axId val="182303744"/>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18226.146207955913</c:v>
                </c:pt>
                <c:pt idx="2">
                  <c:v>6389.798520229625</c:v>
                </c:pt>
                <c:pt idx="3">
                  <c:v>180.30218450037421</c:v>
                </c:pt>
                <c:pt idx="4">
                  <c:v>1091.0446411259138</c:v>
                </c:pt>
                <c:pt idx="5">
                  <c:v>9992.2252868483884</c:v>
                </c:pt>
                <c:pt idx="6">
                  <c:v>47584.691351105772</c:v>
                </c:pt>
                <c:pt idx="7">
                  <c:v>112.60901863478098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34009</v>
      </c>
      <c r="B6" s="416"/>
      <c r="C6" s="417"/>
    </row>
    <row r="7" spans="1:7" s="414" customFormat="1" ht="15.75" customHeight="1">
      <c r="A7" s="418" t="str">
        <f>txtMunicipality</f>
        <v>DEERLIJK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0.18958781658087215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0.18958781658087215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4756</v>
      </c>
      <c r="C9" s="342">
        <v>4728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779</v>
      </c>
    </row>
    <row r="15" spans="1:6">
      <c r="A15" s="348" t="s">
        <v>184</v>
      </c>
      <c r="B15" s="334">
        <v>17</v>
      </c>
    </row>
    <row r="16" spans="1:6">
      <c r="A16" s="348" t="s">
        <v>6</v>
      </c>
      <c r="B16" s="334">
        <v>466</v>
      </c>
    </row>
    <row r="17" spans="1:6">
      <c r="A17" s="348" t="s">
        <v>7</v>
      </c>
      <c r="B17" s="334">
        <v>437</v>
      </c>
    </row>
    <row r="18" spans="1:6">
      <c r="A18" s="348" t="s">
        <v>8</v>
      </c>
      <c r="B18" s="334">
        <v>633</v>
      </c>
    </row>
    <row r="19" spans="1:6">
      <c r="A19" s="348" t="s">
        <v>9</v>
      </c>
      <c r="B19" s="334">
        <v>861</v>
      </c>
    </row>
    <row r="20" spans="1:6">
      <c r="A20" s="348" t="s">
        <v>10</v>
      </c>
      <c r="B20" s="334">
        <v>319</v>
      </c>
    </row>
    <row r="21" spans="1:6">
      <c r="A21" s="348" t="s">
        <v>11</v>
      </c>
      <c r="B21" s="334">
        <v>2664</v>
      </c>
    </row>
    <row r="22" spans="1:6">
      <c r="A22" s="348" t="s">
        <v>12</v>
      </c>
      <c r="B22" s="334">
        <v>3813</v>
      </c>
    </row>
    <row r="23" spans="1:6">
      <c r="A23" s="348" t="s">
        <v>13</v>
      </c>
      <c r="B23" s="334">
        <v>134</v>
      </c>
    </row>
    <row r="24" spans="1:6">
      <c r="A24" s="348" t="s">
        <v>14</v>
      </c>
      <c r="B24" s="334">
        <v>6</v>
      </c>
    </row>
    <row r="25" spans="1:6">
      <c r="A25" s="348" t="s">
        <v>15</v>
      </c>
      <c r="B25" s="334">
        <v>732</v>
      </c>
    </row>
    <row r="26" spans="1:6">
      <c r="A26" s="348" t="s">
        <v>16</v>
      </c>
      <c r="B26" s="334">
        <v>92</v>
      </c>
    </row>
    <row r="27" spans="1:6">
      <c r="A27" s="348" t="s">
        <v>17</v>
      </c>
      <c r="B27" s="334">
        <v>6</v>
      </c>
    </row>
    <row r="28" spans="1:6" s="356" customFormat="1">
      <c r="A28" s="355" t="s">
        <v>18</v>
      </c>
      <c r="B28" s="355">
        <v>111221</v>
      </c>
    </row>
    <row r="29" spans="1:6">
      <c r="A29" s="355" t="s">
        <v>901</v>
      </c>
      <c r="B29" s="355">
        <v>84</v>
      </c>
      <c r="C29" s="356"/>
      <c r="D29" s="356"/>
      <c r="E29" s="356"/>
      <c r="F29" s="356"/>
    </row>
    <row r="30" spans="1:6">
      <c r="A30" s="341" t="s">
        <v>902</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283955.85238378303</v>
      </c>
      <c r="E38" s="334">
        <v>1</v>
      </c>
      <c r="F38" s="334">
        <v>3390.7829999999999</v>
      </c>
    </row>
    <row r="39" spans="1:6">
      <c r="A39" s="348" t="s">
        <v>30</v>
      </c>
      <c r="B39" s="348" t="s">
        <v>31</v>
      </c>
      <c r="C39" s="334">
        <v>2588</v>
      </c>
      <c r="D39" s="334">
        <v>37319751.6321152</v>
      </c>
      <c r="E39" s="334">
        <v>4626</v>
      </c>
      <c r="F39" s="334">
        <v>20997368</v>
      </c>
    </row>
    <row r="40" spans="1:6">
      <c r="A40" s="348" t="s">
        <v>30</v>
      </c>
      <c r="B40" s="348" t="s">
        <v>29</v>
      </c>
      <c r="C40" s="334">
        <v>0</v>
      </c>
      <c r="D40" s="334">
        <v>0</v>
      </c>
      <c r="E40" s="334">
        <v>0</v>
      </c>
      <c r="F40" s="334">
        <v>0</v>
      </c>
    </row>
    <row r="41" spans="1:6">
      <c r="A41" s="348" t="s">
        <v>32</v>
      </c>
      <c r="B41" s="348" t="s">
        <v>33</v>
      </c>
      <c r="C41" s="334">
        <v>48</v>
      </c>
      <c r="D41" s="334">
        <v>957601.21224040096</v>
      </c>
      <c r="E41" s="334">
        <v>130</v>
      </c>
      <c r="F41" s="334">
        <v>1998699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457368.1</v>
      </c>
    </row>
    <row r="45" spans="1:6">
      <c r="A45" s="348" t="s">
        <v>32</v>
      </c>
      <c r="B45" s="348" t="s">
        <v>37</v>
      </c>
      <c r="C45" s="334">
        <v>0</v>
      </c>
      <c r="D45" s="334">
        <v>0</v>
      </c>
      <c r="E45" s="334">
        <v>3</v>
      </c>
      <c r="F45" s="334">
        <v>566972.9</v>
      </c>
    </row>
    <row r="46" spans="1:6">
      <c r="A46" s="348" t="s">
        <v>32</v>
      </c>
      <c r="B46" s="348" t="s">
        <v>38</v>
      </c>
      <c r="C46" s="334">
        <v>0</v>
      </c>
      <c r="D46" s="334">
        <v>0</v>
      </c>
      <c r="E46" s="334">
        <v>0</v>
      </c>
      <c r="F46" s="334">
        <v>0</v>
      </c>
    </row>
    <row r="47" spans="1:6">
      <c r="A47" s="348" t="s">
        <v>32</v>
      </c>
      <c r="B47" s="348" t="s">
        <v>39</v>
      </c>
      <c r="C47" s="334">
        <v>0</v>
      </c>
      <c r="D47" s="334">
        <v>0</v>
      </c>
      <c r="E47" s="334">
        <v>7</v>
      </c>
      <c r="F47" s="334">
        <v>616361.80000000005</v>
      </c>
    </row>
    <row r="48" spans="1:6">
      <c r="A48" s="348" t="s">
        <v>32</v>
      </c>
      <c r="B48" s="348" t="s">
        <v>29</v>
      </c>
      <c r="C48" s="334">
        <v>26</v>
      </c>
      <c r="D48" s="334">
        <v>19373784.7310232</v>
      </c>
      <c r="E48" s="334">
        <v>33</v>
      </c>
      <c r="F48" s="334">
        <v>5512645</v>
      </c>
    </row>
    <row r="49" spans="1:6">
      <c r="A49" s="348" t="s">
        <v>32</v>
      </c>
      <c r="B49" s="348" t="s">
        <v>40</v>
      </c>
      <c r="C49" s="334">
        <v>7</v>
      </c>
      <c r="D49" s="334">
        <v>5093567.8765539704</v>
      </c>
      <c r="E49" s="334">
        <v>30</v>
      </c>
      <c r="F49" s="334">
        <v>9043065</v>
      </c>
    </row>
    <row r="50" spans="1:6">
      <c r="A50" s="348" t="s">
        <v>32</v>
      </c>
      <c r="B50" s="348" t="s">
        <v>41</v>
      </c>
      <c r="C50" s="334">
        <v>7</v>
      </c>
      <c r="D50" s="334">
        <v>304118.34863589302</v>
      </c>
      <c r="E50" s="334">
        <v>15</v>
      </c>
      <c r="F50" s="334">
        <v>1048466</v>
      </c>
    </row>
    <row r="51" spans="1:6">
      <c r="A51" s="348" t="s">
        <v>42</v>
      </c>
      <c r="B51" s="348" t="s">
        <v>43</v>
      </c>
      <c r="C51" s="334">
        <v>6</v>
      </c>
      <c r="D51" s="334">
        <v>97887.016879965493</v>
      </c>
      <c r="E51" s="334">
        <v>59</v>
      </c>
      <c r="F51" s="334">
        <v>1020644</v>
      </c>
    </row>
    <row r="52" spans="1:6">
      <c r="A52" s="348" t="s">
        <v>42</v>
      </c>
      <c r="B52" s="348" t="s">
        <v>29</v>
      </c>
      <c r="C52" s="334">
        <v>1</v>
      </c>
      <c r="D52" s="334">
        <v>14271.3261692674</v>
      </c>
      <c r="E52" s="334">
        <v>3</v>
      </c>
      <c r="F52" s="334">
        <v>138786.1</v>
      </c>
    </row>
    <row r="53" spans="1:6">
      <c r="A53" s="348" t="s">
        <v>44</v>
      </c>
      <c r="B53" s="348" t="s">
        <v>45</v>
      </c>
      <c r="C53" s="334">
        <v>62</v>
      </c>
      <c r="D53" s="334">
        <v>1249765.5980825699</v>
      </c>
      <c r="E53" s="334">
        <v>131</v>
      </c>
      <c r="F53" s="334">
        <v>783548.3</v>
      </c>
    </row>
    <row r="54" spans="1:6">
      <c r="A54" s="348" t="s">
        <v>46</v>
      </c>
      <c r="B54" s="348" t="s">
        <v>47</v>
      </c>
      <c r="C54" s="334">
        <v>0</v>
      </c>
      <c r="D54" s="334">
        <v>0</v>
      </c>
      <c r="E54" s="334">
        <v>2</v>
      </c>
      <c r="F54" s="334">
        <v>951022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2178896.6649348601</v>
      </c>
      <c r="E57" s="334">
        <v>98</v>
      </c>
      <c r="F57" s="334">
        <v>1075787</v>
      </c>
    </row>
    <row r="58" spans="1:6">
      <c r="A58" s="348" t="s">
        <v>49</v>
      </c>
      <c r="B58" s="348" t="s">
        <v>51</v>
      </c>
      <c r="C58" s="334">
        <v>7</v>
      </c>
      <c r="D58" s="334">
        <v>1381093.81213556</v>
      </c>
      <c r="E58" s="334">
        <v>7</v>
      </c>
      <c r="F58" s="334">
        <v>39973</v>
      </c>
    </row>
    <row r="59" spans="1:6">
      <c r="A59" s="348" t="s">
        <v>49</v>
      </c>
      <c r="B59" s="348" t="s">
        <v>52</v>
      </c>
      <c r="C59" s="334">
        <v>67</v>
      </c>
      <c r="D59" s="334">
        <v>4444053.4804551499</v>
      </c>
      <c r="E59" s="334">
        <v>168</v>
      </c>
      <c r="F59" s="334">
        <v>6748329</v>
      </c>
    </row>
    <row r="60" spans="1:6">
      <c r="A60" s="348" t="s">
        <v>49</v>
      </c>
      <c r="B60" s="348" t="s">
        <v>53</v>
      </c>
      <c r="C60" s="334">
        <v>28</v>
      </c>
      <c r="D60" s="334">
        <v>1698458.08271896</v>
      </c>
      <c r="E60" s="334">
        <v>41</v>
      </c>
      <c r="F60" s="334">
        <v>1344235</v>
      </c>
    </row>
    <row r="61" spans="1:6">
      <c r="A61" s="348" t="s">
        <v>49</v>
      </c>
      <c r="B61" s="348" t="s">
        <v>54</v>
      </c>
      <c r="C61" s="334">
        <v>76</v>
      </c>
      <c r="D61" s="334">
        <v>1388523.7294692399</v>
      </c>
      <c r="E61" s="334">
        <v>197</v>
      </c>
      <c r="F61" s="334">
        <v>2100719</v>
      </c>
    </row>
    <row r="62" spans="1:6">
      <c r="A62" s="348" t="s">
        <v>49</v>
      </c>
      <c r="B62" s="348" t="s">
        <v>55</v>
      </c>
      <c r="C62" s="334">
        <v>5</v>
      </c>
      <c r="D62" s="334">
        <v>508235.69883735001</v>
      </c>
      <c r="E62" s="334">
        <v>9</v>
      </c>
      <c r="F62" s="334">
        <v>73848.53</v>
      </c>
    </row>
    <row r="63" spans="1:6">
      <c r="A63" s="348" t="s">
        <v>49</v>
      </c>
      <c r="B63" s="348" t="s">
        <v>29</v>
      </c>
      <c r="C63" s="334">
        <v>81</v>
      </c>
      <c r="D63" s="334">
        <v>2817978.6688126</v>
      </c>
      <c r="E63" s="334">
        <v>83</v>
      </c>
      <c r="F63" s="334">
        <v>4887003</v>
      </c>
    </row>
    <row r="64" spans="1:6">
      <c r="A64" s="348" t="s">
        <v>56</v>
      </c>
      <c r="B64" s="348" t="s">
        <v>57</v>
      </c>
      <c r="C64" s="334">
        <v>0</v>
      </c>
      <c r="D64" s="334">
        <v>0</v>
      </c>
      <c r="E64" s="334">
        <v>0</v>
      </c>
      <c r="F64" s="334">
        <v>0</v>
      </c>
    </row>
    <row r="65" spans="1:6">
      <c r="A65" s="348" t="s">
        <v>56</v>
      </c>
      <c r="B65" s="348" t="s">
        <v>29</v>
      </c>
      <c r="C65" s="334">
        <v>1</v>
      </c>
      <c r="D65" s="334">
        <v>14655.110790851</v>
      </c>
      <c r="E65" s="334">
        <v>2</v>
      </c>
      <c r="F65" s="334">
        <v>16999.66</v>
      </c>
    </row>
    <row r="66" spans="1:6">
      <c r="A66" s="348" t="s">
        <v>56</v>
      </c>
      <c r="B66" s="348" t="s">
        <v>58</v>
      </c>
      <c r="C66" s="334">
        <v>0</v>
      </c>
      <c r="D66" s="334">
        <v>0</v>
      </c>
      <c r="E66" s="334">
        <v>8</v>
      </c>
      <c r="F66" s="334">
        <v>311646</v>
      </c>
    </row>
    <row r="67" spans="1:6">
      <c r="A67" s="355" t="s">
        <v>56</v>
      </c>
      <c r="B67" s="355" t="s">
        <v>59</v>
      </c>
      <c r="C67" s="334">
        <v>0</v>
      </c>
      <c r="D67" s="334">
        <v>0</v>
      </c>
      <c r="E67" s="334">
        <v>0</v>
      </c>
      <c r="F67" s="334">
        <v>0</v>
      </c>
    </row>
    <row r="68" spans="1:6">
      <c r="A68" s="341" t="s">
        <v>56</v>
      </c>
      <c r="B68" s="341" t="s">
        <v>60</v>
      </c>
      <c r="C68" s="334">
        <v>0</v>
      </c>
      <c r="D68" s="334">
        <v>0</v>
      </c>
      <c r="E68" s="334">
        <v>9</v>
      </c>
      <c r="F68" s="334">
        <v>130747.2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18963136</v>
      </c>
      <c r="E73" s="476">
        <v>22758844.755982541</v>
      </c>
    </row>
    <row r="74" spans="1:6">
      <c r="A74" s="348" t="s">
        <v>64</v>
      </c>
      <c r="B74" s="348" t="s">
        <v>714</v>
      </c>
      <c r="C74" s="1311" t="s">
        <v>716</v>
      </c>
      <c r="D74" s="476">
        <v>3517841.706101032</v>
      </c>
      <c r="E74" s="476">
        <v>3931440.3397966274</v>
      </c>
    </row>
    <row r="75" spans="1:6">
      <c r="A75" s="348" t="s">
        <v>65</v>
      </c>
      <c r="B75" s="348" t="s">
        <v>713</v>
      </c>
      <c r="C75" s="1311" t="s">
        <v>717</v>
      </c>
      <c r="D75" s="476">
        <v>33069228</v>
      </c>
      <c r="E75" s="476">
        <v>31998792.138882164</v>
      </c>
    </row>
    <row r="76" spans="1:6">
      <c r="A76" s="348" t="s">
        <v>65</v>
      </c>
      <c r="B76" s="348" t="s">
        <v>714</v>
      </c>
      <c r="C76" s="1311" t="s">
        <v>718</v>
      </c>
      <c r="D76" s="476">
        <v>3158209.706101032</v>
      </c>
      <c r="E76" s="476">
        <v>3267104.0490636504</v>
      </c>
    </row>
    <row r="77" spans="1:6">
      <c r="A77" s="348" t="s">
        <v>66</v>
      </c>
      <c r="B77" s="348" t="s">
        <v>713</v>
      </c>
      <c r="C77" s="1311" t="s">
        <v>719</v>
      </c>
      <c r="D77" s="476">
        <v>98172870</v>
      </c>
      <c r="E77" s="476">
        <v>109043041.37924305</v>
      </c>
    </row>
    <row r="78" spans="1:6">
      <c r="A78" s="341" t="s">
        <v>66</v>
      </c>
      <c r="B78" s="341" t="s">
        <v>714</v>
      </c>
      <c r="C78" s="341" t="s">
        <v>720</v>
      </c>
      <c r="D78" s="1307">
        <v>23561572</v>
      </c>
      <c r="E78" s="1307">
        <v>25210357.563314494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119130.58779793591</v>
      </c>
      <c r="C83" s="476">
        <v>120147.54313799611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2508.3512806071558</v>
      </c>
    </row>
    <row r="92" spans="1:6">
      <c r="A92" s="341" t="s">
        <v>69</v>
      </c>
      <c r="B92" s="342">
        <v>6294.7039212730688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0</v>
      </c>
    </row>
    <row r="99" spans="1:6">
      <c r="A99" s="348" t="s">
        <v>73</v>
      </c>
      <c r="B99" s="334">
        <v>42</v>
      </c>
    </row>
    <row r="100" spans="1:6">
      <c r="A100" s="348" t="s">
        <v>74</v>
      </c>
      <c r="B100" s="334">
        <v>542</v>
      </c>
    </row>
    <row r="101" spans="1:6">
      <c r="A101" s="348" t="s">
        <v>75</v>
      </c>
      <c r="B101" s="334">
        <v>65</v>
      </c>
    </row>
    <row r="102" spans="1:6">
      <c r="A102" s="348" t="s">
        <v>76</v>
      </c>
      <c r="B102" s="334">
        <v>77</v>
      </c>
    </row>
    <row r="103" spans="1:6">
      <c r="A103" s="348" t="s">
        <v>77</v>
      </c>
      <c r="B103" s="334">
        <v>91</v>
      </c>
    </row>
    <row r="104" spans="1:6">
      <c r="A104" s="348" t="s">
        <v>78</v>
      </c>
      <c r="B104" s="334">
        <v>2093</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98</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61933.778166813812</v>
      </c>
      <c r="C3" s="43" t="s">
        <v>170</v>
      </c>
      <c r="D3" s="43"/>
      <c r="E3" s="154"/>
      <c r="F3" s="43"/>
      <c r="G3" s="43"/>
      <c r="H3" s="43"/>
      <c r="I3" s="43"/>
      <c r="J3" s="43"/>
      <c r="K3" s="96"/>
    </row>
    <row r="4" spans="1:11">
      <c r="A4" s="384" t="s">
        <v>171</v>
      </c>
      <c r="B4" s="49">
        <f>IF(ISERROR('SEAP template'!B78+'SEAP template'!C78),0,'SEAP template'!B78+'SEAP template'!C78)</f>
        <v>8803.0552018802246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0.18958781658087215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951.02200000000005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951.02200000000005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0.18958781658087215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180.30218450037421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20997.367999999999</v>
      </c>
      <c r="C5" s="17">
        <f>IF(ISERROR('Eigen informatie GS &amp; warmtenet'!B57),0,'Eigen informatie GS &amp; warmtenet'!B57)</f>
        <v>0</v>
      </c>
      <c r="D5" s="30">
        <f>(SUM(HH_hh_gas_kWh,HH_rest_gas_kWh)/1000)*0.902</f>
        <v>33662.41597216791</v>
      </c>
      <c r="E5" s="17">
        <f>B46*B57</f>
        <v>1087.3385782157807</v>
      </c>
      <c r="F5" s="17">
        <f>B51*B62</f>
        <v>25180.203478463645</v>
      </c>
      <c r="G5" s="18"/>
      <c r="H5" s="17"/>
      <c r="I5" s="17"/>
      <c r="J5" s="17">
        <f>B50*B61+C50*C61</f>
        <v>0</v>
      </c>
      <c r="K5" s="17"/>
      <c r="L5" s="17"/>
      <c r="M5" s="17"/>
      <c r="N5" s="17">
        <f>B48*B59+C48*C59</f>
        <v>6381.5628330152831</v>
      </c>
      <c r="O5" s="17">
        <f>B69*B70*B71</f>
        <v>165.71333333333337</v>
      </c>
      <c r="P5" s="17">
        <f>B77*B78*B79/1000-B77*B78*B79/1000/B80</f>
        <v>362.26666666666665</v>
      </c>
    </row>
    <row r="6" spans="1:16">
      <c r="A6" s="16" t="s">
        <v>631</v>
      </c>
      <c r="B6" s="789">
        <f>kWh_PV_kleiner_dan_10kW</f>
        <v>2508.3512806071558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23505.719280607154</v>
      </c>
      <c r="C8" s="21">
        <f>C5</f>
        <v>0</v>
      </c>
      <c r="D8" s="21">
        <f>D5</f>
        <v>33662.41597216791</v>
      </c>
      <c r="E8" s="21">
        <f>E5</f>
        <v>1087.3385782157807</v>
      </c>
      <c r="F8" s="21">
        <f>F5</f>
        <v>25180.203478463645</v>
      </c>
      <c r="G8" s="21"/>
      <c r="H8" s="21"/>
      <c r="I8" s="21"/>
      <c r="J8" s="21">
        <f>J5</f>
        <v>0</v>
      </c>
      <c r="K8" s="21"/>
      <c r="L8" s="21">
        <f>L5</f>
        <v>0</v>
      </c>
      <c r="M8" s="21">
        <f>M5</f>
        <v>0</v>
      </c>
      <c r="N8" s="21">
        <f>N5</f>
        <v>6381.5628330152831</v>
      </c>
      <c r="O8" s="21">
        <f>O5</f>
        <v>165.71333333333337</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0.18958781658087215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4456.3979955732193</v>
      </c>
      <c r="C12" s="23">
        <f ca="1">C10*C8</f>
        <v>0</v>
      </c>
      <c r="D12" s="23">
        <f>D8*D10</f>
        <v>6799.8080263779184</v>
      </c>
      <c r="E12" s="23">
        <f>E10*E8</f>
        <v>246.82585725498222</v>
      </c>
      <c r="F12" s="23">
        <f>F10*F8</f>
        <v>6723.1143287497935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0</v>
      </c>
      <c r="C19" s="166" t="s">
        <v>111</v>
      </c>
      <c r="D19" s="229"/>
      <c r="E19" s="15"/>
    </row>
    <row r="20" spans="1:7">
      <c r="A20" s="171" t="s">
        <v>73</v>
      </c>
      <c r="B20" s="37">
        <f>aantalw2001_propaan</f>
        <v>42</v>
      </c>
      <c r="C20" s="167">
        <f>IF(ISERROR(B20/SUM($B$20,$B$21,$B$22)*100),0,B20/SUM($B$20,$B$21,$B$22)*100)</f>
        <v>6.471494607087827</v>
      </c>
      <c r="D20" s="229"/>
      <c r="E20" s="15"/>
    </row>
    <row r="21" spans="1:7">
      <c r="A21" s="171" t="s">
        <v>74</v>
      </c>
      <c r="B21" s="37">
        <f>aantalw2001_elektriciteit</f>
        <v>542</v>
      </c>
      <c r="C21" s="167">
        <f>IF(ISERROR(B21/SUM($B$20,$B$21,$B$22)*100),0,B21/SUM($B$20,$B$21,$B$22)*100)</f>
        <v>83.5130970724191</v>
      </c>
      <c r="D21" s="229"/>
      <c r="E21" s="15"/>
    </row>
    <row r="22" spans="1:7">
      <c r="A22" s="171" t="s">
        <v>75</v>
      </c>
      <c r="B22" s="37">
        <f>aantalw2001_hout</f>
        <v>65</v>
      </c>
      <c r="C22" s="167">
        <f>IF(ISERROR(B22/SUM($B$20,$B$21,$B$22)*100),0,B22/SUM($B$20,$B$21,$B$22)*100)</f>
        <v>10.015408320493066</v>
      </c>
      <c r="D22" s="229"/>
      <c r="E22" s="15"/>
    </row>
    <row r="23" spans="1:7">
      <c r="A23" s="171" t="s">
        <v>76</v>
      </c>
      <c r="B23" s="37">
        <f>aantalw2001_niet_gespec</f>
        <v>77</v>
      </c>
      <c r="C23" s="166" t="s">
        <v>111</v>
      </c>
      <c r="D23" s="228"/>
      <c r="E23" s="15"/>
    </row>
    <row r="24" spans="1:7">
      <c r="A24" s="171" t="s">
        <v>77</v>
      </c>
      <c r="B24" s="37">
        <f>aantalw2001_steenkool</f>
        <v>91</v>
      </c>
      <c r="C24" s="166" t="s">
        <v>111</v>
      </c>
      <c r="D24" s="229"/>
      <c r="E24" s="15"/>
    </row>
    <row r="25" spans="1:7">
      <c r="A25" s="171" t="s">
        <v>78</v>
      </c>
      <c r="B25" s="37">
        <f>aantalw2001_stookolie</f>
        <v>2093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4756</v>
      </c>
      <c r="C28" s="36"/>
      <c r="D28" s="228"/>
    </row>
    <row r="29" spans="1:7" s="15" customFormat="1">
      <c r="A29" s="230" t="s">
        <v>741</v>
      </c>
      <c r="B29" s="37">
        <f>SUM(HH_hh_gas_aantal,HH_rest_gas_aantal)</f>
        <v>2588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2588</v>
      </c>
      <c r="C32" s="167">
        <f>IF(ISERROR(B32/SUM($B$32,$B$34,$B$35,$B$36,$B$38,$B$39)*100),0,B32/SUM($B$32,$B$34,$B$35,$B$36,$B$38,$B$39)*100)</f>
        <v>54.633734431074522</v>
      </c>
      <c r="D32" s="233"/>
      <c r="G32" s="15"/>
    </row>
    <row r="33" spans="1:7">
      <c r="A33" s="171" t="s">
        <v>72</v>
      </c>
      <c r="B33" s="34" t="s">
        <v>111</v>
      </c>
      <c r="C33" s="167"/>
      <c r="D33" s="233"/>
      <c r="G33" s="15"/>
    </row>
    <row r="34" spans="1:7">
      <c r="A34" s="171" t="s">
        <v>73</v>
      </c>
      <c r="B34" s="33">
        <f>IF((($B$28-$B$32-$B$39-$B$77-$B$38)*C20/100)&lt;0,0,($B$28-$B$32-$B$39-$B$77-$B$38)*C20/100)</f>
        <v>72.875500770416025</v>
      </c>
      <c r="C34" s="167">
        <f>IF(ISERROR(B34/SUM($B$32,$B$34,$B$35,$B$36,$B$38,$B$39)*100),0,B34/SUM($B$32,$B$34,$B$35,$B$36,$B$38,$B$39)*100)</f>
        <v>1.538431512991683</v>
      </c>
      <c r="D34" s="233"/>
      <c r="G34" s="15"/>
    </row>
    <row r="35" spans="1:7">
      <c r="A35" s="171" t="s">
        <v>74</v>
      </c>
      <c r="B35" s="33">
        <f>IF((($B$28-$B$32-$B$39-$B$77-$B$38)*C21/100)&lt;0,0,($B$28-$B$32-$B$39-$B$77-$B$38)*C21/100)</f>
        <v>940.44098613251163</v>
      </c>
      <c r="C35" s="167">
        <f>IF(ISERROR(B35/SUM($B$32,$B$34,$B$35,$B$36,$B$38,$B$39)*100),0,B35/SUM($B$32,$B$34,$B$35,$B$36,$B$38,$B$39)*100)</f>
        <v>19.853092381940293</v>
      </c>
      <c r="D35" s="233"/>
      <c r="G35" s="15"/>
    </row>
    <row r="36" spans="1:7">
      <c r="A36" s="171" t="s">
        <v>75</v>
      </c>
      <c r="B36" s="33">
        <f>IF((($B$28-$B$32-$B$39-$B$77-$B$38)*C22/100)&lt;0,0,($B$28-$B$32-$B$39-$B$77-$B$38)*C22/100)</f>
        <v>112.78351309707243</v>
      </c>
      <c r="C36" s="167">
        <f>IF(ISERROR(B36/SUM($B$32,$B$34,$B$35,$B$36,$B$38,$B$39)*100),0,B36/SUM($B$32,$B$34,$B$35,$B$36,$B$38,$B$39)*100)</f>
        <v>2.380905912963319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1022.8999999999999</v>
      </c>
      <c r="C39" s="167">
        <f>IF(ISERROR(B39/SUM($B$32,$B$34,$B$35,$B$36,$B$38,$B$39)*100),0,B39/SUM($B$32,$B$34,$B$35,$B$36,$B$38,$B$39)*100)</f>
        <v>21.593835761030185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2588</v>
      </c>
      <c r="C44" s="34" t="s">
        <v>111</v>
      </c>
      <c r="D44" s="174"/>
    </row>
    <row r="45" spans="1:7">
      <c r="A45" s="171" t="s">
        <v>72</v>
      </c>
      <c r="B45" s="33" t="str">
        <f t="shared" si="0"/>
        <v>-</v>
      </c>
      <c r="C45" s="34" t="s">
        <v>111</v>
      </c>
      <c r="D45" s="174"/>
    </row>
    <row r="46" spans="1:7">
      <c r="A46" s="171" t="s">
        <v>73</v>
      </c>
      <c r="B46" s="33">
        <f t="shared" si="0"/>
        <v>72.875500770416025</v>
      </c>
      <c r="C46" s="34" t="s">
        <v>111</v>
      </c>
      <c r="D46" s="174"/>
    </row>
    <row r="47" spans="1:7">
      <c r="A47" s="171" t="s">
        <v>74</v>
      </c>
      <c r="B47" s="33">
        <f t="shared" si="0"/>
        <v>940.44098613251163</v>
      </c>
      <c r="C47" s="34" t="s">
        <v>111</v>
      </c>
      <c r="D47" s="174"/>
    </row>
    <row r="48" spans="1:7">
      <c r="A48" s="171" t="s">
        <v>75</v>
      </c>
      <c r="B48" s="33">
        <f t="shared" si="0"/>
        <v>112.78351309707243</v>
      </c>
      <c r="C48" s="33">
        <f>B48*10</f>
        <v>1127.8351309707243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1022.8999999999999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16269.894529999998</v>
      </c>
      <c r="C5" s="17">
        <f>IF(ISERROR('Eigen informatie GS &amp; warmtenet'!B58),0,'Eigen informatie GS &amp; warmtenet'!B58)</f>
        <v>0</v>
      </c>
      <c r="D5" s="30">
        <f>SUM(D6:D12)</f>
        <v>13004.350603902076</v>
      </c>
      <c r="E5" s="17">
        <f>SUM(E6:E12)</f>
        <v>182.94976838190979</v>
      </c>
      <c r="F5" s="17">
        <f>SUM(F6:F12)</f>
        <v>2385.0798534641813</v>
      </c>
      <c r="G5" s="18"/>
      <c r="H5" s="17"/>
      <c r="I5" s="17"/>
      <c r="J5" s="17">
        <f>SUM(J6:J12)</f>
        <v>0</v>
      </c>
      <c r="K5" s="17"/>
      <c r="L5" s="17"/>
      <c r="M5" s="17"/>
      <c r="N5" s="17">
        <f>SUM(N6:N12)</f>
        <v>1251.0984855539784</v>
      </c>
      <c r="O5" s="17">
        <f>B38*B39*B40</f>
        <v>0</v>
      </c>
      <c r="P5" s="17">
        <f>B46*B47*B48/1000-B46*B47*B48/1000/B49</f>
        <v>0</v>
      </c>
      <c r="R5" s="32"/>
    </row>
    <row r="6" spans="1:18">
      <c r="A6" s="32" t="s">
        <v>54</v>
      </c>
      <c r="B6" s="37">
        <f>B26</f>
        <v>2100.7190000000001</v>
      </c>
      <c r="C6" s="33"/>
      <c r="D6" s="37">
        <f>IF(ISERROR(TER_kantoor_gas_kWh/1000),0,TER_kantoor_gas_kWh/1000)*0.902</f>
        <v>1252.4484039812544</v>
      </c>
      <c r="E6" s="33">
        <f>$C$26*'E Balans VL '!I12/100/3.6*1000000</f>
        <v>6.0860911621804989</v>
      </c>
      <c r="F6" s="33">
        <f>$C$26*('E Balans VL '!L12+'E Balans VL '!N12)/100/3.6*1000000</f>
        <v>237.75510837204484</v>
      </c>
      <c r="G6" s="34"/>
      <c r="H6" s="33"/>
      <c r="I6" s="33"/>
      <c r="J6" s="33">
        <f>$C$26*('E Balans VL '!D12+'E Balans VL '!E12)/100/3.6*1000000</f>
        <v>0</v>
      </c>
      <c r="K6" s="33"/>
      <c r="L6" s="33"/>
      <c r="M6" s="33"/>
      <c r="N6" s="33">
        <f>$C$26*'E Balans VL '!Y12/100/3.6*1000000</f>
        <v>21.026649311129919</v>
      </c>
      <c r="O6" s="33"/>
      <c r="P6" s="33"/>
      <c r="R6" s="32"/>
    </row>
    <row r="7" spans="1:18">
      <c r="A7" s="32" t="s">
        <v>53</v>
      </c>
      <c r="B7" s="37">
        <f t="shared" ref="B7:B12" si="0">B27</f>
        <v>1344.2349999999999</v>
      </c>
      <c r="C7" s="33"/>
      <c r="D7" s="37">
        <f>IF(ISERROR(TER_horeca_gas_kWh/1000),0,TER_horeca_gas_kWh/1000)*0.902</f>
        <v>1532.0091906125019</v>
      </c>
      <c r="E7" s="33">
        <f>$C$27*'E Balans VL '!I9/100/3.6*1000000</f>
        <v>56.427229581637398</v>
      </c>
      <c r="F7" s="33">
        <f>$C$27*('E Balans VL '!L9+'E Balans VL '!N9)/100/3.6*1000000</f>
        <v>288.83645588493488</v>
      </c>
      <c r="G7" s="34"/>
      <c r="H7" s="33"/>
      <c r="I7" s="33"/>
      <c r="J7" s="33">
        <f>$C$27*('E Balans VL '!D9+'E Balans VL '!E9)/100/3.6*1000000</f>
        <v>0</v>
      </c>
      <c r="K7" s="33"/>
      <c r="L7" s="33"/>
      <c r="M7" s="33"/>
      <c r="N7" s="33">
        <f>$C$27*'E Balans VL '!Y9/100/3.6*1000000</f>
        <v>0.34639760373845763</v>
      </c>
      <c r="O7" s="33"/>
      <c r="P7" s="33"/>
      <c r="R7" s="32"/>
    </row>
    <row r="8" spans="1:18">
      <c r="A8" s="6" t="s">
        <v>52</v>
      </c>
      <c r="B8" s="37">
        <f t="shared" si="0"/>
        <v>6748.3289999999997</v>
      </c>
      <c r="C8" s="33"/>
      <c r="D8" s="37">
        <f>IF(ISERROR(TER_handel_gas_kWh/1000),0,TER_handel_gas_kWh/1000)*0.902</f>
        <v>4008.5362393705454</v>
      </c>
      <c r="E8" s="33">
        <f>$C$28*'E Balans VL '!I13/100/3.6*1000000</f>
        <v>72.482669934569472</v>
      </c>
      <c r="F8" s="33">
        <f>$C$28*('E Balans VL '!L13+'E Balans VL '!N13)/100/3.6*1000000</f>
        <v>873.62691560209066</v>
      </c>
      <c r="G8" s="34"/>
      <c r="H8" s="33"/>
      <c r="I8" s="33"/>
      <c r="J8" s="33">
        <f>$C$28*('E Balans VL '!D13+'E Balans VL '!E13)/100/3.6*1000000</f>
        <v>0</v>
      </c>
      <c r="K8" s="33"/>
      <c r="L8" s="33"/>
      <c r="M8" s="33"/>
      <c r="N8" s="33">
        <f>$C$28*'E Balans VL '!Y13/100/3.6*1000000</f>
        <v>54.742813322784514</v>
      </c>
      <c r="O8" s="33"/>
      <c r="P8" s="33"/>
      <c r="R8" s="32"/>
    </row>
    <row r="9" spans="1:18">
      <c r="A9" s="32" t="s">
        <v>51</v>
      </c>
      <c r="B9" s="37">
        <f t="shared" si="0"/>
        <v>39.972999999999999</v>
      </c>
      <c r="C9" s="33"/>
      <c r="D9" s="37">
        <f>IF(ISERROR(TER_gezond_gas_kWh/1000),0,TER_gezond_gas_kWh/1000)*0.902</f>
        <v>1245.7466185462752</v>
      </c>
      <c r="E9" s="33">
        <f>$C$29*'E Balans VL '!I10/100/3.6*1000000</f>
        <v>3.1821093384375505E-2</v>
      </c>
      <c r="F9" s="33">
        <f>$C$29*('E Balans VL '!L10+'E Balans VL '!N10)/100/3.6*1000000</f>
        <v>4.8592958118802398</v>
      </c>
      <c r="G9" s="34"/>
      <c r="H9" s="33"/>
      <c r="I9" s="33"/>
      <c r="J9" s="33">
        <f>$C$29*('E Balans VL '!D10+'E Balans VL '!E10)/100/3.6*1000000</f>
        <v>0</v>
      </c>
      <c r="K9" s="33"/>
      <c r="L9" s="33"/>
      <c r="M9" s="33"/>
      <c r="N9" s="33">
        <f>$C$29*'E Balans VL '!Y10/100/3.6*1000000</f>
        <v>0.32289130384946213</v>
      </c>
      <c r="O9" s="33"/>
      <c r="P9" s="33"/>
      <c r="R9" s="32"/>
    </row>
    <row r="10" spans="1:18">
      <c r="A10" s="32" t="s">
        <v>50</v>
      </c>
      <c r="B10" s="37">
        <f t="shared" si="0"/>
        <v>1075.787</v>
      </c>
      <c r="C10" s="33"/>
      <c r="D10" s="37">
        <f>IF(ISERROR(TER_ander_gas_kWh/1000),0,TER_ander_gas_kWh/1000)*0.902</f>
        <v>1965.3647917712437</v>
      </c>
      <c r="E10" s="33">
        <f>$C$30*'E Balans VL '!I14/100/3.6*1000000</f>
        <v>3.686778563604602</v>
      </c>
      <c r="F10" s="33">
        <f>$C$30*('E Balans VL '!L14+'E Balans VL '!N14)/100/3.6*1000000</f>
        <v>240.28710096577453</v>
      </c>
      <c r="G10" s="34"/>
      <c r="H10" s="33"/>
      <c r="I10" s="33"/>
      <c r="J10" s="33">
        <f>$C$30*('E Balans VL '!D14+'E Balans VL '!E14)/100/3.6*1000000</f>
        <v>0</v>
      </c>
      <c r="K10" s="33"/>
      <c r="L10" s="33"/>
      <c r="M10" s="33"/>
      <c r="N10" s="33">
        <f>$C$30*'E Balans VL '!Y14/100/3.6*1000000</f>
        <v>757.79023970950334</v>
      </c>
      <c r="O10" s="33"/>
      <c r="P10" s="33"/>
      <c r="R10" s="32"/>
    </row>
    <row r="11" spans="1:18">
      <c r="A11" s="32" t="s">
        <v>55</v>
      </c>
      <c r="B11" s="37">
        <f t="shared" si="0"/>
        <v>73.848529999999997</v>
      </c>
      <c r="C11" s="33"/>
      <c r="D11" s="37">
        <f>IF(ISERROR(TER_onderwijs_gas_kWh/1000),0,TER_onderwijs_gas_kWh/1000)*0.902</f>
        <v>458.42860035128973</v>
      </c>
      <c r="E11" s="33">
        <f>$C$31*'E Balans VL '!I11/100/3.6*1000000</f>
        <v>5.1049214433270623E-2</v>
      </c>
      <c r="F11" s="33">
        <f>$C$31*('E Balans VL '!L11+'E Balans VL '!N11)/100/3.6*1000000</f>
        <v>19.33139999975571</v>
      </c>
      <c r="G11" s="34"/>
      <c r="H11" s="33"/>
      <c r="I11" s="33"/>
      <c r="J11" s="33">
        <f>$C$31*('E Balans VL '!D11+'E Balans VL '!E11)/100/3.6*1000000</f>
        <v>0</v>
      </c>
      <c r="K11" s="33"/>
      <c r="L11" s="33"/>
      <c r="M11" s="33"/>
      <c r="N11" s="33">
        <f>$C$31*'E Balans VL '!Y11/100/3.6*1000000</f>
        <v>7.3509921687880869E-2</v>
      </c>
      <c r="O11" s="33"/>
      <c r="P11" s="33"/>
      <c r="R11" s="32"/>
    </row>
    <row r="12" spans="1:18">
      <c r="A12" s="32" t="s">
        <v>260</v>
      </c>
      <c r="B12" s="37">
        <f t="shared" si="0"/>
        <v>4887.0029999999997</v>
      </c>
      <c r="C12" s="33"/>
      <c r="D12" s="37">
        <f>IF(ISERROR(TER_rest_gas_kWh/1000),0,TER_rest_gas_kWh/1000)*0.902</f>
        <v>2541.8167592689651</v>
      </c>
      <c r="E12" s="33">
        <f>$C$32*'E Balans VL '!I8/100/3.6*1000000</f>
        <v>44.184128832100143</v>
      </c>
      <c r="F12" s="33">
        <f>$C$32*('E Balans VL '!L8+'E Balans VL '!N8)/100/3.6*1000000</f>
        <v>720.38357682770061</v>
      </c>
      <c r="G12" s="34"/>
      <c r="H12" s="33"/>
      <c r="I12" s="33"/>
      <c r="J12" s="33">
        <f>$C$32*('E Balans VL '!D8+'E Balans VL '!E8)/100/3.6*1000000</f>
        <v>0</v>
      </c>
      <c r="K12" s="33"/>
      <c r="L12" s="33"/>
      <c r="M12" s="33"/>
      <c r="N12" s="33">
        <f>$C$32*'E Balans VL '!Y8/100/3.6*1000000</f>
        <v>416.79598438128488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16269.894529999998</v>
      </c>
      <c r="C16" s="21">
        <f t="shared" ca="1" si="1"/>
        <v>0</v>
      </c>
      <c r="D16" s="21">
        <f t="shared" ca="1" si="1"/>
        <v>13004.350603902076</v>
      </c>
      <c r="E16" s="21">
        <f t="shared" si="1"/>
        <v>182.94976838190979</v>
      </c>
      <c r="F16" s="21">
        <f t="shared" ca="1" si="1"/>
        <v>2385.0798534641813</v>
      </c>
      <c r="G16" s="21">
        <f t="shared" si="1"/>
        <v>0</v>
      </c>
      <c r="H16" s="21">
        <f t="shared" si="1"/>
        <v>0</v>
      </c>
      <c r="I16" s="21">
        <f t="shared" si="1"/>
        <v>0</v>
      </c>
      <c r="J16" s="21">
        <f t="shared" si="1"/>
        <v>0</v>
      </c>
      <c r="K16" s="21">
        <f t="shared" si="1"/>
        <v>0</v>
      </c>
      <c r="L16" s="21">
        <f t="shared" ca="1" si="1"/>
        <v>0</v>
      </c>
      <c r="M16" s="21">
        <f t="shared" si="1"/>
        <v>0</v>
      </c>
      <c r="N16" s="21">
        <f t="shared" ca="1" si="1"/>
        <v>1251.0984855539784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0.18958781658087215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3084.5737799437748</v>
      </c>
      <c r="C20" s="23">
        <f t="shared" ref="C20:P20" ca="1" si="2">C16*C18</f>
        <v>0</v>
      </c>
      <c r="D20" s="23">
        <f t="shared" ca="1" si="2"/>
        <v>2626.8788219882194</v>
      </c>
      <c r="E20" s="23">
        <f t="shared" si="2"/>
        <v>41.529597422693527</v>
      </c>
      <c r="F20" s="23">
        <f t="shared" ca="1" si="2"/>
        <v>636.81632087493642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2100.7190000000001</v>
      </c>
      <c r="C26" s="39">
        <f>IF(ISERROR(B26*3.6/1000000/'E Balans VL '!Z12*100),0,B26*3.6/1000000/'E Balans VL '!Z12*100)</f>
        <v>4.6144721509364758E-2</v>
      </c>
      <c r="D26" s="237" t="s">
        <v>692</v>
      </c>
      <c r="F26" s="6"/>
    </row>
    <row r="27" spans="1:18">
      <c r="A27" s="231" t="s">
        <v>53</v>
      </c>
      <c r="B27" s="33">
        <f>IF(ISERROR(TER_horeca_ele_kWh/1000),0,TER_horeca_ele_kWh/1000)</f>
        <v>1344.2349999999999</v>
      </c>
      <c r="C27" s="39">
        <f>IF(ISERROR(B27*3.6/1000000/'E Balans VL '!Z9*100),0,B27*3.6/1000000/'E Balans VL '!Z9*100)</f>
        <v>0.10802268174274249</v>
      </c>
      <c r="D27" s="237" t="s">
        <v>692</v>
      </c>
      <c r="F27" s="6"/>
    </row>
    <row r="28" spans="1:18">
      <c r="A28" s="171" t="s">
        <v>52</v>
      </c>
      <c r="B28" s="33">
        <f>IF(ISERROR(TER_handel_ele_kWh/1000),0,TER_handel_ele_kWh/1000)</f>
        <v>6748.3289999999997</v>
      </c>
      <c r="C28" s="39">
        <f>IF(ISERROR(B28*3.6/1000000/'E Balans VL '!Z13*100),0,B28*3.6/1000000/'E Balans VL '!Z13*100)</f>
        <v>0.19954337404837263</v>
      </c>
      <c r="D28" s="237" t="s">
        <v>692</v>
      </c>
      <c r="F28" s="6"/>
    </row>
    <row r="29" spans="1:18">
      <c r="A29" s="231" t="s">
        <v>51</v>
      </c>
      <c r="B29" s="33">
        <f>IF(ISERROR(TER_gezond_ele_kWh/1000),0,TER_gezond_ele_kWh/1000)</f>
        <v>39.972999999999999</v>
      </c>
      <c r="C29" s="39">
        <f>IF(ISERROR(B29*3.6/1000000/'E Balans VL '!Z10*100),0,B29*3.6/1000000/'E Balans VL '!Z10*100)</f>
        <v>4.5039250881120782E-3</v>
      </c>
      <c r="D29" s="237" t="s">
        <v>692</v>
      </c>
      <c r="F29" s="6"/>
    </row>
    <row r="30" spans="1:18">
      <c r="A30" s="231" t="s">
        <v>50</v>
      </c>
      <c r="B30" s="33">
        <f>IF(ISERROR(TER_ander_ele_kWh/1000),0,TER_ander_ele_kWh/1000)</f>
        <v>1075.787</v>
      </c>
      <c r="C30" s="39">
        <f>IF(ISERROR(B30*3.6/1000000/'E Balans VL '!Z14*100),0,B30*3.6/1000000/'E Balans VL '!Z14*100)</f>
        <v>8.1359931835190108E-2</v>
      </c>
      <c r="D30" s="237" t="s">
        <v>692</v>
      </c>
      <c r="F30" s="6"/>
    </row>
    <row r="31" spans="1:18">
      <c r="A31" s="231" t="s">
        <v>55</v>
      </c>
      <c r="B31" s="33">
        <f>IF(ISERROR(TER_onderwijs_ele_kWh/1000),0,TER_onderwijs_ele_kWh/1000)</f>
        <v>73.848529999999997</v>
      </c>
      <c r="C31" s="39">
        <f>IF(ISERROR(B31*3.6/1000000/'E Balans VL '!Z11*100),0,B31*3.6/1000000/'E Balans VL '!Z11*100)</f>
        <v>1.5329240507972536E-2</v>
      </c>
      <c r="D31" s="237" t="s">
        <v>692</v>
      </c>
    </row>
    <row r="32" spans="1:18">
      <c r="A32" s="231" t="s">
        <v>260</v>
      </c>
      <c r="B32" s="33">
        <f>IF(ISERROR(TER_rest_ele_kWh/1000),0,TER_rest_ele_kWh/1000)</f>
        <v>4887.0029999999997</v>
      </c>
      <c r="C32" s="39">
        <f>IF(ISERROR(B32*3.6/1000000/'E Balans VL '!Z8*100),0,B32*3.6/1000000/'E Balans VL '!Z8*100)</f>
        <v>4.1170125348493465E-2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19243.577800000003</v>
      </c>
      <c r="C5" s="17">
        <f>IF(ISERROR('Eigen informatie GS &amp; warmtenet'!B59),0,'Eigen informatie GS &amp; warmtenet'!B59)</f>
        <v>0</v>
      </c>
      <c r="D5" s="30">
        <f>SUM(D6:D15)</f>
        <v>23207.623095945026</v>
      </c>
      <c r="E5" s="17">
        <f>SUM(E6:E15)</f>
        <v>879.10267931178441</v>
      </c>
      <c r="F5" s="17">
        <f>SUM(F6:F15)</f>
        <v>5389.5637470794154</v>
      </c>
      <c r="G5" s="18"/>
      <c r="H5" s="17"/>
      <c r="I5" s="17"/>
      <c r="J5" s="17">
        <f>SUM(J6:J15)</f>
        <v>49.061283862625338</v>
      </c>
      <c r="K5" s="17"/>
      <c r="L5" s="17"/>
      <c r="M5" s="17"/>
      <c r="N5" s="17">
        <f>SUM(N6:N15)</f>
        <v>2592.4032599109178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457.36809999999997</v>
      </c>
      <c r="C8" s="33"/>
      <c r="D8" s="37">
        <f>IF( ISERROR(IND_metaal_Gas_kWH/1000),0,IND_metaal_Gas_kWH/1000)*0.902</f>
        <v>0</v>
      </c>
      <c r="E8" s="33">
        <f>C30*'E Balans VL '!I18/100/3.6*1000000</f>
        <v>11.446322788943917</v>
      </c>
      <c r="F8" s="33">
        <f>C30*'E Balans VL '!L18/100/3.6*1000000+C30*'E Balans VL '!N18/100/3.6*1000000</f>
        <v>143.34143760593139</v>
      </c>
      <c r="G8" s="34"/>
      <c r="H8" s="33"/>
      <c r="I8" s="33"/>
      <c r="J8" s="40">
        <f>C30*'E Balans VL '!D18/100/3.6*1000000+C30*'E Balans VL '!E18/100/3.6*1000000</f>
        <v>0</v>
      </c>
      <c r="K8" s="33"/>
      <c r="L8" s="33"/>
      <c r="M8" s="33"/>
      <c r="N8" s="33">
        <f>C30*'E Balans VL '!Y18/100/3.6*1000000</f>
        <v>11.490273645724407</v>
      </c>
      <c r="O8" s="33"/>
      <c r="P8" s="33"/>
      <c r="R8" s="32"/>
    </row>
    <row r="9" spans="1:18">
      <c r="A9" s="6" t="s">
        <v>33</v>
      </c>
      <c r="B9" s="37">
        <f t="shared" si="0"/>
        <v>1998.6990000000001</v>
      </c>
      <c r="C9" s="33"/>
      <c r="D9" s="37">
        <f>IF( ISERROR(IND_andere_gas_kWh/1000),0,IND_andere_gas_kWh/1000)*0.902</f>
        <v>863.75629344084166</v>
      </c>
      <c r="E9" s="33">
        <f>C31*'E Balans VL '!I19/100/3.6*1000000</f>
        <v>549.56024824939891</v>
      </c>
      <c r="F9" s="33">
        <f>C31*'E Balans VL '!L19/100/3.6*1000000+C31*'E Balans VL '!N19/100/3.6*1000000</f>
        <v>1575.3226105972296</v>
      </c>
      <c r="G9" s="34"/>
      <c r="H9" s="33"/>
      <c r="I9" s="33"/>
      <c r="J9" s="40">
        <f>C31*'E Balans VL '!D19/100/3.6*1000000+C31*'E Balans VL '!E19/100/3.6*1000000</f>
        <v>0</v>
      </c>
      <c r="K9" s="33"/>
      <c r="L9" s="33"/>
      <c r="M9" s="33"/>
      <c r="N9" s="33">
        <f>C31*'E Balans VL '!Y19/100/3.6*1000000</f>
        <v>647.03162312531788</v>
      </c>
      <c r="O9" s="33"/>
      <c r="P9" s="33"/>
      <c r="R9" s="32"/>
    </row>
    <row r="10" spans="1:18">
      <c r="A10" s="6" t="s">
        <v>41</v>
      </c>
      <c r="B10" s="37">
        <f t="shared" si="0"/>
        <v>1048.4659999999999</v>
      </c>
      <c r="C10" s="33"/>
      <c r="D10" s="37">
        <f>IF( ISERROR(IND_voed_gas_kWh/1000),0,IND_voed_gas_kWh/1000)*0.902</f>
        <v>274.31475046957553</v>
      </c>
      <c r="E10" s="33">
        <f>C32*'E Balans VL '!I20/100/3.6*1000000</f>
        <v>10.688533266784784</v>
      </c>
      <c r="F10" s="33">
        <f>C32*'E Balans VL '!L20/100/3.6*1000000+C32*'E Balans VL '!N20/100/3.6*1000000</f>
        <v>1980.5457164781735</v>
      </c>
      <c r="G10" s="34"/>
      <c r="H10" s="33"/>
      <c r="I10" s="33"/>
      <c r="J10" s="40">
        <f>C32*'E Balans VL '!D20/100/3.6*1000000+C32*'E Balans VL '!E20/100/3.6*1000000</f>
        <v>25.093221976283672</v>
      </c>
      <c r="K10" s="33"/>
      <c r="L10" s="33"/>
      <c r="M10" s="33"/>
      <c r="N10" s="33">
        <f>C32*'E Balans VL '!Y20/100/3.6*1000000</f>
        <v>552.66235047413909</v>
      </c>
      <c r="O10" s="33"/>
      <c r="P10" s="33"/>
      <c r="R10" s="32"/>
    </row>
    <row r="11" spans="1:18">
      <c r="A11" s="6" t="s">
        <v>40</v>
      </c>
      <c r="B11" s="37">
        <f t="shared" si="0"/>
        <v>9043.0650000000005</v>
      </c>
      <c r="C11" s="33"/>
      <c r="D11" s="37">
        <f>IF( ISERROR(IND_textiel_gas_kWh/1000),0,IND_textiel_gas_kWh/1000)*0.902</f>
        <v>4594.3982246516816</v>
      </c>
      <c r="E11" s="33">
        <f>C33*'E Balans VL '!I21/100/3.6*1000000</f>
        <v>23.968546275673692</v>
      </c>
      <c r="F11" s="33">
        <f>C33*'E Balans VL '!L21/100/3.6*1000000+C33*'E Balans VL '!N21/100/3.6*1000000</f>
        <v>403.87261151617463</v>
      </c>
      <c r="G11" s="34"/>
      <c r="H11" s="33"/>
      <c r="I11" s="33"/>
      <c r="J11" s="40">
        <f>C33*'E Balans VL '!D21/100/3.6*1000000+C33*'E Balans VL '!E21/100/3.6*1000000</f>
        <v>0</v>
      </c>
      <c r="K11" s="33"/>
      <c r="L11" s="33"/>
      <c r="M11" s="33"/>
      <c r="N11" s="33">
        <f>C33*'E Balans VL '!Y21/100/3.6*1000000</f>
        <v>85.224423261328511</v>
      </c>
      <c r="O11" s="33"/>
      <c r="P11" s="33"/>
      <c r="R11" s="32"/>
    </row>
    <row r="12" spans="1:18">
      <c r="A12" s="6" t="s">
        <v>37</v>
      </c>
      <c r="B12" s="37">
        <f t="shared" si="0"/>
        <v>566.97289999999998</v>
      </c>
      <c r="C12" s="33"/>
      <c r="D12" s="37">
        <f>IF( ISERROR(IND_min_gas_kWh/1000),0,IND_min_gas_kWh/1000)*0.902</f>
        <v>0</v>
      </c>
      <c r="E12" s="33">
        <f>C34*'E Balans VL '!I22/100/3.6*1000000</f>
        <v>1.717104442245827</v>
      </c>
      <c r="F12" s="33">
        <f>C34*'E Balans VL '!L22/100/3.6*1000000+C34*'E Balans VL '!N22/100/3.6*1000000</f>
        <v>17.718390572072689</v>
      </c>
      <c r="G12" s="34"/>
      <c r="H12" s="33"/>
      <c r="I12" s="33"/>
      <c r="J12" s="40">
        <f>C34*'E Balans VL '!D22/100/3.6*1000000+C34*'E Balans VL '!E22/100/3.6*1000000</f>
        <v>0.8406949492017215</v>
      </c>
      <c r="K12" s="33"/>
      <c r="L12" s="33"/>
      <c r="M12" s="33"/>
      <c r="N12" s="33">
        <f>C34*'E Balans VL '!Y22/100/3.6*1000000</f>
        <v>0</v>
      </c>
      <c r="O12" s="33"/>
      <c r="P12" s="33"/>
      <c r="R12" s="32"/>
    </row>
    <row r="13" spans="1:18">
      <c r="A13" s="6" t="s">
        <v>39</v>
      </c>
      <c r="B13" s="37">
        <f t="shared" si="0"/>
        <v>616.36180000000002</v>
      </c>
      <c r="C13" s="33"/>
      <c r="D13" s="37">
        <f>IF( ISERROR(IND_papier_gas_kWh/1000),0,IND_papier_gas_kWh/1000)*0.902</f>
        <v>0</v>
      </c>
      <c r="E13" s="33">
        <f>C35*'E Balans VL '!I23/100/3.6*1000000</f>
        <v>1.2765268912197074</v>
      </c>
      <c r="F13" s="33">
        <f>C35*'E Balans VL '!L23/100/3.6*1000000+C35*'E Balans VL '!N23/100/3.6*1000000</f>
        <v>12.223775868675311</v>
      </c>
      <c r="G13" s="34"/>
      <c r="H13" s="33"/>
      <c r="I13" s="33"/>
      <c r="J13" s="40">
        <f>C35*'E Balans VL '!D23/100/3.6*1000000+C35*'E Balans VL '!E23/100/3.6*1000000</f>
        <v>0</v>
      </c>
      <c r="K13" s="33"/>
      <c r="L13" s="33"/>
      <c r="M13" s="33"/>
      <c r="N13" s="33">
        <f>C35*'E Balans VL '!Y23/100/3.6*1000000</f>
        <v>260.25745644756148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5512.6450000000004</v>
      </c>
      <c r="C15" s="33"/>
      <c r="D15" s="37">
        <f>IF( ISERROR(IND_rest_gas_kWh/1000),0,IND_rest_gas_kWh/1000)*0.902</f>
        <v>17475.153827382925</v>
      </c>
      <c r="E15" s="33">
        <f>C37*'E Balans VL '!I15/100/3.6*1000000</f>
        <v>280.44539739751741</v>
      </c>
      <c r="F15" s="33">
        <f>C37*'E Balans VL '!L15/100/3.6*1000000+C37*'E Balans VL '!N15/100/3.6*1000000</f>
        <v>1256.5392044411587</v>
      </c>
      <c r="G15" s="34"/>
      <c r="H15" s="33"/>
      <c r="I15" s="33"/>
      <c r="J15" s="40">
        <f>C37*'E Balans VL '!D15/100/3.6*1000000+C37*'E Balans VL '!E15/100/3.6*1000000</f>
        <v>23.127366937139943</v>
      </c>
      <c r="K15" s="33"/>
      <c r="L15" s="33"/>
      <c r="M15" s="33"/>
      <c r="N15" s="33">
        <f>C37*'E Balans VL '!Y15/100/3.6*1000000</f>
        <v>1035.7371329568468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19243.577800000003</v>
      </c>
      <c r="C18" s="21">
        <f>C5+C16</f>
        <v>0</v>
      </c>
      <c r="D18" s="21">
        <f>MAX((D5+D16),0)</f>
        <v>23207.623095945026</v>
      </c>
      <c r="E18" s="21">
        <f>MAX((E5+E16),0)</f>
        <v>879.10267931178441</v>
      </c>
      <c r="F18" s="21">
        <f>MAX((F5+F16),0)</f>
        <v>5389.5637470794154</v>
      </c>
      <c r="G18" s="21"/>
      <c r="H18" s="21"/>
      <c r="I18" s="21"/>
      <c r="J18" s="21">
        <f>MAX((J5+J16),0)</f>
        <v>49.061283862625338</v>
      </c>
      <c r="K18" s="21"/>
      <c r="L18" s="21">
        <f>MAX((L5+L16),0)</f>
        <v>0</v>
      </c>
      <c r="M18" s="21"/>
      <c r="N18" s="21">
        <f>MAX((N5+N16),0)</f>
        <v>2592.4032599109178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0.18958781658087215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3648.3478983061436</v>
      </c>
      <c r="C22" s="23">
        <f ca="1">C18*C20</f>
        <v>0</v>
      </c>
      <c r="D22" s="23">
        <f>D18*D20</f>
        <v>4687.9398653808958</v>
      </c>
      <c r="E22" s="23">
        <f>E18*E20</f>
        <v>199.55630820377507</v>
      </c>
      <c r="F22" s="23">
        <f>F18*F20</f>
        <v>1439.013520470204</v>
      </c>
      <c r="G22" s="23"/>
      <c r="H22" s="23"/>
      <c r="I22" s="23"/>
      <c r="J22" s="23">
        <f>J18*J20</f>
        <v>17.36769448736937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457.36809999999997</v>
      </c>
      <c r="C30" s="39">
        <f>IF(ISERROR(B30*3.6/1000000/'E Balans VL '!Z18*100),0,B30*3.6/1000000/'E Balans VL '!Z18*100)</f>
        <v>6.4016292039684897E-2</v>
      </c>
      <c r="D30" s="237" t="s">
        <v>692</v>
      </c>
    </row>
    <row r="31" spans="1:18">
      <c r="A31" s="6" t="s">
        <v>33</v>
      </c>
      <c r="B31" s="37">
        <f>IF( ISERROR(IND_ander_ele_kWh/1000),0,IND_ander_ele_kWh/1000)</f>
        <v>1998.6990000000001</v>
      </c>
      <c r="C31" s="39">
        <f>IF(ISERROR(B31*3.6/1000000/'E Balans VL '!Z19*100),0,B31*3.6/1000000/'E Balans VL '!Z19*100)</f>
        <v>8.7482730994956723E-2</v>
      </c>
      <c r="D31" s="237" t="s">
        <v>692</v>
      </c>
    </row>
    <row r="32" spans="1:18">
      <c r="A32" s="171" t="s">
        <v>41</v>
      </c>
      <c r="B32" s="37">
        <f>IF( ISERROR(IND_voed_ele_kWh/1000),0,IND_voed_ele_kWh/1000)</f>
        <v>1048.4659999999999</v>
      </c>
      <c r="C32" s="39">
        <f>IF(ISERROR(B32*3.6/1000000/'E Balans VL '!Z20*100),0,B32*3.6/1000000/'E Balans VL '!Z20*100)</f>
        <v>0.2595653637615466</v>
      </c>
      <c r="D32" s="237" t="s">
        <v>692</v>
      </c>
    </row>
    <row r="33" spans="1:5">
      <c r="A33" s="171" t="s">
        <v>40</v>
      </c>
      <c r="B33" s="37">
        <f>IF( ISERROR(IND_textiel_ele_kWh/1000),0,IND_textiel_ele_kWh/1000)</f>
        <v>9043.0650000000005</v>
      </c>
      <c r="C33" s="39">
        <f>IF(ISERROR(B33*3.6/1000000/'E Balans VL '!Z21*100),0,B33*3.6/1000000/'E Balans VL '!Z21*100)</f>
        <v>1.0189941304424361</v>
      </c>
      <c r="D33" s="237" t="s">
        <v>692</v>
      </c>
    </row>
    <row r="34" spans="1:5">
      <c r="A34" s="171" t="s">
        <v>37</v>
      </c>
      <c r="B34" s="37">
        <f>IF( ISERROR(IND_min_ele_kWh/1000),0,IND_min_ele_kWh/1000)</f>
        <v>566.97289999999998</v>
      </c>
      <c r="C34" s="39">
        <f>IF(ISERROR(B34*3.6/1000000/'E Balans VL '!Z22*100),0,B34*3.6/1000000/'E Balans VL '!Z22*100)</f>
        <v>1.608837777688565E-2</v>
      </c>
      <c r="D34" s="237" t="s">
        <v>692</v>
      </c>
    </row>
    <row r="35" spans="1:5">
      <c r="A35" s="171" t="s">
        <v>39</v>
      </c>
      <c r="B35" s="37">
        <f>IF( ISERROR(IND_papier_ele_kWh/1000),0,IND_papier_ele_kWh/1000)</f>
        <v>616.36180000000002</v>
      </c>
      <c r="C35" s="39">
        <f>IF(ISERROR(B35*3.6/1000000/'E Balans VL '!Z22*100),0,B35*3.6/1000000/'E Balans VL '!Z22*100)</f>
        <v>1.7489833263002939E-2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5512.6450000000004</v>
      </c>
      <c r="C37" s="39">
        <f>IF(ISERROR(B37*3.6/1000000/'E Balans VL '!Z15*100),0,B37*3.6/1000000/'E Balans VL '!Z15*100)</f>
        <v>4.0875318870237536E-2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1159.4301</v>
      </c>
      <c r="C5" s="17">
        <f>'Eigen informatie GS &amp; warmtenet'!B60</f>
        <v>0</v>
      </c>
      <c r="D5" s="30">
        <f>IF(ISERROR(SUM(LB_lb_gas_kWh,LB_rest_gas_kWh)/1000),0,SUM(LB_lb_gas_kWh,LB_rest_gas_kWh)/1000)*0.902</f>
        <v>101.16682543040808</v>
      </c>
      <c r="E5" s="17">
        <f>B17*'E Balans VL '!I25/3.6*1000000/100</f>
        <v>10.739127200164448</v>
      </c>
      <c r="F5" s="17">
        <f>B17*('E Balans VL '!L25/3.6*1000000+'E Balans VL '!N25/3.6*1000000)/100</f>
        <v>2941.6950349073882</v>
      </c>
      <c r="G5" s="18"/>
      <c r="H5" s="17"/>
      <c r="I5" s="17"/>
      <c r="J5" s="17">
        <f>('E Balans VL '!D25+'E Balans VL '!E25)/3.6*1000000*landbouw!B17/100</f>
        <v>177.75357360768052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1159.4301</v>
      </c>
      <c r="C8" s="21">
        <f>C5+C6</f>
        <v>0</v>
      </c>
      <c r="D8" s="21">
        <f>MAX((D5+D6),0)</f>
        <v>101.16682543040808</v>
      </c>
      <c r="E8" s="21">
        <f>MAX((E5+E6),0)</f>
        <v>10.739127200164448</v>
      </c>
      <c r="F8" s="21">
        <f>MAX((F5+F6),0)</f>
        <v>2941.6950349073882</v>
      </c>
      <c r="G8" s="21"/>
      <c r="H8" s="21"/>
      <c r="I8" s="21"/>
      <c r="J8" s="21">
        <f>MAX((J5+J6),0)</f>
        <v>177.75357360768052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0.18958781658087215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219.81382113714227</v>
      </c>
      <c r="C12" s="23">
        <f ca="1">C8*C10</f>
        <v>0</v>
      </c>
      <c r="D12" s="23">
        <f>D8*D10</f>
        <v>20.435698736942435</v>
      </c>
      <c r="E12" s="23">
        <f>E8*E10</f>
        <v>2.4377818744373299</v>
      </c>
      <c r="F12" s="23">
        <f>F8*F10</f>
        <v>785.43257432027269</v>
      </c>
      <c r="G12" s="23"/>
      <c r="H12" s="23"/>
      <c r="I12" s="23"/>
      <c r="J12" s="23">
        <f>J8*J10</f>
        <v>62.924765057118904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0.16484637605252953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196.82644438553899</v>
      </c>
      <c r="C26" s="247">
        <f>B26*'GWP N2O_CH4'!B5</f>
        <v>4133.3553320963192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63.810780222664498</v>
      </c>
      <c r="C27" s="247">
        <f>B27*'GWP N2O_CH4'!B5</f>
        <v>1340.0263846759544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2.8254315319748717</v>
      </c>
      <c r="C28" s="247">
        <f>B28*'GWP N2O_CH4'!B4</f>
        <v>875.88377491221024</v>
      </c>
      <c r="D28" s="50"/>
    </row>
    <row r="29" spans="1:4">
      <c r="A29" s="41" t="s">
        <v>277</v>
      </c>
      <c r="B29" s="247">
        <f>B34*'ha_N2O bodem landbouw'!B4</f>
        <v>5.1568141879721257</v>
      </c>
      <c r="C29" s="247">
        <f>B29*'GWP N2O_CH4'!B4</f>
        <v>1598.6123982713589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1.1565825731660966E-3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7.411016234396937E-5</v>
      </c>
      <c r="C5" s="464" t="s">
        <v>211</v>
      </c>
      <c r="D5" s="449">
        <f>SUM(D6:D11)</f>
        <v>2.0587116091532853E-4</v>
      </c>
      <c r="E5" s="449">
        <f>SUM(E6:E11)</f>
        <v>1.4957387464552673E-3</v>
      </c>
      <c r="F5" s="462" t="s">
        <v>211</v>
      </c>
      <c r="G5" s="449">
        <f>SUM(G6:G11)</f>
        <v>0.56584683238261824</v>
      </c>
      <c r="H5" s="449">
        <f>SUM(H6:H11)</f>
        <v>7.9632994232956833E-2</v>
      </c>
      <c r="I5" s="464" t="s">
        <v>211</v>
      </c>
      <c r="J5" s="464" t="s">
        <v>211</v>
      </c>
      <c r="K5" s="464" t="s">
        <v>211</v>
      </c>
      <c r="L5" s="464" t="s">
        <v>211</v>
      </c>
      <c r="M5" s="449">
        <f>SUM(M6:M11)</f>
        <v>3.5183018424925237E-2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9.3562724153192299E-6</v>
      </c>
      <c r="C6" s="450"/>
      <c r="D6" s="893">
        <f>vkm_2011_GW_PW*SUMIFS(TableVerdeelsleutelVkm[CNG],TableVerdeelsleutelVkm[Voertuigtype],"Lichte voertuigen")*SUMIFS(TableECFTransport[EnergieConsumptieFactor (PJ per km)],TableECFTransport[Index],CONCATENATE($A6,"_CNG_CNG"))</f>
        <v>2.1642088179555435E-5</v>
      </c>
      <c r="E6" s="893">
        <f>vkm_2011_GW_PW*SUMIFS(TableVerdeelsleutelVkm[LPG],TableVerdeelsleutelVkm[Voertuigtype],"Lichte voertuigen")*SUMIFS(TableECFTransport[EnergieConsumptieFactor (PJ per km)],TableECFTransport[Index],CONCATENATE($A6,"_LPG_LPG"))</f>
        <v>1.4092020893429323E-4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2.9275130840357703E-2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8.2520543952425886E-3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1.9474663753586213E-3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3.2817398145523313E-2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1.1222954174055992E-5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1.8986725001729336E-3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1.6316114894303467E-5</v>
      </c>
      <c r="C8" s="450"/>
      <c r="D8" s="452">
        <f>vkm_2011_NGW_PW*SUMIFS(TableVerdeelsleutelVkm[CNG],TableVerdeelsleutelVkm[Voertuigtype],"Lichte voertuigen")*SUMIFS(TableECFTransport[EnergieConsumptieFactor (PJ per km)],TableECFTransport[Index],CONCATENATE($A8,"_CNG_CNG"))</f>
        <v>6.6752746502160164E-5</v>
      </c>
      <c r="E8" s="452">
        <f>vkm_2011_NGW_PW*SUMIFS(TableVerdeelsleutelVkm[LPG],TableVerdeelsleutelVkm[Voertuigtype],"Lichte voertuigen")*SUMIFS(TableECFTransport[EnergieConsumptieFactor (PJ per km)],TableECFTransport[Index],CONCATENATE($A8,"_LPG_LPG"))</f>
        <v>4.0114002867984303E-4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7.7900804269040225E-2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2.4610862608413966E-2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5.2638367987824482E-3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3.7586337240941348E-2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1.2162500899776152E-5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2.174561375159098E-3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4.8437775034346675E-5</v>
      </c>
      <c r="C10" s="450"/>
      <c r="D10" s="452">
        <f>vkm_2011_SW_PW*SUMIFS(TableVerdeelsleutelVkm[CNG],TableVerdeelsleutelVkm[Voertuigtype],"Lichte voertuigen")*SUMIFS(TableECFTransport[EnergieConsumptieFactor (PJ per km)],TableECFTransport[Index],CONCATENATE($A10,"_CNG_CNG"))</f>
        <v>1.1747632623361294E-4</v>
      </c>
      <c r="E10" s="452">
        <f>vkm_2011_SW_PW*SUMIFS(TableVerdeelsleutelVkm[LPG],TableVerdeelsleutelVkm[Voertuigtype],"Lichte voertuigen")*SUMIFS(TableECFTransport[EnergieConsumptieFactor (PJ per km)],TableECFTransport[Index],CONCATENATE($A10,"_LPG_LPG"))</f>
        <v>9.5367850884113103E-4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0.17836526363308397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4.6669329855667067E-2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1.175429502343295E-2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0.20990189825367173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7.7361918559385354E-5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1.2144186352019188E-2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20.586156206658156</v>
      </c>
      <c r="C14" s="21"/>
      <c r="D14" s="21">
        <f t="shared" ref="D14:M14" si="0">((D5)*10^9/3600)+D12</f>
        <v>57.18643358759126</v>
      </c>
      <c r="E14" s="21">
        <f t="shared" si="0"/>
        <v>415.48298512646312</v>
      </c>
      <c r="F14" s="21"/>
      <c r="G14" s="21">
        <f t="shared" si="0"/>
        <v>157179.67566183838</v>
      </c>
      <c r="H14" s="21">
        <f t="shared" si="0"/>
        <v>22120.276175821342</v>
      </c>
      <c r="I14" s="21"/>
      <c r="J14" s="21"/>
      <c r="K14" s="21"/>
      <c r="L14" s="21"/>
      <c r="M14" s="21">
        <f t="shared" si="0"/>
        <v>9773.0606735903439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0.18958781658087215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3.9028844070130893</v>
      </c>
      <c r="C18" s="23"/>
      <c r="D18" s="23">
        <f t="shared" ref="D18:M18" si="1">D14*D16</f>
        <v>11.551659584693436</v>
      </c>
      <c r="E18" s="23">
        <f t="shared" si="1"/>
        <v>94.314637623707128</v>
      </c>
      <c r="F18" s="23"/>
      <c r="G18" s="23">
        <f t="shared" si="1"/>
        <v>41966.973401710849</v>
      </c>
      <c r="H18" s="23">
        <f t="shared" si="1"/>
        <v>5507.9487677795141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1.5183238467610918E-3</v>
      </c>
      <c r="H50" s="321">
        <f t="shared" si="2"/>
        <v>0</v>
      </c>
      <c r="I50" s="321">
        <f t="shared" si="2"/>
        <v>0</v>
      </c>
      <c r="J50" s="321">
        <f t="shared" si="2"/>
        <v>0</v>
      </c>
      <c r="K50" s="321">
        <f t="shared" si="2"/>
        <v>0</v>
      </c>
      <c r="L50" s="321">
        <f t="shared" si="2"/>
        <v>0</v>
      </c>
      <c r="M50" s="321">
        <f t="shared" si="2"/>
        <v>8.6585582827672082E-5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1.5183238467610918E-3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8.6585582827672082E-5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421.75662410030327</v>
      </c>
      <c r="H54" s="21">
        <f t="shared" si="3"/>
        <v>0</v>
      </c>
      <c r="I54" s="21">
        <f t="shared" si="3"/>
        <v>0</v>
      </c>
      <c r="J54" s="21">
        <f t="shared" si="3"/>
        <v>0</v>
      </c>
      <c r="K54" s="21">
        <f t="shared" si="3"/>
        <v>0</v>
      </c>
      <c r="L54" s="21">
        <f t="shared" si="3"/>
        <v>0</v>
      </c>
      <c r="M54" s="21">
        <f t="shared" si="3"/>
        <v>24.051550785464467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0.18958781658087215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112.60901863478098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17220.916529999999</v>
      </c>
      <c r="D10" s="1025">
        <f ca="1">tertiair!C16</f>
        <v>0</v>
      </c>
      <c r="E10" s="1025">
        <f ca="1">tertiair!D16</f>
        <v>13004.350603902076</v>
      </c>
      <c r="F10" s="1025">
        <f>tertiair!E16</f>
        <v>182.94976838190979</v>
      </c>
      <c r="G10" s="1025">
        <f ca="1">tertiair!F16</f>
        <v>2385.0798534641813</v>
      </c>
      <c r="H10" s="1025">
        <f>tertiair!G16</f>
        <v>0</v>
      </c>
      <c r="I10" s="1025">
        <f>tertiair!H16</f>
        <v>0</v>
      </c>
      <c r="J10" s="1025">
        <f>tertiair!I16</f>
        <v>0</v>
      </c>
      <c r="K10" s="1025">
        <f>tertiair!J16</f>
        <v>0</v>
      </c>
      <c r="L10" s="1025">
        <f>tertiair!K16</f>
        <v>0</v>
      </c>
      <c r="M10" s="1025">
        <f ca="1">tertiair!L16</f>
        <v>0</v>
      </c>
      <c r="N10" s="1025">
        <f>tertiair!M16</f>
        <v>0</v>
      </c>
      <c r="O10" s="1025">
        <f ca="1">tertiair!N16</f>
        <v>1251.0984855539784</v>
      </c>
      <c r="P10" s="1025">
        <f>tertiair!O16</f>
        <v>0</v>
      </c>
      <c r="Q10" s="1026">
        <f>tertiair!P16</f>
        <v>0</v>
      </c>
      <c r="R10" s="701">
        <f ca="1">SUM(C10:Q10)</f>
        <v>34044.395241302147</v>
      </c>
      <c r="S10" s="67"/>
    </row>
    <row r="11" spans="1:19" s="474" customFormat="1">
      <c r="A11" s="810" t="s">
        <v>225</v>
      </c>
      <c r="B11" s="815"/>
      <c r="C11" s="1025">
        <f>huishoudens!B8</f>
        <v>23505.719280607154</v>
      </c>
      <c r="D11" s="1025">
        <f>huishoudens!C8</f>
        <v>0</v>
      </c>
      <c r="E11" s="1025">
        <f>huishoudens!D8</f>
        <v>33662.41597216791</v>
      </c>
      <c r="F11" s="1025">
        <f>huishoudens!E8</f>
        <v>1087.3385782157807</v>
      </c>
      <c r="G11" s="1025">
        <f>huishoudens!F8</f>
        <v>25180.203478463645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6381.5628330152831</v>
      </c>
      <c r="P11" s="1025">
        <f>huishoudens!O8</f>
        <v>165.71333333333337</v>
      </c>
      <c r="Q11" s="1026">
        <f>huishoudens!P8</f>
        <v>362.26666666666665</v>
      </c>
      <c r="R11" s="701">
        <f>SUM(C11:Q11)</f>
        <v>90345.220142469771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19243.577800000003</v>
      </c>
      <c r="D13" s="1025">
        <f>industrie!C18</f>
        <v>0</v>
      </c>
      <c r="E13" s="1025">
        <f>industrie!D18</f>
        <v>23207.623095945026</v>
      </c>
      <c r="F13" s="1025">
        <f>industrie!E18</f>
        <v>879.10267931178441</v>
      </c>
      <c r="G13" s="1025">
        <f>industrie!F18</f>
        <v>5389.5637470794154</v>
      </c>
      <c r="H13" s="1025">
        <f>industrie!G18</f>
        <v>0</v>
      </c>
      <c r="I13" s="1025">
        <f>industrie!H18</f>
        <v>0</v>
      </c>
      <c r="J13" s="1025">
        <f>industrie!I18</f>
        <v>0</v>
      </c>
      <c r="K13" s="1025">
        <f>industrie!J18</f>
        <v>49.061283862625338</v>
      </c>
      <c r="L13" s="1025">
        <f>industrie!K18</f>
        <v>0</v>
      </c>
      <c r="M13" s="1025">
        <f>industrie!L18</f>
        <v>0</v>
      </c>
      <c r="N13" s="1025">
        <f>industrie!M18</f>
        <v>0</v>
      </c>
      <c r="O13" s="1025">
        <f>industrie!N18</f>
        <v>2592.4032599109178</v>
      </c>
      <c r="P13" s="1025">
        <f>industrie!O18</f>
        <v>0</v>
      </c>
      <c r="Q13" s="1026">
        <f>industrie!P18</f>
        <v>0</v>
      </c>
      <c r="R13" s="701">
        <f>SUM(C13:Q13)</f>
        <v>51361.33186610978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59970.213610607156</v>
      </c>
      <c r="D16" s="733">
        <f t="shared" ref="D16:R16" ca="1" si="0">SUM(D9:D15)</f>
        <v>0</v>
      </c>
      <c r="E16" s="733">
        <f t="shared" ca="1" si="0"/>
        <v>69874.389672015008</v>
      </c>
      <c r="F16" s="733">
        <f t="shared" si="0"/>
        <v>2149.3910259094746</v>
      </c>
      <c r="G16" s="733">
        <f t="shared" ca="1" si="0"/>
        <v>32954.847079007239</v>
      </c>
      <c r="H16" s="733">
        <f t="shared" si="0"/>
        <v>0</v>
      </c>
      <c r="I16" s="733">
        <f t="shared" si="0"/>
        <v>0</v>
      </c>
      <c r="J16" s="733">
        <f t="shared" si="0"/>
        <v>0</v>
      </c>
      <c r="K16" s="733">
        <f t="shared" si="0"/>
        <v>49.061283862625338</v>
      </c>
      <c r="L16" s="733">
        <f t="shared" si="0"/>
        <v>0</v>
      </c>
      <c r="M16" s="733">
        <f t="shared" ca="1" si="0"/>
        <v>0</v>
      </c>
      <c r="N16" s="733">
        <f t="shared" si="0"/>
        <v>0</v>
      </c>
      <c r="O16" s="733">
        <f t="shared" ca="1" si="0"/>
        <v>10225.064578480178</v>
      </c>
      <c r="P16" s="733">
        <f t="shared" si="0"/>
        <v>165.71333333333337</v>
      </c>
      <c r="Q16" s="733">
        <f t="shared" si="0"/>
        <v>362.26666666666665</v>
      </c>
      <c r="R16" s="733">
        <f t="shared" ca="1" si="0"/>
        <v>175750.94724988169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421.75662410030327</v>
      </c>
      <c r="I19" s="1025">
        <f>transport!H54</f>
        <v>0</v>
      </c>
      <c r="J19" s="1025">
        <f>transport!I54</f>
        <v>0</v>
      </c>
      <c r="K19" s="1025">
        <f>transport!J54</f>
        <v>0</v>
      </c>
      <c r="L19" s="1025">
        <f>transport!K54</f>
        <v>0</v>
      </c>
      <c r="M19" s="1025">
        <f>transport!L54</f>
        <v>0</v>
      </c>
      <c r="N19" s="1025">
        <f>transport!M54</f>
        <v>24.051550785464467</v>
      </c>
      <c r="O19" s="1025">
        <f>transport!N54</f>
        <v>0</v>
      </c>
      <c r="P19" s="1025">
        <f>transport!O54</f>
        <v>0</v>
      </c>
      <c r="Q19" s="1026">
        <f>transport!P54</f>
        <v>0</v>
      </c>
      <c r="R19" s="701">
        <f>SUM(C19:Q19)</f>
        <v>445.80817488576776</v>
      </c>
      <c r="S19" s="67"/>
    </row>
    <row r="20" spans="1:19" s="474" customFormat="1">
      <c r="A20" s="810" t="s">
        <v>307</v>
      </c>
      <c r="B20" s="815"/>
      <c r="C20" s="1025">
        <f>transport!B14</f>
        <v>20.586156206658156</v>
      </c>
      <c r="D20" s="1025">
        <f>transport!C14</f>
        <v>0</v>
      </c>
      <c r="E20" s="1025">
        <f>transport!D14</f>
        <v>57.18643358759126</v>
      </c>
      <c r="F20" s="1025">
        <f>transport!E14</f>
        <v>415.48298512646312</v>
      </c>
      <c r="G20" s="1025">
        <f>transport!F14</f>
        <v>0</v>
      </c>
      <c r="H20" s="1025">
        <f>transport!G14</f>
        <v>157179.67566183838</v>
      </c>
      <c r="I20" s="1025">
        <f>transport!H14</f>
        <v>22120.276175821342</v>
      </c>
      <c r="J20" s="1025">
        <f>transport!I14</f>
        <v>0</v>
      </c>
      <c r="K20" s="1025">
        <f>transport!J14</f>
        <v>0</v>
      </c>
      <c r="L20" s="1025">
        <f>transport!K14</f>
        <v>0</v>
      </c>
      <c r="M20" s="1025">
        <f>transport!L14</f>
        <v>0</v>
      </c>
      <c r="N20" s="1025">
        <f>transport!M14</f>
        <v>9773.0606735903439</v>
      </c>
      <c r="O20" s="1025">
        <f>transport!N14</f>
        <v>0</v>
      </c>
      <c r="P20" s="1025">
        <f>transport!O14</f>
        <v>0</v>
      </c>
      <c r="Q20" s="1026">
        <f>transport!P14</f>
        <v>0</v>
      </c>
      <c r="R20" s="701">
        <f>SUM(C20:Q20)</f>
        <v>189566.26808617078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20.586156206658156</v>
      </c>
      <c r="D22" s="813">
        <f t="shared" ref="D22:R22" si="1">SUM(D18:D21)</f>
        <v>0</v>
      </c>
      <c r="E22" s="813">
        <f t="shared" si="1"/>
        <v>57.18643358759126</v>
      </c>
      <c r="F22" s="813">
        <f t="shared" si="1"/>
        <v>415.48298512646312</v>
      </c>
      <c r="G22" s="813">
        <f t="shared" si="1"/>
        <v>0</v>
      </c>
      <c r="H22" s="813">
        <f t="shared" si="1"/>
        <v>157601.43228593867</v>
      </c>
      <c r="I22" s="813">
        <f t="shared" si="1"/>
        <v>22120.276175821342</v>
      </c>
      <c r="J22" s="813">
        <f t="shared" si="1"/>
        <v>0</v>
      </c>
      <c r="K22" s="813">
        <f t="shared" si="1"/>
        <v>0</v>
      </c>
      <c r="L22" s="813">
        <f t="shared" si="1"/>
        <v>0</v>
      </c>
      <c r="M22" s="813">
        <f t="shared" si="1"/>
        <v>0</v>
      </c>
      <c r="N22" s="813">
        <f t="shared" si="1"/>
        <v>9797.1122243758091</v>
      </c>
      <c r="O22" s="813">
        <f t="shared" si="1"/>
        <v>0</v>
      </c>
      <c r="P22" s="813">
        <f t="shared" si="1"/>
        <v>0</v>
      </c>
      <c r="Q22" s="813">
        <f t="shared" si="1"/>
        <v>0</v>
      </c>
      <c r="R22" s="813">
        <f t="shared" si="1"/>
        <v>190012.07626105656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1159.4301</v>
      </c>
      <c r="D24" s="1025">
        <f>+landbouw!C8</f>
        <v>0</v>
      </c>
      <c r="E24" s="1025">
        <f>+landbouw!D8</f>
        <v>101.16682543040808</v>
      </c>
      <c r="F24" s="1025">
        <f>+landbouw!E8</f>
        <v>10.739127200164448</v>
      </c>
      <c r="G24" s="1025">
        <f>+landbouw!F8</f>
        <v>2941.6950349073882</v>
      </c>
      <c r="H24" s="1025">
        <f>+landbouw!G8</f>
        <v>0</v>
      </c>
      <c r="I24" s="1025">
        <f>+landbouw!H8</f>
        <v>0</v>
      </c>
      <c r="J24" s="1025">
        <f>+landbouw!I8</f>
        <v>0</v>
      </c>
      <c r="K24" s="1025">
        <f>+landbouw!J8</f>
        <v>177.75357360768052</v>
      </c>
      <c r="L24" s="1025">
        <f>+landbouw!K8</f>
        <v>0</v>
      </c>
      <c r="M24" s="1025">
        <f>+landbouw!L8</f>
        <v>0</v>
      </c>
      <c r="N24" s="1025">
        <f>+landbouw!M8</f>
        <v>0</v>
      </c>
      <c r="O24" s="1025">
        <f>+landbouw!N8</f>
        <v>0</v>
      </c>
      <c r="P24" s="1025">
        <f>+landbouw!O8</f>
        <v>0</v>
      </c>
      <c r="Q24" s="1026">
        <f>+landbouw!P8</f>
        <v>0</v>
      </c>
      <c r="R24" s="701">
        <f>SUM(C24:Q24)</f>
        <v>4390.7846611456416</v>
      </c>
      <c r="S24" s="67"/>
    </row>
    <row r="25" spans="1:19" s="474" customFormat="1" ht="15" thickBot="1">
      <c r="A25" s="832" t="s">
        <v>864</v>
      </c>
      <c r="B25" s="1028"/>
      <c r="C25" s="1029">
        <f>IF(Onbekend_ele_kWh="---",0,Onbekend_ele_kWh)/1000+IF(REST_rest_ele_kWh="---",0,REST_rest_ele_kWh)/1000</f>
        <v>783.54830000000004</v>
      </c>
      <c r="D25" s="1029"/>
      <c r="E25" s="1029">
        <f>IF(onbekend_gas_kWh="---",0,onbekend_gas_kWh)/1000+IF(REST_rest_gas_kWh="---",0,REST_rest_gas_kWh)/1000</f>
        <v>1249.7655980825698</v>
      </c>
      <c r="F25" s="1029"/>
      <c r="G25" s="1029"/>
      <c r="H25" s="1029"/>
      <c r="I25" s="1029"/>
      <c r="J25" s="1029"/>
      <c r="K25" s="1029"/>
      <c r="L25" s="1029"/>
      <c r="M25" s="1029"/>
      <c r="N25" s="1029"/>
      <c r="O25" s="1029"/>
      <c r="P25" s="1029"/>
      <c r="Q25" s="1030"/>
      <c r="R25" s="701">
        <f>SUM(C25:Q25)</f>
        <v>2033.3138980825697</v>
      </c>
      <c r="S25" s="67"/>
    </row>
    <row r="26" spans="1:19" s="474" customFormat="1" ht="15.75" thickBot="1">
      <c r="A26" s="706" t="s">
        <v>865</v>
      </c>
      <c r="B26" s="818"/>
      <c r="C26" s="813">
        <f>SUM(C24:C25)</f>
        <v>1942.9784</v>
      </c>
      <c r="D26" s="813">
        <f t="shared" ref="D26:R26" si="2">SUM(D24:D25)</f>
        <v>0</v>
      </c>
      <c r="E26" s="813">
        <f t="shared" si="2"/>
        <v>1350.9324235129779</v>
      </c>
      <c r="F26" s="813">
        <f t="shared" si="2"/>
        <v>10.739127200164448</v>
      </c>
      <c r="G26" s="813">
        <f t="shared" si="2"/>
        <v>2941.6950349073882</v>
      </c>
      <c r="H26" s="813">
        <f t="shared" si="2"/>
        <v>0</v>
      </c>
      <c r="I26" s="813">
        <f t="shared" si="2"/>
        <v>0</v>
      </c>
      <c r="J26" s="813">
        <f t="shared" si="2"/>
        <v>0</v>
      </c>
      <c r="K26" s="813">
        <f t="shared" si="2"/>
        <v>177.75357360768052</v>
      </c>
      <c r="L26" s="813">
        <f t="shared" si="2"/>
        <v>0</v>
      </c>
      <c r="M26" s="813">
        <f t="shared" si="2"/>
        <v>0</v>
      </c>
      <c r="N26" s="813">
        <f t="shared" si="2"/>
        <v>0</v>
      </c>
      <c r="O26" s="813">
        <f t="shared" si="2"/>
        <v>0</v>
      </c>
      <c r="P26" s="813">
        <f t="shared" si="2"/>
        <v>0</v>
      </c>
      <c r="Q26" s="813">
        <f t="shared" si="2"/>
        <v>0</v>
      </c>
      <c r="R26" s="813">
        <f t="shared" si="2"/>
        <v>6424.0985592282113</v>
      </c>
      <c r="S26" s="67"/>
    </row>
    <row r="27" spans="1:19" s="474" customFormat="1" ht="17.25" thickTop="1" thickBot="1">
      <c r="A27" s="707" t="s">
        <v>116</v>
      </c>
      <c r="B27" s="806"/>
      <c r="C27" s="708">
        <f ca="1">C22+C16+C26</f>
        <v>61933.778166813812</v>
      </c>
      <c r="D27" s="708">
        <f t="shared" ref="D27:R27" ca="1" si="3">D22+D16+D26</f>
        <v>0</v>
      </c>
      <c r="E27" s="708">
        <f t="shared" ca="1" si="3"/>
        <v>71282.50852911557</v>
      </c>
      <c r="F27" s="708">
        <f t="shared" si="3"/>
        <v>2575.6131382361023</v>
      </c>
      <c r="G27" s="708">
        <f t="shared" ca="1" si="3"/>
        <v>35896.542113914627</v>
      </c>
      <c r="H27" s="708">
        <f t="shared" si="3"/>
        <v>157601.43228593867</v>
      </c>
      <c r="I27" s="708">
        <f t="shared" si="3"/>
        <v>22120.276175821342</v>
      </c>
      <c r="J27" s="708">
        <f t="shared" si="3"/>
        <v>0</v>
      </c>
      <c r="K27" s="708">
        <f t="shared" si="3"/>
        <v>226.81485747030587</v>
      </c>
      <c r="L27" s="708">
        <f t="shared" si="3"/>
        <v>0</v>
      </c>
      <c r="M27" s="708">
        <f t="shared" ca="1" si="3"/>
        <v>0</v>
      </c>
      <c r="N27" s="708">
        <f t="shared" si="3"/>
        <v>9797.1122243758091</v>
      </c>
      <c r="O27" s="708">
        <f t="shared" ca="1" si="3"/>
        <v>10225.064578480178</v>
      </c>
      <c r="P27" s="708">
        <f t="shared" si="3"/>
        <v>165.71333333333337</v>
      </c>
      <c r="Q27" s="708">
        <f t="shared" si="3"/>
        <v>362.26666666666665</v>
      </c>
      <c r="R27" s="708">
        <f t="shared" ca="1" si="3"/>
        <v>372187.12207016652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3264.8759644441488</v>
      </c>
      <c r="D40" s="1025">
        <f ca="1">tertiair!C20</f>
        <v>0</v>
      </c>
      <c r="E40" s="1025">
        <f ca="1">tertiair!D20</f>
        <v>2626.8788219882194</v>
      </c>
      <c r="F40" s="1025">
        <f>tertiair!E20</f>
        <v>41.529597422693527</v>
      </c>
      <c r="G40" s="1025">
        <f ca="1">tertiair!F20</f>
        <v>636.81632087493642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6570.1007047299981</v>
      </c>
    </row>
    <row r="41" spans="1:18">
      <c r="A41" s="823" t="s">
        <v>225</v>
      </c>
      <c r="B41" s="830"/>
      <c r="C41" s="1025">
        <f ca="1">huishoudens!B12</f>
        <v>4456.3979955732193</v>
      </c>
      <c r="D41" s="1025">
        <f ca="1">huishoudens!C12</f>
        <v>0</v>
      </c>
      <c r="E41" s="1025">
        <f>huishoudens!D12</f>
        <v>6799.8080263779184</v>
      </c>
      <c r="F41" s="1025">
        <f>huishoudens!E12</f>
        <v>246.82585725498222</v>
      </c>
      <c r="G41" s="1025">
        <f>huishoudens!F12</f>
        <v>6723.1143287497935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18226.146207955913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3648.3478983061436</v>
      </c>
      <c r="D43" s="1025">
        <f ca="1">industrie!C22</f>
        <v>0</v>
      </c>
      <c r="E43" s="1025">
        <f>industrie!D22</f>
        <v>4687.9398653808958</v>
      </c>
      <c r="F43" s="1025">
        <f>industrie!E22</f>
        <v>199.55630820377507</v>
      </c>
      <c r="G43" s="1025">
        <f>industrie!F22</f>
        <v>1439.013520470204</v>
      </c>
      <c r="H43" s="1025">
        <f>industrie!G22</f>
        <v>0</v>
      </c>
      <c r="I43" s="1025">
        <f>industrie!H22</f>
        <v>0</v>
      </c>
      <c r="J43" s="1025">
        <f>industrie!I22</f>
        <v>0</v>
      </c>
      <c r="K43" s="1025">
        <f>industrie!J22</f>
        <v>17.36769448736937</v>
      </c>
      <c r="L43" s="1025">
        <f>industrie!K22</f>
        <v>0</v>
      </c>
      <c r="M43" s="1025">
        <f>industrie!L22</f>
        <v>0</v>
      </c>
      <c r="N43" s="1025">
        <f>industrie!M22</f>
        <v>0</v>
      </c>
      <c r="O43" s="1025">
        <f>industrie!N22</f>
        <v>0</v>
      </c>
      <c r="P43" s="1025">
        <f>industrie!O22</f>
        <v>0</v>
      </c>
      <c r="Q43" s="775">
        <f>industrie!P22</f>
        <v>0</v>
      </c>
      <c r="R43" s="850">
        <f t="shared" ca="1" si="4"/>
        <v>9992.2252868483884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11369.621858323511</v>
      </c>
      <c r="D46" s="733">
        <f t="shared" ref="D46:Q46" ca="1" si="5">SUM(D39:D45)</f>
        <v>0</v>
      </c>
      <c r="E46" s="733">
        <f t="shared" ca="1" si="5"/>
        <v>14114.626713747035</v>
      </c>
      <c r="F46" s="733">
        <f t="shared" si="5"/>
        <v>487.91176288145084</v>
      </c>
      <c r="G46" s="733">
        <f t="shared" ca="1" si="5"/>
        <v>8798.9441700949337</v>
      </c>
      <c r="H46" s="733">
        <f t="shared" si="5"/>
        <v>0</v>
      </c>
      <c r="I46" s="733">
        <f t="shared" si="5"/>
        <v>0</v>
      </c>
      <c r="J46" s="733">
        <f t="shared" si="5"/>
        <v>0</v>
      </c>
      <c r="K46" s="733">
        <f t="shared" si="5"/>
        <v>17.36769448736937</v>
      </c>
      <c r="L46" s="733">
        <f t="shared" si="5"/>
        <v>0</v>
      </c>
      <c r="M46" s="733">
        <f t="shared" ca="1" si="5"/>
        <v>0</v>
      </c>
      <c r="N46" s="733">
        <f t="shared" si="5"/>
        <v>0</v>
      </c>
      <c r="O46" s="733">
        <f t="shared" ca="1" si="5"/>
        <v>0</v>
      </c>
      <c r="P46" s="733">
        <f t="shared" si="5"/>
        <v>0</v>
      </c>
      <c r="Q46" s="733">
        <f t="shared" si="5"/>
        <v>0</v>
      </c>
      <c r="R46" s="733">
        <f ca="1">SUM(R39:R45)</f>
        <v>34788.472199534299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112.60901863478098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112.60901863478098</v>
      </c>
    </row>
    <row r="50" spans="1:18">
      <c r="A50" s="826" t="s">
        <v>307</v>
      </c>
      <c r="B50" s="836"/>
      <c r="C50" s="704">
        <f ca="1">transport!B18</f>
        <v>3.9028844070130893</v>
      </c>
      <c r="D50" s="704">
        <f>transport!C18</f>
        <v>0</v>
      </c>
      <c r="E50" s="704">
        <f>transport!D18</f>
        <v>11.551659584693436</v>
      </c>
      <c r="F50" s="704">
        <f>transport!E18</f>
        <v>94.314637623707128</v>
      </c>
      <c r="G50" s="704">
        <f>transport!F18</f>
        <v>0</v>
      </c>
      <c r="H50" s="704">
        <f>transport!G18</f>
        <v>41966.973401710849</v>
      </c>
      <c r="I50" s="704">
        <f>transport!H18</f>
        <v>5507.9487677795141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47584.691351105772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3.9028844070130893</v>
      </c>
      <c r="D52" s="733">
        <f t="shared" ref="D52:Q52" ca="1" si="6">SUM(D48:D51)</f>
        <v>0</v>
      </c>
      <c r="E52" s="733">
        <f t="shared" si="6"/>
        <v>11.551659584693436</v>
      </c>
      <c r="F52" s="733">
        <f t="shared" si="6"/>
        <v>94.314637623707128</v>
      </c>
      <c r="G52" s="733">
        <f t="shared" si="6"/>
        <v>0</v>
      </c>
      <c r="H52" s="733">
        <f t="shared" si="6"/>
        <v>42079.582420345629</v>
      </c>
      <c r="I52" s="733">
        <f t="shared" si="6"/>
        <v>5507.9487677795141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47697.300369740551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219.81382113714227</v>
      </c>
      <c r="D54" s="704">
        <f ca="1">+landbouw!C12</f>
        <v>0</v>
      </c>
      <c r="E54" s="704">
        <f>+landbouw!D12</f>
        <v>20.435698736942435</v>
      </c>
      <c r="F54" s="704">
        <f>+landbouw!E12</f>
        <v>2.4377818744373299</v>
      </c>
      <c r="G54" s="704">
        <f>+landbouw!F12</f>
        <v>785.43257432027269</v>
      </c>
      <c r="H54" s="704">
        <f>+landbouw!G12</f>
        <v>0</v>
      </c>
      <c r="I54" s="704">
        <f>+landbouw!H12</f>
        <v>0</v>
      </c>
      <c r="J54" s="704">
        <f>+landbouw!I12</f>
        <v>0</v>
      </c>
      <c r="K54" s="704">
        <f>+landbouw!J12</f>
        <v>62.924765057118904</v>
      </c>
      <c r="L54" s="704">
        <f>+landbouw!K12</f>
        <v>0</v>
      </c>
      <c r="M54" s="704">
        <f>+landbouw!L12</f>
        <v>0</v>
      </c>
      <c r="N54" s="704">
        <f>+landbouw!M12</f>
        <v>0</v>
      </c>
      <c r="O54" s="704">
        <f>+landbouw!N12</f>
        <v>0</v>
      </c>
      <c r="P54" s="704">
        <f>+landbouw!O12</f>
        <v>0</v>
      </c>
      <c r="Q54" s="705">
        <f>+landbouw!P12</f>
        <v>0</v>
      </c>
      <c r="R54" s="732">
        <f ca="1">SUM(C54:Q54)</f>
        <v>1091.0446411259138</v>
      </c>
    </row>
    <row r="55" spans="1:18" ht="15" thickBot="1">
      <c r="A55" s="826" t="s">
        <v>864</v>
      </c>
      <c r="B55" s="836"/>
      <c r="C55" s="704">
        <f ca="1">C25*'EF ele_warmte'!B12</f>
        <v>148.5512113826542</v>
      </c>
      <c r="D55" s="704"/>
      <c r="E55" s="704">
        <f>E25*EF_CO2_aardgas</f>
        <v>252.45265081267911</v>
      </c>
      <c r="F55" s="704"/>
      <c r="G55" s="704"/>
      <c r="H55" s="704"/>
      <c r="I55" s="704"/>
      <c r="J55" s="704"/>
      <c r="K55" s="704"/>
      <c r="L55" s="704"/>
      <c r="M55" s="704"/>
      <c r="N55" s="704"/>
      <c r="O55" s="704"/>
      <c r="P55" s="704"/>
      <c r="Q55" s="705"/>
      <c r="R55" s="732">
        <f ca="1">SUM(C55:Q55)</f>
        <v>401.00386219533334</v>
      </c>
    </row>
    <row r="56" spans="1:18" ht="15.75" thickBot="1">
      <c r="A56" s="824" t="s">
        <v>865</v>
      </c>
      <c r="B56" s="837"/>
      <c r="C56" s="733">
        <f ca="1">SUM(C54:C55)</f>
        <v>368.3650325197965</v>
      </c>
      <c r="D56" s="733">
        <f t="shared" ref="D56:Q56" ca="1" si="7">SUM(D54:D55)</f>
        <v>0</v>
      </c>
      <c r="E56" s="733">
        <f t="shared" si="7"/>
        <v>272.88834954962152</v>
      </c>
      <c r="F56" s="733">
        <f t="shared" si="7"/>
        <v>2.4377818744373299</v>
      </c>
      <c r="G56" s="733">
        <f t="shared" si="7"/>
        <v>785.43257432027269</v>
      </c>
      <c r="H56" s="733">
        <f t="shared" si="7"/>
        <v>0</v>
      </c>
      <c r="I56" s="733">
        <f t="shared" si="7"/>
        <v>0</v>
      </c>
      <c r="J56" s="733">
        <f t="shared" si="7"/>
        <v>0</v>
      </c>
      <c r="K56" s="733">
        <f t="shared" si="7"/>
        <v>62.924765057118904</v>
      </c>
      <c r="L56" s="733">
        <f t="shared" si="7"/>
        <v>0</v>
      </c>
      <c r="M56" s="733">
        <f t="shared" si="7"/>
        <v>0</v>
      </c>
      <c r="N56" s="733">
        <f t="shared" si="7"/>
        <v>0</v>
      </c>
      <c r="O56" s="733">
        <f t="shared" si="7"/>
        <v>0</v>
      </c>
      <c r="P56" s="733">
        <f t="shared" si="7"/>
        <v>0</v>
      </c>
      <c r="Q56" s="734">
        <f t="shared" si="7"/>
        <v>0</v>
      </c>
      <c r="R56" s="735">
        <f ca="1">SUM(R54:R55)</f>
        <v>1492.0485033212472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11741.88977525032</v>
      </c>
      <c r="D61" s="741">
        <f t="shared" ref="D61:Q61" ca="1" si="8">D46+D52+D56</f>
        <v>0</v>
      </c>
      <c r="E61" s="741">
        <f t="shared" ca="1" si="8"/>
        <v>14399.066722881349</v>
      </c>
      <c r="F61" s="741">
        <f t="shared" si="8"/>
        <v>584.66418237959522</v>
      </c>
      <c r="G61" s="741">
        <f t="shared" ca="1" si="8"/>
        <v>9584.3767444152072</v>
      </c>
      <c r="H61" s="741">
        <f t="shared" si="8"/>
        <v>42079.582420345629</v>
      </c>
      <c r="I61" s="741">
        <f t="shared" si="8"/>
        <v>5507.9487677795141</v>
      </c>
      <c r="J61" s="741">
        <f t="shared" si="8"/>
        <v>0</v>
      </c>
      <c r="K61" s="741">
        <f t="shared" si="8"/>
        <v>80.292459544488281</v>
      </c>
      <c r="L61" s="741">
        <f t="shared" si="8"/>
        <v>0</v>
      </c>
      <c r="M61" s="741">
        <f t="shared" ca="1" si="8"/>
        <v>0</v>
      </c>
      <c r="N61" s="741">
        <f t="shared" si="8"/>
        <v>0</v>
      </c>
      <c r="O61" s="741">
        <f t="shared" ca="1" si="8"/>
        <v>0</v>
      </c>
      <c r="P61" s="741">
        <f t="shared" si="8"/>
        <v>0</v>
      </c>
      <c r="Q61" s="741">
        <f t="shared" si="8"/>
        <v>0</v>
      </c>
      <c r="R61" s="741">
        <f ca="1">R46+R52+R56</f>
        <v>83977.821072596096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0.18958781658087212</v>
      </c>
      <c r="D63" s="782">
        <f t="shared" ca="1" si="9"/>
        <v>0</v>
      </c>
      <c r="E63" s="1036">
        <f t="shared" ca="1" si="9"/>
        <v>0.20200000000000007</v>
      </c>
      <c r="F63" s="782">
        <f t="shared" si="9"/>
        <v>0.22700000000000001</v>
      </c>
      <c r="G63" s="782">
        <f t="shared" ca="1" si="9"/>
        <v>0.26700000000000007</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8803.0552018802246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8803.0552018802246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8803.0552018802246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8803.0552018802246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23505.719280607154</v>
      </c>
      <c r="C4" s="478">
        <f>huishoudens!C8</f>
        <v>0</v>
      </c>
      <c r="D4" s="478">
        <f>huishoudens!D8</f>
        <v>33662.41597216791</v>
      </c>
      <c r="E4" s="478">
        <f>huishoudens!E8</f>
        <v>1087.3385782157807</v>
      </c>
      <c r="F4" s="478">
        <f>huishoudens!F8</f>
        <v>25180.203478463645</v>
      </c>
      <c r="G4" s="478">
        <f>huishoudens!G8</f>
        <v>0</v>
      </c>
      <c r="H4" s="478">
        <f>huishoudens!H8</f>
        <v>0</v>
      </c>
      <c r="I4" s="478">
        <f>huishoudens!I8</f>
        <v>0</v>
      </c>
      <c r="J4" s="478">
        <f>huishoudens!J8</f>
        <v>0</v>
      </c>
      <c r="K4" s="478">
        <f>huishoudens!K8</f>
        <v>0</v>
      </c>
      <c r="L4" s="478">
        <f>huishoudens!L8</f>
        <v>0</v>
      </c>
      <c r="M4" s="478">
        <f>huishoudens!M8</f>
        <v>0</v>
      </c>
      <c r="N4" s="478">
        <f>huishoudens!N8</f>
        <v>6381.5628330152831</v>
      </c>
      <c r="O4" s="478">
        <f>huishoudens!O8</f>
        <v>165.71333333333337</v>
      </c>
      <c r="P4" s="479">
        <f>huishoudens!P8</f>
        <v>362.26666666666665</v>
      </c>
      <c r="Q4" s="480">
        <f>SUM(B4:P4)</f>
        <v>90345.220142469771</v>
      </c>
    </row>
    <row r="5" spans="1:17">
      <c r="A5" s="477" t="s">
        <v>156</v>
      </c>
      <c r="B5" s="478">
        <f ca="1">tertiair!B16</f>
        <v>16269.894529999998</v>
      </c>
      <c r="C5" s="478">
        <f ca="1">tertiair!C16</f>
        <v>0</v>
      </c>
      <c r="D5" s="478">
        <f ca="1">tertiair!D16</f>
        <v>13004.350603902076</v>
      </c>
      <c r="E5" s="478">
        <f>tertiair!E16</f>
        <v>182.94976838190979</v>
      </c>
      <c r="F5" s="478">
        <f ca="1">tertiair!F16</f>
        <v>2385.0798534641813</v>
      </c>
      <c r="G5" s="478">
        <f>tertiair!G16</f>
        <v>0</v>
      </c>
      <c r="H5" s="478">
        <f>tertiair!H16</f>
        <v>0</v>
      </c>
      <c r="I5" s="478">
        <f>tertiair!I16</f>
        <v>0</v>
      </c>
      <c r="J5" s="478">
        <f>tertiair!J16</f>
        <v>0</v>
      </c>
      <c r="K5" s="478">
        <f>tertiair!K16</f>
        <v>0</v>
      </c>
      <c r="L5" s="478">
        <f ca="1">tertiair!L16</f>
        <v>0</v>
      </c>
      <c r="M5" s="478">
        <f>tertiair!M16</f>
        <v>0</v>
      </c>
      <c r="N5" s="478">
        <f ca="1">tertiair!N16</f>
        <v>1251.0984855539784</v>
      </c>
      <c r="O5" s="478">
        <f>tertiair!O16</f>
        <v>0</v>
      </c>
      <c r="P5" s="479">
        <f>tertiair!P16</f>
        <v>0</v>
      </c>
      <c r="Q5" s="477">
        <f t="shared" ref="Q5:Q14" ca="1" si="0">SUM(B5:P5)</f>
        <v>33093.373241302143</v>
      </c>
    </row>
    <row r="6" spans="1:17">
      <c r="A6" s="477" t="s">
        <v>194</v>
      </c>
      <c r="B6" s="478">
        <f>'openbare verlichting'!B8</f>
        <v>951.02200000000005</v>
      </c>
      <c r="C6" s="478"/>
      <c r="D6" s="478"/>
      <c r="E6" s="478"/>
      <c r="F6" s="478"/>
      <c r="G6" s="478"/>
      <c r="H6" s="478"/>
      <c r="I6" s="478"/>
      <c r="J6" s="478"/>
      <c r="K6" s="478"/>
      <c r="L6" s="478"/>
      <c r="M6" s="478"/>
      <c r="N6" s="478"/>
      <c r="O6" s="478"/>
      <c r="P6" s="479"/>
      <c r="Q6" s="477">
        <f t="shared" si="0"/>
        <v>951.02200000000005</v>
      </c>
    </row>
    <row r="7" spans="1:17">
      <c r="A7" s="477" t="s">
        <v>112</v>
      </c>
      <c r="B7" s="478">
        <f>landbouw!B8</f>
        <v>1159.4301</v>
      </c>
      <c r="C7" s="478">
        <f>landbouw!C8</f>
        <v>0</v>
      </c>
      <c r="D7" s="478">
        <f>landbouw!D8</f>
        <v>101.16682543040808</v>
      </c>
      <c r="E7" s="478">
        <f>landbouw!E8</f>
        <v>10.739127200164448</v>
      </c>
      <c r="F7" s="478">
        <f>landbouw!F8</f>
        <v>2941.6950349073882</v>
      </c>
      <c r="G7" s="478">
        <f>landbouw!G8</f>
        <v>0</v>
      </c>
      <c r="H7" s="478">
        <f>landbouw!H8</f>
        <v>0</v>
      </c>
      <c r="I7" s="478">
        <f>landbouw!I8</f>
        <v>0</v>
      </c>
      <c r="J7" s="478">
        <f>landbouw!J8</f>
        <v>177.75357360768052</v>
      </c>
      <c r="K7" s="478">
        <f>landbouw!K8</f>
        <v>0</v>
      </c>
      <c r="L7" s="478">
        <f>landbouw!L8</f>
        <v>0</v>
      </c>
      <c r="M7" s="478">
        <f>landbouw!M8</f>
        <v>0</v>
      </c>
      <c r="N7" s="478">
        <f>landbouw!N8</f>
        <v>0</v>
      </c>
      <c r="O7" s="478">
        <f>landbouw!O8</f>
        <v>0</v>
      </c>
      <c r="P7" s="479">
        <f>landbouw!P8</f>
        <v>0</v>
      </c>
      <c r="Q7" s="477">
        <f t="shared" si="0"/>
        <v>4390.7846611456416</v>
      </c>
    </row>
    <row r="8" spans="1:17">
      <c r="A8" s="477" t="s">
        <v>650</v>
      </c>
      <c r="B8" s="478">
        <f>industrie!B18</f>
        <v>19243.577800000003</v>
      </c>
      <c r="C8" s="478">
        <f>industrie!C18</f>
        <v>0</v>
      </c>
      <c r="D8" s="478">
        <f>industrie!D18</f>
        <v>23207.623095945026</v>
      </c>
      <c r="E8" s="478">
        <f>industrie!E18</f>
        <v>879.10267931178441</v>
      </c>
      <c r="F8" s="478">
        <f>industrie!F18</f>
        <v>5389.5637470794154</v>
      </c>
      <c r="G8" s="478">
        <f>industrie!G18</f>
        <v>0</v>
      </c>
      <c r="H8" s="478">
        <f>industrie!H18</f>
        <v>0</v>
      </c>
      <c r="I8" s="478">
        <f>industrie!I18</f>
        <v>0</v>
      </c>
      <c r="J8" s="478">
        <f>industrie!J18</f>
        <v>49.061283862625338</v>
      </c>
      <c r="K8" s="478">
        <f>industrie!K18</f>
        <v>0</v>
      </c>
      <c r="L8" s="478">
        <f>industrie!L18</f>
        <v>0</v>
      </c>
      <c r="M8" s="478">
        <f>industrie!M18</f>
        <v>0</v>
      </c>
      <c r="N8" s="478">
        <f>industrie!N18</f>
        <v>2592.4032599109178</v>
      </c>
      <c r="O8" s="478">
        <f>industrie!O18</f>
        <v>0</v>
      </c>
      <c r="P8" s="479">
        <f>industrie!P18</f>
        <v>0</v>
      </c>
      <c r="Q8" s="477">
        <f t="shared" si="0"/>
        <v>51361.33186610978</v>
      </c>
    </row>
    <row r="9" spans="1:17" s="483" customFormat="1">
      <c r="A9" s="481" t="s">
        <v>571</v>
      </c>
      <c r="B9" s="482">
        <f>transport!B14</f>
        <v>20.586156206658156</v>
      </c>
      <c r="C9" s="482">
        <f>transport!C14</f>
        <v>0</v>
      </c>
      <c r="D9" s="482">
        <f>transport!D14</f>
        <v>57.18643358759126</v>
      </c>
      <c r="E9" s="482">
        <f>transport!E14</f>
        <v>415.48298512646312</v>
      </c>
      <c r="F9" s="482">
        <f>transport!F14</f>
        <v>0</v>
      </c>
      <c r="G9" s="482">
        <f>transport!G14</f>
        <v>157179.67566183838</v>
      </c>
      <c r="H9" s="482">
        <f>transport!H14</f>
        <v>22120.276175821342</v>
      </c>
      <c r="I9" s="482">
        <f>transport!I14</f>
        <v>0</v>
      </c>
      <c r="J9" s="482">
        <f>transport!J14</f>
        <v>0</v>
      </c>
      <c r="K9" s="482">
        <f>transport!K14</f>
        <v>0</v>
      </c>
      <c r="L9" s="482">
        <f>transport!L14</f>
        <v>0</v>
      </c>
      <c r="M9" s="482">
        <f>transport!M14</f>
        <v>9773.0606735903439</v>
      </c>
      <c r="N9" s="482">
        <f>transport!N14</f>
        <v>0</v>
      </c>
      <c r="O9" s="482">
        <f>transport!O14</f>
        <v>0</v>
      </c>
      <c r="P9" s="482">
        <f>transport!P14</f>
        <v>0</v>
      </c>
      <c r="Q9" s="481">
        <f>SUM(B9:P9)</f>
        <v>189566.26808617078</v>
      </c>
    </row>
    <row r="10" spans="1:17">
      <c r="A10" s="477" t="s">
        <v>561</v>
      </c>
      <c r="B10" s="478">
        <f>transport!B54</f>
        <v>0</v>
      </c>
      <c r="C10" s="478">
        <f>transport!C54</f>
        <v>0</v>
      </c>
      <c r="D10" s="478">
        <f>transport!D54</f>
        <v>0</v>
      </c>
      <c r="E10" s="478">
        <f>transport!E54</f>
        <v>0</v>
      </c>
      <c r="F10" s="478">
        <f>transport!F54</f>
        <v>0</v>
      </c>
      <c r="G10" s="478">
        <f>transport!G54</f>
        <v>421.75662410030327</v>
      </c>
      <c r="H10" s="478">
        <f>transport!H54</f>
        <v>0</v>
      </c>
      <c r="I10" s="478">
        <f>transport!I54</f>
        <v>0</v>
      </c>
      <c r="J10" s="478">
        <f>transport!J54</f>
        <v>0</v>
      </c>
      <c r="K10" s="478">
        <f>transport!K54</f>
        <v>0</v>
      </c>
      <c r="L10" s="478">
        <f>transport!L54</f>
        <v>0</v>
      </c>
      <c r="M10" s="478">
        <f>transport!M54</f>
        <v>24.051550785464467</v>
      </c>
      <c r="N10" s="478">
        <f>transport!N54</f>
        <v>0</v>
      </c>
      <c r="O10" s="478">
        <f>transport!O54</f>
        <v>0</v>
      </c>
      <c r="P10" s="479">
        <f>transport!P54</f>
        <v>0</v>
      </c>
      <c r="Q10" s="477">
        <f t="shared" si="0"/>
        <v>445.80817488576776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783.54830000000004</v>
      </c>
      <c r="C14" s="485"/>
      <c r="D14" s="485">
        <f>'SEAP template'!E25</f>
        <v>1249.7655980825698</v>
      </c>
      <c r="E14" s="485"/>
      <c r="F14" s="485"/>
      <c r="G14" s="485"/>
      <c r="H14" s="485"/>
      <c r="I14" s="485"/>
      <c r="J14" s="485"/>
      <c r="K14" s="485"/>
      <c r="L14" s="485"/>
      <c r="M14" s="485"/>
      <c r="N14" s="485"/>
      <c r="O14" s="485"/>
      <c r="P14" s="486"/>
      <c r="Q14" s="477">
        <f t="shared" si="0"/>
        <v>2033.3138980825697</v>
      </c>
    </row>
    <row r="15" spans="1:17" s="487" customFormat="1">
      <c r="A15" s="1051" t="s">
        <v>565</v>
      </c>
      <c r="B15" s="991">
        <f ca="1">SUM(B4:B14)</f>
        <v>61933.778166813812</v>
      </c>
      <c r="C15" s="991">
        <f t="shared" ref="C15:Q15" ca="1" si="1">SUM(C4:C14)</f>
        <v>0</v>
      </c>
      <c r="D15" s="991">
        <f t="shared" ca="1" si="1"/>
        <v>71282.50852911557</v>
      </c>
      <c r="E15" s="991">
        <f t="shared" si="1"/>
        <v>2575.6131382361023</v>
      </c>
      <c r="F15" s="991">
        <f t="shared" ca="1" si="1"/>
        <v>35896.542113914627</v>
      </c>
      <c r="G15" s="991">
        <f t="shared" si="1"/>
        <v>157601.43228593867</v>
      </c>
      <c r="H15" s="991">
        <f t="shared" si="1"/>
        <v>22120.276175821342</v>
      </c>
      <c r="I15" s="991">
        <f t="shared" si="1"/>
        <v>0</v>
      </c>
      <c r="J15" s="991">
        <f t="shared" si="1"/>
        <v>226.81485747030587</v>
      </c>
      <c r="K15" s="991">
        <f t="shared" si="1"/>
        <v>0</v>
      </c>
      <c r="L15" s="991">
        <f t="shared" ca="1" si="1"/>
        <v>0</v>
      </c>
      <c r="M15" s="991">
        <f t="shared" si="1"/>
        <v>9797.1122243758091</v>
      </c>
      <c r="N15" s="991">
        <f t="shared" ca="1" si="1"/>
        <v>10225.064578480178</v>
      </c>
      <c r="O15" s="991">
        <f t="shared" si="1"/>
        <v>165.71333333333337</v>
      </c>
      <c r="P15" s="991">
        <f t="shared" si="1"/>
        <v>362.26666666666665</v>
      </c>
      <c r="Q15" s="991">
        <f t="shared" ca="1" si="1"/>
        <v>372187.12207016646</v>
      </c>
    </row>
    <row r="17" spans="1:17">
      <c r="A17" s="488" t="s">
        <v>566</v>
      </c>
      <c r="B17" s="787">
        <f ca="1">huishoudens!B10</f>
        <v>0.18958781658087215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4456.3979955732193</v>
      </c>
      <c r="C22" s="478">
        <f t="shared" ref="C22:C32" ca="1" si="3">C4*$C$17</f>
        <v>0</v>
      </c>
      <c r="D22" s="478">
        <f t="shared" ref="D22:D32" si="4">D4*$D$17</f>
        <v>6799.8080263779184</v>
      </c>
      <c r="E22" s="478">
        <f t="shared" ref="E22:E32" si="5">E4*$E$17</f>
        <v>246.82585725498222</v>
      </c>
      <c r="F22" s="478">
        <f t="shared" ref="F22:F32" si="6">F4*$F$17</f>
        <v>6723.1143287497935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18226.146207955913</v>
      </c>
    </row>
    <row r="23" spans="1:17">
      <c r="A23" s="477" t="s">
        <v>156</v>
      </c>
      <c r="B23" s="478">
        <f t="shared" ca="1" si="2"/>
        <v>3084.5737799437748</v>
      </c>
      <c r="C23" s="478">
        <f t="shared" ca="1" si="3"/>
        <v>0</v>
      </c>
      <c r="D23" s="478">
        <f t="shared" ca="1" si="4"/>
        <v>2626.8788219882194</v>
      </c>
      <c r="E23" s="478">
        <f t="shared" si="5"/>
        <v>41.529597422693527</v>
      </c>
      <c r="F23" s="478">
        <f t="shared" ca="1" si="6"/>
        <v>636.81632087493642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6389.798520229625</v>
      </c>
    </row>
    <row r="24" spans="1:17">
      <c r="A24" s="477" t="s">
        <v>194</v>
      </c>
      <c r="B24" s="478">
        <f t="shared" ca="1" si="2"/>
        <v>180.30218450037421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180.30218450037421</v>
      </c>
    </row>
    <row r="25" spans="1:17">
      <c r="A25" s="477" t="s">
        <v>112</v>
      </c>
      <c r="B25" s="478">
        <f t="shared" ca="1" si="2"/>
        <v>219.81382113714227</v>
      </c>
      <c r="C25" s="478">
        <f t="shared" ca="1" si="3"/>
        <v>0</v>
      </c>
      <c r="D25" s="478">
        <f t="shared" si="4"/>
        <v>20.435698736942435</v>
      </c>
      <c r="E25" s="478">
        <f t="shared" si="5"/>
        <v>2.4377818744373299</v>
      </c>
      <c r="F25" s="478">
        <f t="shared" si="6"/>
        <v>785.43257432027269</v>
      </c>
      <c r="G25" s="478">
        <f t="shared" si="7"/>
        <v>0</v>
      </c>
      <c r="H25" s="478">
        <f t="shared" si="8"/>
        <v>0</v>
      </c>
      <c r="I25" s="478">
        <f t="shared" si="9"/>
        <v>0</v>
      </c>
      <c r="J25" s="478">
        <f t="shared" si="10"/>
        <v>62.924765057118904</v>
      </c>
      <c r="K25" s="478">
        <f t="shared" si="11"/>
        <v>0</v>
      </c>
      <c r="L25" s="478">
        <f t="shared" si="12"/>
        <v>0</v>
      </c>
      <c r="M25" s="478">
        <f t="shared" si="13"/>
        <v>0</v>
      </c>
      <c r="N25" s="478">
        <f t="shared" si="14"/>
        <v>0</v>
      </c>
      <c r="O25" s="478">
        <f t="shared" si="15"/>
        <v>0</v>
      </c>
      <c r="P25" s="479">
        <f t="shared" si="16"/>
        <v>0</v>
      </c>
      <c r="Q25" s="477">
        <f t="shared" ca="1" si="17"/>
        <v>1091.0446411259138</v>
      </c>
    </row>
    <row r="26" spans="1:17">
      <c r="A26" s="477" t="s">
        <v>650</v>
      </c>
      <c r="B26" s="478">
        <f t="shared" ca="1" si="2"/>
        <v>3648.3478983061436</v>
      </c>
      <c r="C26" s="478">
        <f t="shared" ca="1" si="3"/>
        <v>0</v>
      </c>
      <c r="D26" s="478">
        <f t="shared" si="4"/>
        <v>4687.9398653808958</v>
      </c>
      <c r="E26" s="478">
        <f t="shared" si="5"/>
        <v>199.55630820377507</v>
      </c>
      <c r="F26" s="478">
        <f t="shared" si="6"/>
        <v>1439.013520470204</v>
      </c>
      <c r="G26" s="478">
        <f t="shared" si="7"/>
        <v>0</v>
      </c>
      <c r="H26" s="478">
        <f t="shared" si="8"/>
        <v>0</v>
      </c>
      <c r="I26" s="478">
        <f t="shared" si="9"/>
        <v>0</v>
      </c>
      <c r="J26" s="478">
        <f t="shared" si="10"/>
        <v>17.36769448736937</v>
      </c>
      <c r="K26" s="478">
        <f t="shared" si="11"/>
        <v>0</v>
      </c>
      <c r="L26" s="478">
        <f t="shared" si="12"/>
        <v>0</v>
      </c>
      <c r="M26" s="478">
        <f t="shared" si="13"/>
        <v>0</v>
      </c>
      <c r="N26" s="478">
        <f t="shared" si="14"/>
        <v>0</v>
      </c>
      <c r="O26" s="478">
        <f t="shared" si="15"/>
        <v>0</v>
      </c>
      <c r="P26" s="479">
        <f t="shared" si="16"/>
        <v>0</v>
      </c>
      <c r="Q26" s="477">
        <f t="shared" ca="1" si="17"/>
        <v>9992.2252868483884</v>
      </c>
    </row>
    <row r="27" spans="1:17" s="483" customFormat="1">
      <c r="A27" s="481" t="s">
        <v>571</v>
      </c>
      <c r="B27" s="781">
        <f t="shared" ca="1" si="2"/>
        <v>3.9028844070130893</v>
      </c>
      <c r="C27" s="482">
        <f t="shared" ca="1" si="3"/>
        <v>0</v>
      </c>
      <c r="D27" s="482">
        <f t="shared" si="4"/>
        <v>11.551659584693436</v>
      </c>
      <c r="E27" s="482">
        <f t="shared" si="5"/>
        <v>94.314637623707128</v>
      </c>
      <c r="F27" s="482">
        <f t="shared" si="6"/>
        <v>0</v>
      </c>
      <c r="G27" s="482">
        <f t="shared" si="7"/>
        <v>41966.973401710849</v>
      </c>
      <c r="H27" s="482">
        <f t="shared" si="8"/>
        <v>5507.9487677795141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47584.691351105772</v>
      </c>
    </row>
    <row r="28" spans="1:17">
      <c r="A28" s="477" t="s">
        <v>561</v>
      </c>
      <c r="B28" s="478">
        <f t="shared" ca="1" si="2"/>
        <v>0</v>
      </c>
      <c r="C28" s="478">
        <f t="shared" ca="1" si="3"/>
        <v>0</v>
      </c>
      <c r="D28" s="478">
        <f t="shared" si="4"/>
        <v>0</v>
      </c>
      <c r="E28" s="478">
        <f t="shared" si="5"/>
        <v>0</v>
      </c>
      <c r="F28" s="478">
        <f t="shared" si="6"/>
        <v>0</v>
      </c>
      <c r="G28" s="478">
        <f t="shared" si="7"/>
        <v>112.60901863478098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112.60901863478098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148.5512113826542</v>
      </c>
      <c r="C32" s="478">
        <f t="shared" ca="1" si="3"/>
        <v>0</v>
      </c>
      <c r="D32" s="478">
        <f t="shared" si="4"/>
        <v>252.45265081267911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401.00386219533334</v>
      </c>
    </row>
    <row r="33" spans="1:17" s="487" customFormat="1">
      <c r="A33" s="1051" t="s">
        <v>565</v>
      </c>
      <c r="B33" s="991">
        <f ca="1">SUM(B22:B32)</f>
        <v>11741.88977525032</v>
      </c>
      <c r="C33" s="991">
        <f t="shared" ref="C33:Q33" ca="1" si="18">SUM(C22:C32)</f>
        <v>0</v>
      </c>
      <c r="D33" s="991">
        <f t="shared" ca="1" si="18"/>
        <v>14399.066722881349</v>
      </c>
      <c r="E33" s="991">
        <f t="shared" si="18"/>
        <v>584.66418237959533</v>
      </c>
      <c r="F33" s="991">
        <f t="shared" ca="1" si="18"/>
        <v>9584.3767444152072</v>
      </c>
      <c r="G33" s="991">
        <f t="shared" si="18"/>
        <v>42079.582420345629</v>
      </c>
      <c r="H33" s="991">
        <f t="shared" si="18"/>
        <v>5507.9487677795141</v>
      </c>
      <c r="I33" s="991">
        <f t="shared" si="18"/>
        <v>0</v>
      </c>
      <c r="J33" s="991">
        <f t="shared" si="18"/>
        <v>80.292459544488281</v>
      </c>
      <c r="K33" s="991">
        <f t="shared" si="18"/>
        <v>0</v>
      </c>
      <c r="L33" s="991">
        <f t="shared" ca="1" si="18"/>
        <v>0</v>
      </c>
      <c r="M33" s="991">
        <f t="shared" si="18"/>
        <v>0</v>
      </c>
      <c r="N33" s="991">
        <f t="shared" ca="1" si="18"/>
        <v>0</v>
      </c>
      <c r="O33" s="991">
        <f t="shared" si="18"/>
        <v>0</v>
      </c>
      <c r="P33" s="991">
        <f t="shared" si="18"/>
        <v>0</v>
      </c>
      <c r="Q33" s="991">
        <f t="shared" ca="1" si="18"/>
        <v>83977.821072596111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8803.0552018802246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8803.0552018802246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0.18958781658087215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0.18958781658087215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2019-08-12T08:08:38Z</dcterms:modified>
</cp:coreProperties>
</file>