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D11" i="14"/>
  <c r="C4" i="48"/>
  <c r="G32"/>
  <c r="G22"/>
  <c r="G26"/>
  <c r="G30"/>
  <c r="G25"/>
  <c r="G24"/>
  <c r="G29"/>
  <c r="G23"/>
  <c r="C11" i="14"/>
  <c r="B4" i="48"/>
  <c r="N31"/>
  <c r="N24"/>
  <c r="N32"/>
  <c r="N30"/>
  <c r="N29"/>
  <c r="N28"/>
  <c r="N27"/>
  <c r="C19" i="14"/>
  <c r="B10" i="48"/>
  <c r="K28"/>
  <c r="K32"/>
  <c r="K25"/>
  <c r="K27"/>
  <c r="K30"/>
  <c r="K31"/>
  <c r="K24"/>
  <c r="K29"/>
  <c r="K26"/>
  <c r="K22"/>
  <c r="B7"/>
  <c r="C24" i="14"/>
  <c r="C26" s="1"/>
  <c r="J15" i="16"/>
  <c r="J24" i="48"/>
  <c r="J32"/>
  <c r="J30"/>
  <c r="J27"/>
  <c r="J31"/>
  <c r="J29"/>
  <c r="J28"/>
  <c r="I32"/>
  <c r="I28"/>
  <c r="I22"/>
  <c r="I26"/>
  <c r="I30"/>
  <c r="I29"/>
  <c r="I24"/>
  <c r="I25"/>
  <c r="I27"/>
  <c r="I31"/>
  <c r="D4"/>
  <c r="D22" s="1"/>
  <c r="E11" i="14"/>
  <c r="H32" i="48"/>
  <c r="H29"/>
  <c r="H28"/>
  <c r="H26"/>
  <c r="H24"/>
  <c r="H25"/>
  <c r="H22"/>
  <c r="H30"/>
  <c r="H23"/>
  <c r="F24"/>
  <c r="F32"/>
  <c r="F29"/>
  <c r="F30"/>
  <c r="F31"/>
  <c r="F28"/>
  <c r="F27"/>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P22"/>
  <c r="G13"/>
  <c r="H18" i="14"/>
  <c r="R18" s="1"/>
  <c r="H13" i="48"/>
  <c r="H31" s="1"/>
  <c r="I18" i="14"/>
  <c r="P22" i="16"/>
  <c r="Q43" i="14" s="1"/>
  <c r="Q13"/>
  <c r="Q16" s="1"/>
  <c r="Q27" s="1"/>
  <c r="Q63" s="1"/>
  <c r="P8" i="48"/>
  <c r="P26" s="1"/>
  <c r="O22"/>
  <c r="I5"/>
  <c r="J10" i="14"/>
  <c r="J16" s="1"/>
  <c r="J27" s="1"/>
  <c r="F20"/>
  <c r="F22" s="1"/>
  <c r="E9" i="48"/>
  <c r="E27" s="1"/>
  <c r="G11" i="14"/>
  <c r="F4" i="48"/>
  <c r="F22" s="1"/>
  <c r="C22" i="14"/>
  <c r="K33" i="48"/>
  <c r="J63" i="14"/>
  <c r="M12" i="22"/>
  <c r="M13" i="48"/>
  <c r="M31" s="1"/>
  <c r="N18" i="14"/>
  <c r="E20"/>
  <c r="E22" s="1"/>
  <c r="D9" i="48"/>
  <c r="D27" s="1"/>
  <c r="P10" i="14"/>
  <c r="O5" i="48"/>
  <c r="O23" s="1"/>
  <c r="J7"/>
  <c r="J25" s="1"/>
  <c r="K24" i="14"/>
  <c r="K26" s="1"/>
  <c r="C20"/>
  <c r="B9" i="48"/>
  <c r="D10"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O26" s="1"/>
  <c r="H19" i="14"/>
  <c r="R19" s="1"/>
  <c r="G10" i="48"/>
  <c r="E12" i="13"/>
  <c r="F41" i="14" s="1"/>
  <c r="F11"/>
  <c r="E4" i="48"/>
  <c r="Q13"/>
  <c r="G31"/>
  <c r="I23"/>
  <c r="I33" s="1"/>
  <c r="I15"/>
  <c r="K11" i="14"/>
  <c r="J4" i="48"/>
  <c r="E7"/>
  <c r="E25" s="1"/>
  <c r="F24" i="14"/>
  <c r="F26" s="1"/>
  <c r="P16"/>
  <c r="P27" s="1"/>
  <c r="P33" i="48"/>
  <c r="O15"/>
  <c r="P15"/>
  <c r="P46" i="14"/>
  <c r="P61" s="1"/>
  <c r="O33" i="48"/>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N63" s="1"/>
  <c r="H9" i="48"/>
  <c r="I20" i="14"/>
  <c r="I22" s="1"/>
  <c r="I27" s="1"/>
  <c r="I63" s="1"/>
  <c r="G28" i="48"/>
  <c r="Q10"/>
  <c r="G27"/>
  <c r="G15"/>
  <c r="J22"/>
  <c r="N20" i="14"/>
  <c r="N22" s="1"/>
  <c r="N27" s="1"/>
  <c r="M9" i="48"/>
  <c r="E22"/>
  <c r="Q4"/>
  <c r="J5"/>
  <c r="J23" s="1"/>
  <c r="K10" i="14"/>
  <c r="F10"/>
  <c r="E5" i="48"/>
  <c r="E23" s="1"/>
  <c r="H22" i="14"/>
  <c r="H27" s="1"/>
  <c r="R11"/>
  <c r="P63"/>
  <c r="M18" i="22"/>
  <c r="N50" i="14"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M27"/>
  <c r="M33" s="1"/>
  <c r="M15"/>
  <c r="J22" i="16"/>
  <c r="K43" i="14" s="1"/>
  <c r="J8" i="48"/>
  <c r="J26" s="1"/>
  <c r="K13" i="14"/>
  <c r="F13"/>
  <c r="E8" i="48"/>
  <c r="E26" s="1"/>
  <c r="K46" i="14"/>
  <c r="K61" s="1"/>
  <c r="K63" s="1"/>
  <c r="F16"/>
  <c r="F27" s="1"/>
  <c r="J33" i="48"/>
  <c r="H63" i="14"/>
  <c r="E33" i="48"/>
  <c r="F46" i="14"/>
  <c r="F61" s="1"/>
  <c r="R20"/>
  <c r="R22" s="1"/>
  <c r="E15" i="48"/>
  <c r="G33"/>
  <c r="Q9"/>
  <c r="K16" i="14"/>
  <c r="K27" s="1"/>
  <c r="J15" i="48"/>
  <c r="O13" i="14"/>
  <c r="N8" i="48"/>
  <c r="N26" s="1"/>
  <c r="F8"/>
  <c r="G13" i="14"/>
  <c r="F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<sst xmlns="http://schemas.openxmlformats.org/spreadsheetml/2006/main" count="2419" uniqueCount="907">
  <si>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</si>
  <si>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</si>
  <si>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</si>
  <si>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</si>
  <si>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</si>
  <si>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</si>
  <si>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</si>
  <si>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</si>
  <si>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</si>
  <si>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</si>
  <si>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</si>
  <si>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</si>
  <si>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</si>
  <si>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</si>
  <si>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</si>
  <si>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</si>
  <si>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</si>
  <si>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</si>
  <si>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</si>
  <si>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</si>
  <si>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</si>
  <si>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</si>
  <si>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</si>
  <si>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</si>
  <si>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</si>
  <si>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</si>
  <si>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</si>
  <si>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</si>
  <si>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</si>
  <si>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</si>
  <si>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</si>
  <si>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</si>
  <si>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</si>
  <si>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</si>
  <si>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</si>
  <si>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</si>
  <si>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</si>
  <si>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</si>
  <si>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</si>
  <si>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</si>
  <si>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</si>
  <si>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</si>
  <si>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</si>
  <si>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</si>
  <si>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</si>
  <si>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</si>
  <si>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</si>
  <si>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</si>
  <si>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</si>
  <si>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</si>
  <si>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</si>
  <si>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</si>
  <si>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</si>
  <si>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</si>
  <si>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</si>
  <si>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</si>
  <si>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</si>
  <si>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</si>
  <si>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</si>
  <si>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</si>
  <si>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</si>
  <si>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</si>
  <si>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</si>
  <si>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</si>
  <si>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</si>
  <si>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</si>
  <si>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</si>
  <si>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</si>
  <si>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</si>
  <si>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</si>
  <si>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</si>
  <si>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</si>
  <si>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</si>
  <si>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</si>
  <si>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</si>
  <si>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</si>
  <si>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</si>
  <si>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</si>
  <si>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</si>
  <si>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</si>
  <si>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</si>
  <si>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</si>
  <si>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</si>
  <si>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</si>
  <si>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</si>
  <si>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</si>
  <si>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</si>
  <si>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</si>
  <si>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</si>
  <si>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</si>
  <si>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</si>
  <si>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</si>
  <si>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</si>
  <si>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</si>
  <si>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</si>
  <si>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</si>
  <si>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</si>
  <si>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</si>
  <si>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</si>
  <si>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</si>
  <si>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</si>
  <si>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</si>
  <si>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</si>
  <si>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</si>
  <si>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</si>
  <si>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</si>
  <si>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</si>
  <si>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</si>
  <si>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</si>
  <si>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</si>
  <si>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</si>
  <si>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</si>
  <si>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</si>
  <si>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</si>
  <si>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</si>
  <si>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</si>
  <si>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</si>
  <si>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</si>
  <si>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</si>
  <si>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</si>
  <si>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</si>
  <si>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</si>
  <si>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</si>
  <si>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</si>
  <si>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</si>
  <si>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</si>
  <si>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</si>
  <si>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</si>
  <si>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</si>
  <si>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</si>
  <si>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</si>
  <si>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</si>
  <si>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</si>
  <si>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</si>
  <si>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</si>
  <si>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</si>
  <si>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</si>
  <si>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</si>
  <si>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</si>
  <si>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</si>
  <si>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</si>
  <si>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</si>
  <si>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</si>
  <si>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</si>
  <si>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</si>
  <si>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</si>
  <si>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</si>
  <si>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</si>
  <si>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</si>
  <si>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</si>
  <si>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</si>
  <si>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</si>
  <si>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</si>
  <si>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</si>
  <si>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</si>
  <si>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</si>
  <si>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</si>
  <si>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</si>
  <si>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</si>
  <si>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</si>
  <si>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</si>
  <si>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</si>
  <si>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</si>
  <si>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</si>
  <si>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</si>
  <si>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</si>
  <si>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</si>
  <si>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</si>
  <si>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</si>
  <si>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</si>
  <si>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</si>
  <si>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</si>
  <si>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</si>
  <si>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</si>
  <si>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</si>
  <si>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</si>
  <si>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</si>
  <si>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</si>
  <si>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</si>
  <si>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</si>
  <si>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</si>
  <si>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</si>
  <si>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</si>
  <si>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</si>
  <si>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</si>
  <si>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</si>
  <si>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</si>
  <si>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</si>
  <si>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</si>
  <si>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</si>
  <si>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</si>
  <si>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</si>
  <si>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</si>
  <si>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</si>
  <si>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</si>
  <si>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</si>
  <si>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</si>
  <si>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</si>
  <si>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</si>
  <si>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</si>
  <si>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</si>
  <si>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</si>
  <si>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</si>
  <si>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</si>
  <si>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</si>
  <si>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</si>
  <si>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</si>
  <si>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</si>
  <si>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</si>
  <si>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</si>
  <si>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</si>
  <si>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</si>
  <si>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</si>
  <si>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</si>
  <si>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</si>
  <si>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</si>
  <si>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</si>
  <si>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</si>
  <si>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</si>
  <si>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</si>
  <si>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</si>
  <si>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</si>
  <si>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</si>
  <si>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</si>
  <si>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</si>
  <si>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</si>
  <si>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</si>
  <si>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</si>
  <si>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</si>
  <si>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</si>
  <si>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</si>
  <si>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</si>
  <si>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</si>
  <si>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</si>
  <si>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</si>
  <si>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</si>
  <si>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</si>
  <si>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</si>
  <si>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</si>
  <si>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</si>
  <si>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</si>
  <si>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</si>
  <si>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</si>
  <si>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</si>
  <si>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</si>
  <si>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</si>
  <si>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</si>
  <si>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</si>
  <si>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</si>
  <si>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</si>
  <si>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</si>
  <si>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</si>
  <si>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</si>
  <si>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</si>
  <si>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</si>
  <si>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</si>
  <si>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</si>
  <si>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</si>
  <si>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</si>
  <si>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</si>
  <si>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</si>
  <si>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</si>
  <si>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</si>
  <si>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</si>
  <si>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</si>
  <si>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</si>
  <si>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</si>
  <si>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</si>
  <si>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</si>
  <si>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</si>
  <si>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</si>
  <si>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</si>
  <si>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</si>
  <si>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</si>
  <si>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</si>
  <si>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</si>
  <si>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</si>
  <si>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</si>
  <si>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</si>
  <si>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</si>
  <si>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</si>
  <si>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</si>
  <si>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</si>
  <si>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</si>
  <si>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</si>
  <si>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</si>
  <si>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</si>
  <si>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</si>
  <si>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</si>
  <si>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</si>
  <si>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</si>
  <si>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</si>
  <si>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</si>
  <si>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</si>
  <si>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</si>
  <si>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</si>
  <si>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</si>
  <si>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</si>
  <si>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</si>
  <si>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</si>
  <si>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</si>
  <si>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</si>
  <si>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</si>
  <si>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</si>
  <si>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</si>
  <si>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</si>
  <si>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</si>
  <si>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</si>
  <si>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</si>
  <si>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</si>
  <si>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</si>
  <si>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</si>
  <si>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</si>
  <si>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</si>
  <si>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</si>
  <si>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</si>
  <si>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</si>
  <si>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</si>
  <si>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</si>
  <si>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</si>
  <si>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</si>
  <si>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</si>
  <si>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</si>
  <si>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</si>
  <si>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</si>
  <si>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</si>
  <si>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</si>
  <si>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</si>
  <si>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</si>
  <si>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</si>
  <si>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</si>
  <si>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</si>
  <si>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</si>
  <si>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</si>
  <si>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</si>
  <si>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</si>
  <si>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</si>
  <si>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</si>
  <si>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</si>
  <si>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</si>
  <si>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</si>
  <si>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</si>
  <si>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</si>
  <si>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</si>
  <si>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</si>
  <si>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</si>
  <si>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</si>
  <si>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</si>
  <si>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</si>
  <si>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</si>
  <si>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</si>
  <si>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</si>
  <si>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</si>
  <si>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</si>
  <si>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</si>
  <si>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</si>
  <si>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</si>
  <si>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</si>
  <si>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</si>
  <si>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</si>
  <si>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</si>
  <si>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</si>
  <si>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</si>
  <si>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</si>
  <si>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</si>
  <si>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</si>
  <si>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</si>
  <si>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</si>
  <si>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</si>
  <si>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</si>
  <si>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</si>
  <si>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</si>
  <si>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</si>
  <si>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</si>
  <si>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</si>
  <si>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</si>
  <si>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</si>
  <si>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</si>
  <si>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</si>
  <si>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</si>
  <si>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</si>
  <si>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</si>
  <si>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</si>
  <si>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</si>
  <si>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</si>
  <si>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</si>
  <si>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</si>
  <si>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</si>
  <si>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</si>
  <si>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</si>
  <si>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</si>
  <si>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</si>
  <si>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</si>
  <si>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</si>
  <si>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</si>
  <si>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</si>
  <si>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</si>
  <si>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</si>
  <si>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</si>
  <si>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</si>
  <si>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</si>
  <si>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</si>
  <si>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</si>
  <si>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</si>
  <si>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</si>
  <si>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</si>
  <si>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</si>
  <si>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</si>
  <si>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</si>
  <si>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</si>
  <si>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</si>
  <si>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</si>
  <si>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</si>
  <si>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</si>
  <si>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</si>
  <si>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</si>
  <si>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</si>
  <si>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</si>
  <si>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</si>
  <si>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</si>
  <si>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</si>
  <si>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</si>
  <si>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</si>
  <si>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</si>
  <si>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</si>
  <si>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</si>
  <si>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</si>
  <si>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</si>
  <si>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</si>
  <si>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</si>
  <si>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</si>
  <si>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</si>
  <si>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</si>
  <si>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</si>
  <si>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</si>
  <si>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</si>
  <si>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</si>
  <si>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</si>
  <si>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</si>
  <si>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</si>
  <si>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</si>
  <si>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</si>
  <si>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</si>
  <si>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</si>
  <si>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</si>
  <si>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</si>
  <si>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</si>
  <si>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</si>
  <si>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</si>
  <si>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</si>
  <si>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</si>
  <si>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</si>
  <si>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</si>
  <si>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</si>
  <si>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</si>
  <si>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</si>
  <si>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</si>
  <si>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</si>
  <si>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</si>
  <si>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</si>
  <si>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</si>
  <si>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</si>
  <si>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</si>
  <si>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</si>
  <si>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</si>
  <si>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</si>
  <si>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</si>
  <si>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</si>
  <si>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</si>
  <si>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</si>
  <si>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</si>
  <si>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</si>
  <si>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</si>
  <si>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</si>
  <si>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</si>
  <si>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</si>
  <si>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</si>
  <si>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</si>
  <si>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</si>
  <si>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</si>
  <si>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</si>
  <si>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</si>
  <si>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</si>
  <si>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</si>
  <si>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</si>
  <si>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</si>
  <si>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</si>
  <si>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</si>
  <si>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</si>
  <si>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</si>
  <si>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</si>
  <si>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</si>
  <si>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</si>
  <si>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</si>
  <si>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</si>
  <si>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</si>
  <si>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</si>
  <si>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</si>
  <si>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</si>
  <si>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</si>
  <si>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</si>
  <si>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</si>
  <si>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</si>
  <si>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</si>
  <si>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</si>
  <si>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</si>
  <si>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</si>
  <si>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</si>
  <si>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</si>
  <si>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</si>
  <si>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</si>
  <si>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</si>
  <si>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</si>
  <si>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</si>
  <si>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</si>
  <si>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</si>
  <si>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</si>
  <si>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</si>
  <si>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</si>
  <si>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</si>
  <si>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</si>
  <si>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</si>
  <si>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</si>
  <si>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</si>
  <si>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</si>
  <si>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</si>
  <si>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</si>
  <si>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</si>
  <si>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</si>
  <si>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</si>
  <si>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</si>
  <si>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</si>
  <si>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</si>
  <si>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</si>
  <si>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</si>
  <si>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</si>
  <si>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</si>
  <si>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</si>
  <si>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</si>
  <si>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</si>
  <si>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</si>
  <si>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</si>
  <si>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</si>
  <si>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</si>
  <si>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</si>
  <si>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</si>
  <si>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</si>
  <si>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</si>
  <si>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</si>
  <si>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</si>
  <si>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</si>
  <si>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</si>
  <si>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</si>
  <si>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</si>
  <si>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</si>
  <si>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</si>
  <si>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</si>
  <si>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</si>
  <si>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</si>
  <si>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</si>
  <si>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</si>
  <si>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</si>
  <si>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</si>
  <si>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</si>
  <si>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</si>
  <si>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</si>
  <si>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</si>
  <si>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</si>
  <si>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</si>
  <si>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</si>
  <si>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</si>
  <si>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</si>
  <si>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</si>
  <si>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</si>
  <si>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</si>
  <si>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</si>
  <si>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</si>
  <si>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</si>
  <si>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</si>
  <si>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</si>
  <si>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</si>
  <si>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</si>
  <si>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</si>
  <si>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</si>
  <si>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</si>
  <si>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</si>
  <si>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</si>
  <si>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</si>
  <si>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</si>
  <si>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</si>
  <si>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</si>
  <si>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</si>
  <si>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</si>
  <si>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</si>
  <si>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</si>
  <si>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</si>
  <si>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</si>
  <si>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</si>
  <si>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</si>
  <si>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</si>
  <si>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</si>
  <si>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</si>
  <si>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</si>
  <si>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</si>
  <si>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</si>
  <si>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</si>
  <si>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</si>
  <si>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</si>
  <si>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</si>
  <si>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</si>
  <si>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</si>
  <si>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</si>
  <si>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</si>
  <si>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</si>
  <si>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</si>
  <si>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</si>
  <si>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</si>
  <si>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</si>
  <si>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</si>
  <si>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</si>
  <si>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</si>
  <si>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</si>
  <si>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</si>
  <si>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</si>
  <si>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</si>
  <si>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</si>
  <si>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</si>
  <si>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</si>
  <si>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</si>
  <si>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</si>
  <si>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</si>
  <si>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</si>
  <si>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</si>
  <si>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</si>
  <si>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</si>
  <si>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</si>
  <si>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</si>
  <si>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</si>
  <si>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</si>
  <si>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</si>
  <si>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</si>
  <si>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</si>
  <si>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</si>
  <si>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</si>
  <si>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</si>
  <si>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</si>
  <si>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</si>
  <si>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</si>
  <si>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</si>
  <si>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</si>
  <si>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</si>
  <si>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</si>
  <si>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</si>
  <si>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</si>
  <si>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</si>
  <si>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</si>
  <si>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</si>
  <si>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</si>
  <si>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</si>
  <si>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</si>
  <si>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</si>
  <si>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</si>
  <si>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</si>
  <si>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</si>
  <si>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</si>
  <si>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</si>
  <si>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</si>
  <si>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</si>
  <si>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</si>
  <si>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</si>
  <si>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</si>
  <si>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</si>
  <si>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</si>
  <si>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</si>
  <si>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</si>
  <si>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</si>
  <si>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</si>
  <si>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</si>
  <si>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</si>
  <si>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</si>
  <si>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</si>
  <si>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</si>
  <si>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</si>
  <si>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</si>
  <si>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</si>
  <si>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</si>
  <si>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</si>
  <si>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</si>
  <si>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</si>
  <si>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</si>
  <si>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</si>
  <si>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</si>
  <si>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</si>
  <si>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</si>
  <si>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</si>
  <si>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</si>
  <si>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</si>
  <si>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</si>
  <si>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</si>
  <si>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</si>
  <si>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</si>
  <si>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</si>
  <si>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</si>
  <si>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</si>
  <si>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</si>
  <si>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</si>
  <si>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</si>
  <si>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</si>
  <si>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</si>
  <si>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</si>
  <si>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</si>
  <si>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</si>
  <si>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</si>
  <si>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</si>
  <si>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</si>
  <si>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</si>
  <si>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</si>
  <si>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</si>
  <si>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</si>
  <si>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</si>
  <si>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</si>
  <si>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</si>
  <si>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</si>
  <si>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</si>
  <si>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</si>
  <si>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</si>
  <si>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</si>
  <si>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</si>
  <si>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</si>
  <si>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</si>
  <si>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</si>
  <si>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</si>
  <si>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</si>
  <si>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</si>
  <si>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</si>
  <si>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</si>
  <si>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</si>
  <si>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</si>
  <si>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</si>
  <si>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</si>
  <si>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</si>
  <si>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</si>
  <si>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</si>
  <si>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</si>
  <si>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</si>
  <si>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</si>
  <si>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</si>
  <si>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</si>
  <si>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</si>
  <si>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</si>
  <si>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</si>
  <si>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</si>
  <si>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</si>
  <si>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</si>
  <si>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</si>
  <si>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</si>
  <si>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</si>
  <si>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</si>
  <si>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</si>
  <si>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</si>
  <si>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</si>
  <si>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</si>
  <si>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</si>
  <si>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</si>
  <si>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</si>
  <si>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</si>
  <si>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</si>
  <si>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</si>
  <si>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</si>
  <si>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</si>
  <si>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</si>
  <si>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</si>
  <si>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</si>
  <si>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</si>
  <si>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</si>
  <si>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</si>
  <si>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</si>
  <si>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</si>
  <si>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</si>
  <si>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</si>
  <si>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</si>
  <si>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</si>
  <si>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</si>
  <si>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</si>
  <si>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</si>
  <si>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</si>
  <si>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</si>
  <si>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</si>
  <si>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</si>
  <si>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</si>
  <si>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</si>
  <si>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</si>
  <si>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</si>
  <si>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</si>
  <si>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</si>
  <si>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</si>
  <si>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</si>
  <si>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</si>
  <si>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</si>
  <si>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</si>
  <si>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</si>
  <si>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</si>
  <si>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</si>
  <si>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</si>
  <si>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</si>
  <si>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</si>
  <si>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</si>
  <si>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</si>
  <si>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</si>
  <si>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</si>
  <si>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</si>
  <si>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</si>
  <si>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</si>
  <si>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</si>
  <si>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</si>
  <si>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</si>
  <si>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</si>
  <si>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</si>
  <si>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</si>
  <si>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</si>
  <si>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</si>
  <si>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</si>
  <si>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</si>
  <si>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</si>
  <si>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</si>
  <si>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</si>
  <si>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</si>
  <si>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</si>
  <si>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</si>
  <si>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</si>
  <si>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</si>
  <si>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</si>
  <si>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</si>
  <si>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</si>
  <si>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</si>
  <si>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</si>
  <si>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</si>
  <si>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</si>
  <si>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</si>
  <si>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</si>
  <si>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</si>
  <si>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</si>
  <si>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</si>
  <si>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</si>
  <si>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</si>
  <si>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</si>
  <si>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</si>
  <si>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</si>
  <si>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</si>
  <si>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</si>
  <si>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</si>
  <si>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</si>
  <si>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</si>
  <si>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</si>
  <si>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</si>
  <si>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</si>
  <si>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</si>
  <si>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</si>
  <si>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</si>
  <si>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</si>
  <si>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</si>
  <si>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</si>
  <si>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</si>
  <si>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</si>
  <si>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</si>
  <si>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</si>
  <si>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</si>
  <si>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</si>
  <si>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</si>
  <si>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</si>
  <si>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</si>
  <si>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</si>
  <si>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</si>
  <si>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</si>
  <si>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</si>
  <si>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</si>
  <si>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</si>
  <si>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</si>
  <si>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</si>
  <si>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</si>
  <si>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</si>
  <si>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</si>
  <si>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</si>
  <si>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</si>
  <si>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</si>
  <si>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</si>
  <si>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</si>
  <si>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</si>
  <si>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</si>
  <si>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</si>
  <si>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</si>
  <si>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</si>
  <si>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</si>
  <si>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</si>
  <si>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</si>
  <si>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</si>
  <si>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</si>
  <si>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</si>
  <si>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</si>
  <si>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31006</t>
  </si>
  <si>
    <t>DAMME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</si>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</sst>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92572.476441521329</c:v>
                </c:pt>
                <c:pt idx="1">
                  <c:v>28847.399126650045</c:v>
                </c:pt>
                <c:pt idx="2">
                  <c:v>872.59100000000001</c:v>
                </c:pt>
                <c:pt idx="3">
                  <c:v>13436.143230196461</c:v>
                </c:pt>
                <c:pt idx="4">
                  <c:v>6985.4058571655833</c:v>
                </c:pt>
                <c:pt idx="5">
                  <c:v>147559.9222140662</c:v>
                </c:pt>
                <c:pt idx="6">
                  <c:v>1447.8324671178168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92572.476441521329</c:v>
                </c:pt>
                <c:pt idx="1">
                  <c:v>28847.399126650045</c:v>
                </c:pt>
                <c:pt idx="2">
                  <c:v>872.59100000000001</c:v>
                </c:pt>
                <c:pt idx="3">
                  <c:v>13436.143230196461</c:v>
                </c:pt>
                <c:pt idx="4">
                  <c:v>6985.4058571655833</c:v>
                </c:pt>
                <c:pt idx="5">
                  <c:v>147559.9222140662</c:v>
                </c:pt>
                <c:pt idx="6">
                  <c:v>1447.8324671178168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17358.192587471149</c:v>
                </c:pt>
                <c:pt idx="2">
                  <c:v>5786.250491160692</c:v>
                </c:pt>
                <c:pt idx="3">
                  <c:v>178.83944973904397</c:v>
                </c:pt>
                <c:pt idx="4">
                  <c:v>3337.2125892584172</c:v>
                </c:pt>
                <c:pt idx="5">
                  <c:v>1400.6668060186564</c:v>
                </c:pt>
                <c:pt idx="6">
                  <c:v>36984.297559743471</c:v>
                </c:pt>
                <c:pt idx="7">
                  <c:v>365.7155755645075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17358.192587471149</c:v>
                </c:pt>
                <c:pt idx="2">
                  <c:v>5786.250491160692</c:v>
                </c:pt>
                <c:pt idx="3">
                  <c:v>178.83944973904397</c:v>
                </c:pt>
                <c:pt idx="4">
                  <c:v>3337.2125892584172</c:v>
                </c:pt>
                <c:pt idx="5">
                  <c:v>1400.6668060186564</c:v>
                </c:pt>
                <c:pt idx="6">
                  <c:v>36984.297559743471</c:v>
                </c:pt>
                <c:pt idx="7">
                  <c:v>365.7155755645075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31006</v>
      </c>
      <c r="B6" s="416"/>
      <c r="C6" s="417"/>
    </row>
    <row r="7" spans="1:7" s="414" customFormat="1" ht="15.75" customHeight="1">
      <c r="A7" s="418" t="str">
        <f>txtMunicipality</f>
        <v>DAMME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0.20495220525887153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0.20495220525887153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4378</v>
      </c>
      <c r="C9" s="342">
        <v>4436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6692</v>
      </c>
    </row>
    <row r="15" spans="1:6">
      <c r="A15" s="348" t="s">
        <v>184</v>
      </c>
      <c r="B15" s="334">
        <v>55</v>
      </c>
    </row>
    <row r="16" spans="1:6">
      <c r="A16" s="348" t="s">
        <v>6</v>
      </c>
      <c r="B16" s="334">
        <v>2378</v>
      </c>
    </row>
    <row r="17" spans="1:6">
      <c r="A17" s="348" t="s">
        <v>7</v>
      </c>
      <c r="B17" s="334">
        <v>2405</v>
      </c>
    </row>
    <row r="18" spans="1:6">
      <c r="A18" s="348" t="s">
        <v>8</v>
      </c>
      <c r="B18" s="334">
        <v>3535</v>
      </c>
    </row>
    <row r="19" spans="1:6">
      <c r="A19" s="348" t="s">
        <v>9</v>
      </c>
      <c r="B19" s="334">
        <v>3466</v>
      </c>
    </row>
    <row r="20" spans="1:6">
      <c r="A20" s="348" t="s">
        <v>10</v>
      </c>
      <c r="B20" s="334">
        <v>2505</v>
      </c>
    </row>
    <row r="21" spans="1:6">
      <c r="A21" s="348" t="s">
        <v>11</v>
      </c>
      <c r="B21" s="334">
        <v>7307</v>
      </c>
    </row>
    <row r="22" spans="1:6">
      <c r="A22" s="348" t="s">
        <v>12</v>
      </c>
      <c r="B22" s="334">
        <v>17492</v>
      </c>
    </row>
    <row r="23" spans="1:6">
      <c r="A23" s="348" t="s">
        <v>13</v>
      </c>
      <c r="B23" s="334">
        <v>366</v>
      </c>
    </row>
    <row r="24" spans="1:6">
      <c r="A24" s="348" t="s">
        <v>14</v>
      </c>
      <c r="B24" s="334">
        <v>18</v>
      </c>
    </row>
    <row r="25" spans="1:6">
      <c r="A25" s="348" t="s">
        <v>15</v>
      </c>
      <c r="B25" s="334">
        <v>1935</v>
      </c>
    </row>
    <row r="26" spans="1:6">
      <c r="A26" s="348" t="s">
        <v>16</v>
      </c>
      <c r="B26" s="334">
        <v>627</v>
      </c>
    </row>
    <row r="27" spans="1:6">
      <c r="A27" s="348" t="s">
        <v>17</v>
      </c>
      <c r="B27" s="334">
        <v>0</v>
      </c>
    </row>
    <row r="28" spans="1:6" s="356" customFormat="1">
      <c r="A28" s="355" t="s">
        <v>18</v>
      </c>
      <c r="B28" s="355">
        <v>161490</v>
      </c>
    </row>
    <row r="29" spans="1:6">
      <c r="A29" s="355" t="s">
        <v>901</v>
      </c>
      <c r="B29" s="355">
        <v>245</v>
      </c>
      <c r="C29" s="356"/>
      <c r="D29" s="356"/>
      <c r="E29" s="356"/>
      <c r="F29" s="356"/>
    </row>
    <row r="30" spans="1:6">
      <c r="A30" s="341" t="s">
        <v>902</v>
      </c>
      <c r="B30" s="341">
        <v>77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16904</v>
      </c>
    </row>
    <row r="37" spans="1:6">
      <c r="A37" s="348" t="s">
        <v>25</v>
      </c>
      <c r="B37" s="348" t="s">
        <v>28</v>
      </c>
      <c r="C37" s="334">
        <v>0</v>
      </c>
      <c r="D37" s="334">
        <v>0</v>
      </c>
      <c r="E37" s="334">
        <v>0</v>
      </c>
      <c r="F37" s="334">
        <v>0</v>
      </c>
    </row>
    <row r="38" spans="1:6">
      <c r="A38" s="348" t="s">
        <v>25</v>
      </c>
      <c r="B38" s="348" t="s">
        <v>29</v>
      </c>
      <c r="C38" s="334">
        <v>1</v>
      </c>
      <c r="D38" s="334">
        <v>16359.756133889099</v>
      </c>
      <c r="E38" s="334">
        <v>3</v>
      </c>
      <c r="F38" s="334">
        <v>36736.769999999997</v>
      </c>
    </row>
    <row r="39" spans="1:6">
      <c r="A39" s="348" t="s">
        <v>30</v>
      </c>
      <c r="B39" s="348" t="s">
        <v>31</v>
      </c>
      <c r="C39" s="334">
        <v>2608</v>
      </c>
      <c r="D39" s="334">
        <v>41865198.496067204</v>
      </c>
      <c r="E39" s="334">
        <v>4117</v>
      </c>
      <c r="F39" s="334">
        <v>19704715</v>
      </c>
    </row>
    <row r="40" spans="1:6">
      <c r="A40" s="348" t="s">
        <v>30</v>
      </c>
      <c r="B40" s="348" t="s">
        <v>29</v>
      </c>
      <c r="C40" s="334">
        <v>0</v>
      </c>
      <c r="D40" s="334">
        <v>0</v>
      </c>
      <c r="E40" s="334">
        <v>0</v>
      </c>
      <c r="F40" s="334">
        <v>0</v>
      </c>
    </row>
    <row r="41" spans="1:6">
      <c r="A41" s="348" t="s">
        <v>32</v>
      </c>
      <c r="B41" s="348" t="s">
        <v>33</v>
      </c>
      <c r="C41" s="334">
        <v>48</v>
      </c>
      <c r="D41" s="334">
        <v>1068405.9401807999</v>
      </c>
      <c r="E41" s="334">
        <v>135</v>
      </c>
      <c r="F41" s="334">
        <v>1335863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42908.163722906698</v>
      </c>
      <c r="E44" s="334">
        <v>18</v>
      </c>
      <c r="F44" s="334">
        <v>199391.3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372946.37244541303</v>
      </c>
      <c r="E48" s="334">
        <v>30</v>
      </c>
      <c r="F48" s="334">
        <v>777079.4</v>
      </c>
    </row>
    <row r="49" spans="1:6">
      <c r="A49" s="348" t="s">
        <v>32</v>
      </c>
      <c r="B49" s="348" t="s">
        <v>40</v>
      </c>
      <c r="C49" s="334">
        <v>0</v>
      </c>
      <c r="D49" s="334">
        <v>0</v>
      </c>
      <c r="E49" s="334">
        <v>0</v>
      </c>
      <c r="F49" s="334">
        <v>0</v>
      </c>
    </row>
    <row r="50" spans="1:6">
      <c r="A50" s="348" t="s">
        <v>32</v>
      </c>
      <c r="B50" s="348" t="s">
        <v>41</v>
      </c>
      <c r="C50" s="334">
        <v>6</v>
      </c>
      <c r="D50" s="334">
        <v>191075.03465895599</v>
      </c>
      <c r="E50" s="334">
        <v>10</v>
      </c>
      <c r="F50" s="334">
        <v>252405</v>
      </c>
    </row>
    <row r="51" spans="1:6">
      <c r="A51" s="348" t="s">
        <v>42</v>
      </c>
      <c r="B51" s="348" t="s">
        <v>43</v>
      </c>
      <c r="C51" s="334">
        <v>15</v>
      </c>
      <c r="D51" s="334">
        <v>172099.700322613</v>
      </c>
      <c r="E51" s="334">
        <v>179</v>
      </c>
      <c r="F51" s="334">
        <v>2988103</v>
      </c>
    </row>
    <row r="52" spans="1:6">
      <c r="A52" s="348" t="s">
        <v>42</v>
      </c>
      <c r="B52" s="348" t="s">
        <v>29</v>
      </c>
      <c r="C52" s="334">
        <v>6</v>
      </c>
      <c r="D52" s="334">
        <v>1370769.2855682799</v>
      </c>
      <c r="E52" s="334">
        <v>8</v>
      </c>
      <c r="F52" s="334">
        <v>267368.2</v>
      </c>
    </row>
    <row r="53" spans="1:6">
      <c r="A53" s="348" t="s">
        <v>44</v>
      </c>
      <c r="B53" s="348" t="s">
        <v>45</v>
      </c>
      <c r="C53" s="334">
        <v>87</v>
      </c>
      <c r="D53" s="334">
        <v>1299507.8956196101</v>
      </c>
      <c r="E53" s="334">
        <v>182</v>
      </c>
      <c r="F53" s="334">
        <v>738078.7</v>
      </c>
    </row>
    <row r="54" spans="1:6">
      <c r="A54" s="348" t="s">
        <v>46</v>
      </c>
      <c r="B54" s="348" t="s">
        <v>47</v>
      </c>
      <c r="C54" s="334">
        <v>0</v>
      </c>
      <c r="D54" s="334">
        <v>0</v>
      </c>
      <c r="E54" s="334">
        <v>1</v>
      </c>
      <c r="F54" s="334">
        <v>872591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851460.42015662801</v>
      </c>
      <c r="E57" s="334">
        <v>61</v>
      </c>
      <c r="F57" s="334">
        <v>919406.5</v>
      </c>
    </row>
    <row r="58" spans="1:6">
      <c r="A58" s="348" t="s">
        <v>49</v>
      </c>
      <c r="B58" s="348" t="s">
        <v>51</v>
      </c>
      <c r="C58" s="334">
        <v>21</v>
      </c>
      <c r="D58" s="334">
        <v>571447.41667356296</v>
      </c>
      <c r="E58" s="334">
        <v>33</v>
      </c>
      <c r="F58" s="334">
        <v>274257.2</v>
      </c>
    </row>
    <row r="59" spans="1:6">
      <c r="A59" s="348" t="s">
        <v>49</v>
      </c>
      <c r="B59" s="348" t="s">
        <v>52</v>
      </c>
      <c r="C59" s="334">
        <v>53</v>
      </c>
      <c r="D59" s="334">
        <v>1676344.48787912</v>
      </c>
      <c r="E59" s="334">
        <v>141</v>
      </c>
      <c r="F59" s="334">
        <v>2549318</v>
      </c>
    </row>
    <row r="60" spans="1:6">
      <c r="A60" s="348" t="s">
        <v>49</v>
      </c>
      <c r="B60" s="348" t="s">
        <v>53</v>
      </c>
      <c r="C60" s="334">
        <v>77</v>
      </c>
      <c r="D60" s="334">
        <v>3394600.67281859</v>
      </c>
      <c r="E60" s="334">
        <v>102</v>
      </c>
      <c r="F60" s="334">
        <v>2602002</v>
      </c>
    </row>
    <row r="61" spans="1:6">
      <c r="A61" s="348" t="s">
        <v>49</v>
      </c>
      <c r="B61" s="348" t="s">
        <v>54</v>
      </c>
      <c r="C61" s="334">
        <v>93</v>
      </c>
      <c r="D61" s="334">
        <v>4759529.6455408297</v>
      </c>
      <c r="E61" s="334">
        <v>189</v>
      </c>
      <c r="F61" s="334">
        <v>2546598</v>
      </c>
    </row>
    <row r="62" spans="1:6">
      <c r="A62" s="348" t="s">
        <v>49</v>
      </c>
      <c r="B62" s="348" t="s">
        <v>55</v>
      </c>
      <c r="C62" s="334">
        <v>8</v>
      </c>
      <c r="D62" s="334">
        <v>318919.81070383999</v>
      </c>
      <c r="E62" s="334">
        <v>12</v>
      </c>
      <c r="F62" s="334">
        <v>64311.99</v>
      </c>
    </row>
    <row r="63" spans="1:6">
      <c r="A63" s="348" t="s">
        <v>49</v>
      </c>
      <c r="B63" s="348" t="s">
        <v>29</v>
      </c>
      <c r="C63" s="334">
        <v>67</v>
      </c>
      <c r="D63" s="334">
        <v>3255790.01857056</v>
      </c>
      <c r="E63" s="334">
        <v>90</v>
      </c>
      <c r="F63" s="334">
        <v>3380975</v>
      </c>
    </row>
    <row r="64" spans="1:6">
      <c r="A64" s="348" t="s">
        <v>56</v>
      </c>
      <c r="B64" s="348" t="s">
        <v>57</v>
      </c>
      <c r="C64" s="334">
        <v>0</v>
      </c>
      <c r="D64" s="334">
        <v>0</v>
      </c>
      <c r="E64" s="334">
        <v>0</v>
      </c>
      <c r="F64" s="334">
        <v>0</v>
      </c>
    </row>
    <row r="65" spans="1:6">
      <c r="A65" s="348" t="s">
        <v>56</v>
      </c>
      <c r="B65" s="348" t="s">
        <v>29</v>
      </c>
      <c r="C65" s="334">
        <v>1</v>
      </c>
      <c r="D65" s="334">
        <v>19139.395279307799</v>
      </c>
      <c r="E65" s="334">
        <v>4</v>
      </c>
      <c r="F65" s="334">
        <v>32614.41</v>
      </c>
    </row>
    <row r="66" spans="1:6">
      <c r="A66" s="348" t="s">
        <v>56</v>
      </c>
      <c r="B66" s="348" t="s">
        <v>58</v>
      </c>
      <c r="C66" s="334">
        <v>0</v>
      </c>
      <c r="D66" s="334">
        <v>0</v>
      </c>
      <c r="E66" s="334">
        <v>12</v>
      </c>
      <c r="F66" s="334">
        <v>601700.9</v>
      </c>
    </row>
    <row r="67" spans="1:6">
      <c r="A67" s="355" t="s">
        <v>56</v>
      </c>
      <c r="B67" s="355" t="s">
        <v>59</v>
      </c>
      <c r="C67" s="334">
        <v>0</v>
      </c>
      <c r="D67" s="334">
        <v>0</v>
      </c>
      <c r="E67" s="334">
        <v>0</v>
      </c>
      <c r="F67" s="334">
        <v>0</v>
      </c>
    </row>
    <row r="68" spans="1:6">
      <c r="A68" s="341" t="s">
        <v>56</v>
      </c>
      <c r="B68" s="341" t="s">
        <v>60</v>
      </c>
      <c r="C68" s="334">
        <v>4</v>
      </c>
      <c r="D68" s="334">
        <v>75690.447054713106</v>
      </c>
      <c r="E68" s="334">
        <v>4</v>
      </c>
      <c r="F68" s="334">
        <v>20981.3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111682790</v>
      </c>
      <c r="E73" s="476">
        <v>94593874.976014867</v>
      </c>
    </row>
    <row r="74" spans="1:6">
      <c r="A74" s="348" t="s">
        <v>64</v>
      </c>
      <c r="B74" s="348" t="s">
        <v>714</v>
      </c>
      <c r="C74" s="1311" t="s">
        <v>716</v>
      </c>
      <c r="D74" s="476">
        <v>12637028.299220536</v>
      </c>
      <c r="E74" s="476">
        <v>11351734.373612968</v>
      </c>
    </row>
    <row r="75" spans="1:6">
      <c r="A75" s="348" t="s">
        <v>65</v>
      </c>
      <c r="B75" s="348" t="s">
        <v>713</v>
      </c>
      <c r="C75" s="1311" t="s">
        <v>717</v>
      </c>
      <c r="D75" s="476">
        <v>41360582</v>
      </c>
      <c r="E75" s="476">
        <v>39176337.357168257</v>
      </c>
    </row>
    <row r="76" spans="1:6">
      <c r="A76" s="348" t="s">
        <v>65</v>
      </c>
      <c r="B76" s="348" t="s">
        <v>714</v>
      </c>
      <c r="C76" s="1311" t="s">
        <v>718</v>
      </c>
      <c r="D76" s="476">
        <v>2982909.2992205368</v>
      </c>
      <c r="E76" s="476">
        <v>2926999.2809962472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386895.40155892639</v>
      </c>
      <c r="C83" s="476">
        <v>390198.12466247933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2505.2493417784585</v>
      </c>
    </row>
    <row r="92" spans="1:6">
      <c r="A92" s="341" t="s">
        <v>69</v>
      </c>
      <c r="B92" s="342">
        <v>544.46251634876364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2</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41998.687764791372</v>
      </c>
      <c r="C3" s="43" t="s">
        <v>170</v>
      </c>
      <c r="D3" s="43"/>
      <c r="E3" s="154"/>
      <c r="F3" s="43"/>
      <c r="G3" s="43"/>
      <c r="H3" s="43"/>
      <c r="I3" s="43"/>
      <c r="J3" s="43"/>
      <c r="K3" s="96"/>
    </row>
    <row r="4" spans="1:11">
      <c r="A4" s="384" t="s">
        <v>171</v>
      </c>
      <c r="B4" s="49">
        <f>IF(ISERROR('SEAP template'!B78+'SEAP template'!C78),0,'SEAP template'!B78+'SEAP template'!C78)</f>
        <v>3049.7118581272221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0.20495220525887153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0.20495220525887153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178.83944973904397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19704.715</v>
      </c>
      <c r="C5" s="17">
        <f>IF(ISERROR('Eigen informatie GS &amp; warmtenet'!B57),0,'Eigen informatie GS &amp; warmtenet'!B57)</f>
        <v>0</v>
      </c>
      <c r="D5" s="30">
        <f>(SUM(HH_hh_gas_kWh,HH_rest_gas_kWh)/1000)*0.902</f>
        <v>37762.409043452622</v>
      </c>
      <c r="E5" s="17">
        <f>B46*B57</f>
        <v>5179.5825332203285</v>
      </c>
      <c r="F5" s="17">
        <f>B51*B62</f>
        <v>13115.663714268678</v>
      </c>
      <c r="G5" s="18"/>
      <c r="H5" s="17"/>
      <c r="I5" s="17"/>
      <c r="J5" s="17">
        <f>B50*B61+C50*C61</f>
        <v>1414.0037948434231</v>
      </c>
      <c r="K5" s="17"/>
      <c r="L5" s="17"/>
      <c r="M5" s="17"/>
      <c r="N5" s="17">
        <f>B48*B59+C48*C59</f>
        <v>12254.726347291144</v>
      </c>
      <c r="O5" s="17">
        <f>B69*B70*B71</f>
        <v>159.46</v>
      </c>
      <c r="P5" s="17">
        <f>B77*B78*B79/1000-B77*B78*B79/1000/B80</f>
        <v>476.66666666666663</v>
      </c>
    </row>
    <row r="6" spans="1:16">
      <c r="A6" s="16" t="s">
        <v>631</v>
      </c>
      <c r="B6" s="789">
        <f>kWh_PV_kleiner_dan_10kW</f>
        <v>2505.2493417784585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22209.964341778457</v>
      </c>
      <c r="C8" s="21">
        <f>C5</f>
        <v>0</v>
      </c>
      <c r="D8" s="21">
        <f>D5</f>
        <v>37762.409043452622</v>
      </c>
      <c r="E8" s="21">
        <f>E5</f>
        <v>5179.5825332203285</v>
      </c>
      <c r="F8" s="21">
        <f>F5</f>
        <v>13115.663714268678</v>
      </c>
      <c r="G8" s="21"/>
      <c r="H8" s="21"/>
      <c r="I8" s="21"/>
      <c r="J8" s="21">
        <f>J5</f>
        <v>1414.0037948434231</v>
      </c>
      <c r="K8" s="21"/>
      <c r="L8" s="21">
        <f>L5</f>
        <v>0</v>
      </c>
      <c r="M8" s="21">
        <f>M5</f>
        <v>0</v>
      </c>
      <c r="N8" s="21">
        <f>N5</f>
        <v>12254.726347291144</v>
      </c>
      <c r="O8" s="21">
        <f>O5</f>
        <v>159.46</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0.20495220525887153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4551.981170568396</v>
      </c>
      <c r="C12" s="23">
        <f ca="1">C10*C8</f>
        <v>0</v>
      </c>
      <c r="D12" s="23">
        <f>D8*D10</f>
        <v>7628.00662677743</v>
      </c>
      <c r="E12" s="23">
        <f>E10*E8</f>
        <v>1175.7652350410146</v>
      </c>
      <c r="F12" s="23">
        <f>F10*F8</f>
        <v>3501.882211709737</v>
      </c>
      <c r="G12" s="23"/>
      <c r="H12" s="23"/>
      <c r="I12" s="23"/>
      <c r="J12" s="23">
        <f>J10*J8</f>
        <v>500.55734337457176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4378</v>
      </c>
      <c r="C28" s="36"/>
      <c r="D28" s="228"/>
    </row>
    <row r="29" spans="1:7" s="15" customFormat="1">
      <c r="A29" s="230" t="s">
        <v>741</v>
      </c>
      <c r="B29" s="37">
        <f>SUM(HH_hh_gas_aantal,HH_rest_gas_aantal)</f>
        <v>2608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2608</v>
      </c>
      <c r="C32" s="167">
        <f>IF(ISERROR(B32/SUM($B$32,$B$34,$B$35,$B$36,$B$38,$B$39)*100),0,B32/SUM($B$32,$B$34,$B$35,$B$36,$B$38,$B$39)*100)</f>
        <v>59.912703882379972</v>
      </c>
      <c r="D32" s="233"/>
      <c r="G32" s="15"/>
    </row>
    <row r="33" spans="1:7">
      <c r="A33" s="171" t="s">
        <v>72</v>
      </c>
      <c r="B33" s="34" t="s">
        <v>111</v>
      </c>
      <c r="C33" s="167"/>
      <c r="D33" s="233"/>
      <c r="G33" s="15"/>
    </row>
    <row r="34" spans="1:7">
      <c r="A34" s="171" t="s">
        <v>73</v>
      </c>
      <c r="B34" s="33">
        <f>IF((($B$28-$B$32-$B$39-$B$77-$B$38)*C20/100)&lt;0,0,($B$28-$B$32-$B$39-$B$77-$B$38)*C20/100)</f>
        <v>347.14547837483616</v>
      </c>
      <c r="C34" s="167">
        <f>IF(ISERROR(B34/SUM($B$32,$B$34,$B$35,$B$36,$B$38,$B$39)*100),0,B34/SUM($B$32,$B$34,$B$35,$B$36,$B$38,$B$39)*100)</f>
        <v>7.9748559240715862</v>
      </c>
      <c r="D34" s="233"/>
      <c r="G34" s="15"/>
    </row>
    <row r="35" spans="1:7">
      <c r="A35" s="171" t="s">
        <v>74</v>
      </c>
      <c r="B35" s="33">
        <f>IF((($B$28-$B$32-$B$39-$B$77-$B$38)*C21/100)&lt;0,0,($B$28-$B$32-$B$39-$B$77-$B$38)*C21/100)</f>
        <v>608.27260812581915</v>
      </c>
      <c r="C35" s="167">
        <f>IF(ISERROR(B35/SUM($B$32,$B$34,$B$35,$B$36,$B$38,$B$39)*100),0,B35/SUM($B$32,$B$34,$B$35,$B$36,$B$38,$B$39)*100)</f>
        <v>13.973641353682959</v>
      </c>
      <c r="D35" s="233"/>
      <c r="G35" s="15"/>
    </row>
    <row r="36" spans="1:7">
      <c r="A36" s="171" t="s">
        <v>75</v>
      </c>
      <c r="B36" s="33">
        <f>IF((($B$28-$B$32-$B$39-$B$77-$B$38)*C22/100)&lt;0,0,($B$28-$B$32-$B$39-$B$77-$B$38)*C22/100)</f>
        <v>216.58191349934469</v>
      </c>
      <c r="C36" s="167">
        <f>IF(ISERROR(B36/SUM($B$32,$B$34,$B$35,$B$36,$B$38,$B$39)*100),0,B36/SUM($B$32,$B$34,$B$35,$B$36,$B$38,$B$39)*100)</f>
        <v>4.975463209265901</v>
      </c>
      <c r="D36" s="233"/>
      <c r="G36" s="15"/>
    </row>
    <row r="37" spans="1:7">
      <c r="A37" s="171" t="s">
        <v>76</v>
      </c>
      <c r="B37" s="34" t="s">
        <v>111</v>
      </c>
      <c r="C37" s="167"/>
      <c r="D37" s="173"/>
      <c r="G37" s="15"/>
    </row>
    <row r="38" spans="1:7">
      <c r="A38" s="171" t="s">
        <v>77</v>
      </c>
      <c r="B38" s="33">
        <f>IF((B24-(B29-B18)*0.1)&lt;0,0,B24-(B29-B18)*0.1)</f>
        <v>40.199999999999989</v>
      </c>
      <c r="C38" s="167">
        <f>IF(ISERROR(B38/SUM($B$32,$B$34,$B$35,$B$36,$B$38,$B$39)*100),0,B38/SUM($B$32,$B$34,$B$35,$B$36,$B$38,$B$39)*100)</f>
        <v>0.92350103376981374</v>
      </c>
      <c r="D38" s="234"/>
      <c r="G38" s="15"/>
    </row>
    <row r="39" spans="1:7">
      <c r="A39" s="171" t="s">
        <v>78</v>
      </c>
      <c r="B39" s="33">
        <f>IF((B25-(B29-B18))&lt;0,0,B25-(B29-B18)*0.9)</f>
        <v>532.79999999999995</v>
      </c>
      <c r="C39" s="167">
        <f>IF(ISERROR(B39/SUM($B$32,$B$34,$B$35,$B$36,$B$38,$B$39)*100),0,B39/SUM($B$32,$B$34,$B$35,$B$36,$B$38,$B$39)*100)</f>
        <v>12.239834596829771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2608</v>
      </c>
      <c r="C44" s="34" t="s">
        <v>111</v>
      </c>
      <c r="D44" s="174"/>
    </row>
    <row r="45" spans="1:7">
      <c r="A45" s="171" t="s">
        <v>72</v>
      </c>
      <c r="B45" s="33" t="str">
        <f t="shared" si="0"/>
        <v>-</v>
      </c>
      <c r="C45" s="34" t="s">
        <v>111</v>
      </c>
      <c r="D45" s="174"/>
    </row>
    <row r="46" spans="1:7">
      <c r="A46" s="171" t="s">
        <v>73</v>
      </c>
      <c r="B46" s="33">
        <f t="shared" si="0"/>
        <v>347.14547837483616</v>
      </c>
      <c r="C46" s="34" t="s">
        <v>111</v>
      </c>
      <c r="D46" s="174"/>
    </row>
    <row r="47" spans="1:7">
      <c r="A47" s="171" t="s">
        <v>74</v>
      </c>
      <c r="B47" s="33">
        <f t="shared" si="0"/>
        <v>608.27260812581915</v>
      </c>
      <c r="C47" s="34" t="s">
        <v>111</v>
      </c>
      <c r="D47" s="174"/>
    </row>
    <row r="48" spans="1:7">
      <c r="A48" s="171" t="s">
        <v>75</v>
      </c>
      <c r="B48" s="33">
        <f t="shared" si="0"/>
        <v>216.58191349934469</v>
      </c>
      <c r="C48" s="33">
        <f>B48*10</f>
        <v>2165.8191349934468</v>
      </c>
      <c r="D48" s="234"/>
    </row>
    <row r="49" spans="1:6">
      <c r="A49" s="171" t="s">
        <v>76</v>
      </c>
      <c r="B49" s="33" t="str">
        <f t="shared" si="0"/>
        <v>-</v>
      </c>
      <c r="C49" s="34" t="s">
        <v>111</v>
      </c>
      <c r="D49" s="234"/>
    </row>
    <row r="50" spans="1:6">
      <c r="A50" s="171" t="s">
        <v>77</v>
      </c>
      <c r="B50" s="33">
        <f t="shared" si="0"/>
        <v>40.199999999999989</v>
      </c>
      <c r="C50" s="33">
        <f>B50*2</f>
        <v>80.399999999999977</v>
      </c>
      <c r="D50" s="234"/>
    </row>
    <row r="51" spans="1:6">
      <c r="A51" s="171" t="s">
        <v>78</v>
      </c>
      <c r="B51" s="33">
        <f t="shared" si="0"/>
        <v>532.79999999999995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12336.868690000001</v>
      </c>
      <c r="C5" s="17">
        <f>IF(ISERROR('Eigen informatie GS &amp; warmtenet'!B58),0,'Eigen informatie GS &amp; warmtenet'!B58)</f>
        <v>0</v>
      </c>
      <c r="D5" s="30">
        <f>SUM(D6:D12)</f>
        <v>13374.939410053505</v>
      </c>
      <c r="E5" s="17">
        <f>SUM(E6:E12)</f>
        <v>177.96598022344969</v>
      </c>
      <c r="F5" s="17">
        <f>SUM(F6:F12)</f>
        <v>1931.2584599795314</v>
      </c>
      <c r="G5" s="18"/>
      <c r="H5" s="17"/>
      <c r="I5" s="17"/>
      <c r="J5" s="17">
        <f>SUM(J6:J12)</f>
        <v>0</v>
      </c>
      <c r="K5" s="17"/>
      <c r="L5" s="17"/>
      <c r="M5" s="17"/>
      <c r="N5" s="17">
        <f>SUM(N6:N12)</f>
        <v>985.10658639355916</v>
      </c>
      <c r="O5" s="17">
        <f>B38*B39*B40</f>
        <v>3.1266666666666669</v>
      </c>
      <c r="P5" s="17">
        <f>B46*B47*B48/1000-B46*B47*B48/1000/B49</f>
        <v>38.133333333333333</v>
      </c>
      <c r="R5" s="32"/>
    </row>
    <row r="6" spans="1:18">
      <c r="A6" s="32" t="s">
        <v>54</v>
      </c>
      <c r="B6" s="37">
        <f>B26</f>
        <v>2546.598</v>
      </c>
      <c r="C6" s="33"/>
      <c r="D6" s="37">
        <f>IF(ISERROR(TER_kantoor_gas_kWh/1000),0,TER_kantoor_gas_kWh/1000)*0.902</f>
        <v>4293.0957402778286</v>
      </c>
      <c r="E6" s="33">
        <f>$C$26*'E Balans VL '!I12/100/3.6*1000000</f>
        <v>7.3778680449058296</v>
      </c>
      <c r="F6" s="33">
        <f>$C$26*('E Balans VL '!L12+'E Balans VL '!N12)/100/3.6*1000000</f>
        <v>288.21878769603768</v>
      </c>
      <c r="G6" s="34"/>
      <c r="H6" s="33"/>
      <c r="I6" s="33"/>
      <c r="J6" s="33">
        <f>$C$26*('E Balans VL '!D12+'E Balans VL '!E12)/100/3.6*1000000</f>
        <v>0</v>
      </c>
      <c r="K6" s="33"/>
      <c r="L6" s="33"/>
      <c r="M6" s="33"/>
      <c r="N6" s="33">
        <f>$C$26*'E Balans VL '!Y12/100/3.6*1000000</f>
        <v>25.489569562813884</v>
      </c>
      <c r="O6" s="33"/>
      <c r="P6" s="33"/>
      <c r="R6" s="32"/>
    </row>
    <row r="7" spans="1:18">
      <c r="A7" s="32" t="s">
        <v>53</v>
      </c>
      <c r="B7" s="37">
        <f t="shared" ref="B7:B12" si="0">B27</f>
        <v>2602.002</v>
      </c>
      <c r="C7" s="33"/>
      <c r="D7" s="37">
        <f>IF(ISERROR(TER_horeca_gas_kWh/1000),0,TER_horeca_gas_kWh/1000)*0.902</f>
        <v>3061.9298068823682</v>
      </c>
      <c r="E7" s="33">
        <f>$C$27*'E Balans VL '!I9/100/3.6*1000000</f>
        <v>109.22477411009211</v>
      </c>
      <c r="F7" s="33">
        <f>$C$27*('E Balans VL '!L9+'E Balans VL '!N9)/100/3.6*1000000</f>
        <v>559.09348877652519</v>
      </c>
      <c r="G7" s="34"/>
      <c r="H7" s="33"/>
      <c r="I7" s="33"/>
      <c r="J7" s="33">
        <f>$C$27*('E Balans VL '!D9+'E Balans VL '!E9)/100/3.6*1000000</f>
        <v>0</v>
      </c>
      <c r="K7" s="33"/>
      <c r="L7" s="33"/>
      <c r="M7" s="33"/>
      <c r="N7" s="33">
        <f>$C$27*'E Balans VL '!Y9/100/3.6*1000000</f>
        <v>0.67051316006700779</v>
      </c>
      <c r="O7" s="33"/>
      <c r="P7" s="33"/>
      <c r="R7" s="32"/>
    </row>
    <row r="8" spans="1:18">
      <c r="A8" s="6" t="s">
        <v>52</v>
      </c>
      <c r="B8" s="37">
        <f t="shared" si="0"/>
        <v>2549.3180000000002</v>
      </c>
      <c r="C8" s="33"/>
      <c r="D8" s="37">
        <f>IF(ISERROR(TER_handel_gas_kWh/1000),0,TER_handel_gas_kWh/1000)*0.902</f>
        <v>1512.0627280669664</v>
      </c>
      <c r="E8" s="33">
        <f>$C$28*'E Balans VL '!I13/100/3.6*1000000</f>
        <v>27.38179705705765</v>
      </c>
      <c r="F8" s="33">
        <f>$C$28*('E Balans VL '!L13+'E Balans VL '!N13)/100/3.6*1000000</f>
        <v>330.03026693406485</v>
      </c>
      <c r="G8" s="34"/>
      <c r="H8" s="33"/>
      <c r="I8" s="33"/>
      <c r="J8" s="33">
        <f>$C$28*('E Balans VL '!D13+'E Balans VL '!E13)/100/3.6*1000000</f>
        <v>0</v>
      </c>
      <c r="K8" s="33"/>
      <c r="L8" s="33"/>
      <c r="M8" s="33"/>
      <c r="N8" s="33">
        <f>$C$28*'E Balans VL '!Y13/100/3.6*1000000</f>
        <v>20.680206814815101</v>
      </c>
      <c r="O8" s="33"/>
      <c r="P8" s="33"/>
      <c r="R8" s="32"/>
    </row>
    <row r="9" spans="1:18">
      <c r="A9" s="32" t="s">
        <v>51</v>
      </c>
      <c r="B9" s="37">
        <f t="shared" si="0"/>
        <v>274.25720000000001</v>
      </c>
      <c r="C9" s="33"/>
      <c r="D9" s="37">
        <f>IF(ISERROR(TER_gezond_gas_kWh/1000),0,TER_gezond_gas_kWh/1000)*0.902</f>
        <v>515.44556983955385</v>
      </c>
      <c r="E9" s="33">
        <f>$C$29*'E Balans VL '!I10/100/3.6*1000000</f>
        <v>0.21832646968046804</v>
      </c>
      <c r="F9" s="33">
        <f>$C$29*('E Balans VL '!L10+'E Balans VL '!N10)/100/3.6*1000000</f>
        <v>33.339926033522666</v>
      </c>
      <c r="G9" s="34"/>
      <c r="H9" s="33"/>
      <c r="I9" s="33"/>
      <c r="J9" s="33">
        <f>$C$29*('E Balans VL '!D10+'E Balans VL '!E10)/100/3.6*1000000</f>
        <v>0</v>
      </c>
      <c r="K9" s="33"/>
      <c r="L9" s="33"/>
      <c r="M9" s="33"/>
      <c r="N9" s="33">
        <f>$C$29*'E Balans VL '!Y10/100/3.6*1000000</f>
        <v>2.2153770019288697</v>
      </c>
      <c r="O9" s="33"/>
      <c r="P9" s="33"/>
      <c r="R9" s="32"/>
    </row>
    <row r="10" spans="1:18">
      <c r="A10" s="32" t="s">
        <v>50</v>
      </c>
      <c r="B10" s="37">
        <f t="shared" si="0"/>
        <v>919.40650000000005</v>
      </c>
      <c r="C10" s="33"/>
      <c r="D10" s="37">
        <f>IF(ISERROR(TER_ander_gas_kWh/1000),0,TER_ander_gas_kWh/1000)*0.902</f>
        <v>768.01729898127849</v>
      </c>
      <c r="E10" s="33">
        <f>$C$30*'E Balans VL '!I14/100/3.6*1000000</f>
        <v>3.1508543749262024</v>
      </c>
      <c r="F10" s="33">
        <f>$C$30*('E Balans VL '!L14+'E Balans VL '!N14)/100/3.6*1000000</f>
        <v>205.35805182075018</v>
      </c>
      <c r="G10" s="34"/>
      <c r="H10" s="33"/>
      <c r="I10" s="33"/>
      <c r="J10" s="33">
        <f>$C$30*('E Balans VL '!D14+'E Balans VL '!E14)/100/3.6*1000000</f>
        <v>0</v>
      </c>
      <c r="K10" s="33"/>
      <c r="L10" s="33"/>
      <c r="M10" s="33"/>
      <c r="N10" s="33">
        <f>$C$30*'E Balans VL '!Y14/100/3.6*1000000</f>
        <v>647.63496121953096</v>
      </c>
      <c r="O10" s="33"/>
      <c r="P10" s="33"/>
      <c r="R10" s="32"/>
    </row>
    <row r="11" spans="1:18">
      <c r="A11" s="32" t="s">
        <v>55</v>
      </c>
      <c r="B11" s="37">
        <f t="shared" si="0"/>
        <v>64.311989999999994</v>
      </c>
      <c r="C11" s="33"/>
      <c r="D11" s="37">
        <f>IF(ISERROR(TER_onderwijs_gas_kWh/1000),0,TER_onderwijs_gas_kWh/1000)*0.902</f>
        <v>287.66566925486364</v>
      </c>
      <c r="E11" s="33">
        <f>$C$31*'E Balans VL '!I11/100/3.6*1000000</f>
        <v>4.4456898033587877E-2</v>
      </c>
      <c r="F11" s="33">
        <f>$C$31*('E Balans VL '!L11+'E Balans VL '!N11)/100/3.6*1000000</f>
        <v>16.835010845446607</v>
      </c>
      <c r="G11" s="34"/>
      <c r="H11" s="33"/>
      <c r="I11" s="33"/>
      <c r="J11" s="33">
        <f>$C$31*('E Balans VL '!D11+'E Balans VL '!E11)/100/3.6*1000000</f>
        <v>0</v>
      </c>
      <c r="K11" s="33"/>
      <c r="L11" s="33"/>
      <c r="M11" s="33"/>
      <c r="N11" s="33">
        <f>$C$31*'E Balans VL '!Y11/100/3.6*1000000</f>
        <v>6.4017108376995133E-2</v>
      </c>
      <c r="O11" s="33"/>
      <c r="P11" s="33"/>
      <c r="R11" s="32"/>
    </row>
    <row r="12" spans="1:18">
      <c r="A12" s="32" t="s">
        <v>260</v>
      </c>
      <c r="B12" s="37">
        <f t="shared" si="0"/>
        <v>3380.9749999999999</v>
      </c>
      <c r="C12" s="33"/>
      <c r="D12" s="37">
        <f>IF(ISERROR(TER_rest_gas_kWh/1000),0,TER_rest_gas_kWh/1000)*0.902</f>
        <v>2936.7225967506452</v>
      </c>
      <c r="E12" s="33">
        <f>$C$32*'E Balans VL '!I8/100/3.6*1000000</f>
        <v>30.567903268753827</v>
      </c>
      <c r="F12" s="33">
        <f>$C$32*('E Balans VL '!L8+'E Balans VL '!N8)/100/3.6*1000000</f>
        <v>498.3829278731842</v>
      </c>
      <c r="G12" s="34"/>
      <c r="H12" s="33"/>
      <c r="I12" s="33"/>
      <c r="J12" s="33">
        <f>$C$32*('E Balans VL '!D8+'E Balans VL '!E8)/100/3.6*1000000</f>
        <v>0</v>
      </c>
      <c r="K12" s="33"/>
      <c r="L12" s="33"/>
      <c r="M12" s="33"/>
      <c r="N12" s="33">
        <f>$C$32*'E Balans VL '!Y8/100/3.6*1000000</f>
        <v>288.35194152602622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12336.868690000001</v>
      </c>
      <c r="C16" s="21">
        <f t="shared" ca="1" si="1"/>
        <v>0</v>
      </c>
      <c r="D16" s="21">
        <f t="shared" ca="1" si="1"/>
        <v>13374.939410053505</v>
      </c>
      <c r="E16" s="21">
        <f t="shared" si="1"/>
        <v>177.96598022344969</v>
      </c>
      <c r="F16" s="21">
        <f t="shared" ca="1" si="1"/>
        <v>1931.2584599795314</v>
      </c>
      <c r="G16" s="21">
        <f t="shared" si="1"/>
        <v>0</v>
      </c>
      <c r="H16" s="21">
        <f t="shared" si="1"/>
        <v>0</v>
      </c>
      <c r="I16" s="21">
        <f t="shared" si="1"/>
        <v>0</v>
      </c>
      <c r="J16" s="21">
        <f t="shared" si="1"/>
        <v>0</v>
      </c>
      <c r="K16" s="21">
        <f t="shared" si="1"/>
        <v>0</v>
      </c>
      <c r="L16" s="21">
        <f t="shared" ca="1" si="1"/>
        <v>0</v>
      </c>
      <c r="M16" s="21">
        <f t="shared" si="1"/>
        <v>0</v>
      </c>
      <c r="N16" s="21">
        <f t="shared" ca="1" si="1"/>
        <v>985.10658639355916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0.20495220525887153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2528.4684440046258</v>
      </c>
      <c r="C20" s="23">
        <f t="shared" ref="C20:P20" ca="1" si="2">C16*C18</f>
        <v>0</v>
      </c>
      <c r="D20" s="23">
        <f t="shared" ca="1" si="2"/>
        <v>2701.7377608308079</v>
      </c>
      <c r="E20" s="23">
        <f t="shared" si="2"/>
        <v>40.398277510723084</v>
      </c>
      <c r="F20" s="23">
        <f t="shared" ca="1" si="2"/>
        <v>515.64600881453487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2546.598</v>
      </c>
      <c r="C26" s="39">
        <f>IF(ISERROR(B26*3.6/1000000/'E Balans VL '!Z12*100),0,B26*3.6/1000000/'E Balans VL '!Z12*100)</f>
        <v>5.5938969232108268E-2</v>
      </c>
      <c r="D26" s="237" t="s">
        <v>692</v>
      </c>
      <c r="F26" s="6"/>
    </row>
    <row r="27" spans="1:18">
      <c r="A27" s="231" t="s">
        <v>53</v>
      </c>
      <c r="B27" s="33">
        <f>IF(ISERROR(TER_horeca_ele_kWh/1000),0,TER_horeca_ele_kWh/1000)</f>
        <v>2602.002</v>
      </c>
      <c r="C27" s="39">
        <f>IF(ISERROR(B27*3.6/1000000/'E Balans VL '!Z9*100),0,B27*3.6/1000000/'E Balans VL '!Z9*100)</f>
        <v>0.20909679776228074</v>
      </c>
      <c r="D27" s="237" t="s">
        <v>692</v>
      </c>
      <c r="F27" s="6"/>
    </row>
    <row r="28" spans="1:18">
      <c r="A28" s="171" t="s">
        <v>52</v>
      </c>
      <c r="B28" s="33">
        <f>IF(ISERROR(TER_handel_ele_kWh/1000),0,TER_handel_ele_kWh/1000)</f>
        <v>2549.3180000000002</v>
      </c>
      <c r="C28" s="39">
        <f>IF(ISERROR(B28*3.6/1000000/'E Balans VL '!Z13*100),0,B28*3.6/1000000/'E Balans VL '!Z13*100)</f>
        <v>7.5381552269050509E-2</v>
      </c>
      <c r="D28" s="237" t="s">
        <v>692</v>
      </c>
      <c r="F28" s="6"/>
    </row>
    <row r="29" spans="1:18">
      <c r="A29" s="231" t="s">
        <v>51</v>
      </c>
      <c r="B29" s="33">
        <f>IF(ISERROR(TER_gezond_ele_kWh/1000),0,TER_gezond_ele_kWh/1000)</f>
        <v>274.25720000000001</v>
      </c>
      <c r="C29" s="39">
        <f>IF(ISERROR(B29*3.6/1000000/'E Balans VL '!Z10*100),0,B29*3.6/1000000/'E Balans VL '!Z10*100)</f>
        <v>3.0901705743260996E-2</v>
      </c>
      <c r="D29" s="237" t="s">
        <v>692</v>
      </c>
      <c r="F29" s="6"/>
    </row>
    <row r="30" spans="1:18">
      <c r="A30" s="231" t="s">
        <v>50</v>
      </c>
      <c r="B30" s="33">
        <f>IF(ISERROR(TER_ander_ele_kWh/1000),0,TER_ander_ele_kWh/1000)</f>
        <v>919.40650000000005</v>
      </c>
      <c r="C30" s="39">
        <f>IF(ISERROR(B30*3.6/1000000/'E Balans VL '!Z14*100),0,B30*3.6/1000000/'E Balans VL '!Z14*100)</f>
        <v>6.9533141940579982E-2</v>
      </c>
      <c r="D30" s="237" t="s">
        <v>692</v>
      </c>
      <c r="F30" s="6"/>
    </row>
    <row r="31" spans="1:18">
      <c r="A31" s="231" t="s">
        <v>55</v>
      </c>
      <c r="B31" s="33">
        <f>IF(ISERROR(TER_onderwijs_ele_kWh/1000),0,TER_onderwijs_ele_kWh/1000)</f>
        <v>64.311989999999994</v>
      </c>
      <c r="C31" s="39">
        <f>IF(ISERROR(B31*3.6/1000000/'E Balans VL '!Z11*100),0,B31*3.6/1000000/'E Balans VL '!Z11*100)</f>
        <v>1.3349676185244642E-2</v>
      </c>
      <c r="D31" s="237" t="s">
        <v>692</v>
      </c>
    </row>
    <row r="32" spans="1:18">
      <c r="A32" s="231" t="s">
        <v>260</v>
      </c>
      <c r="B32" s="33">
        <f>IF(ISERROR(TER_rest_ele_kWh/1000),0,TER_rest_ele_kWh/1000)</f>
        <v>3380.9749999999999</v>
      </c>
      <c r="C32" s="39">
        <f>IF(ISERROR(B32*3.6/1000000/'E Balans VL '!Z8*100),0,B32*3.6/1000000/'E Balans VL '!Z8*100)</f>
        <v>2.8482725414762929E-2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2564.7386999999999</v>
      </c>
      <c r="C5" s="17">
        <f>IF(ISERROR('Eigen informatie GS &amp; warmtenet'!B59),0,'Eigen informatie GS &amp; warmtenet'!B59)</f>
        <v>0</v>
      </c>
      <c r="D5" s="30">
        <f>SUM(D6:D15)</f>
        <v>1511.1526309292844</v>
      </c>
      <c r="E5" s="17">
        <f>SUM(E6:E15)</f>
        <v>414.40317687928541</v>
      </c>
      <c r="F5" s="17">
        <f>SUM(F6:F15)</f>
        <v>1769.2998247168566</v>
      </c>
      <c r="G5" s="18"/>
      <c r="H5" s="17"/>
      <c r="I5" s="17"/>
      <c r="J5" s="17">
        <f>SUM(J6:J15)</f>
        <v>9.3009823225174877</v>
      </c>
      <c r="K5" s="17"/>
      <c r="L5" s="17"/>
      <c r="M5" s="17"/>
      <c r="N5" s="17">
        <f>SUM(N6:N15)</f>
        <v>716.51054231763885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199.3913</v>
      </c>
      <c r="C8" s="33"/>
      <c r="D8" s="37">
        <f>IF( ISERROR(IND_metaal_Gas_kWH/1000),0,IND_metaal_Gas_kWH/1000)*0.902</f>
        <v>38.703163678061841</v>
      </c>
      <c r="E8" s="33">
        <f>C30*'E Balans VL '!I18/100/3.6*1000000</f>
        <v>4.9900663844005599</v>
      </c>
      <c r="F8" s="33">
        <f>C30*'E Balans VL '!L18/100/3.6*1000000+C30*'E Balans VL '!N18/100/3.6*1000000</f>
        <v>62.490225243333661</v>
      </c>
      <c r="G8" s="34"/>
      <c r="H8" s="33"/>
      <c r="I8" s="33"/>
      <c r="J8" s="40">
        <f>C30*'E Balans VL '!D18/100/3.6*1000000+C30*'E Balans VL '!E18/100/3.6*1000000</f>
        <v>0</v>
      </c>
      <c r="K8" s="33"/>
      <c r="L8" s="33"/>
      <c r="M8" s="33"/>
      <c r="N8" s="33">
        <f>C30*'E Balans VL '!Y18/100/3.6*1000000</f>
        <v>5.0092269215468441</v>
      </c>
      <c r="O8" s="33"/>
      <c r="P8" s="33"/>
      <c r="R8" s="32"/>
    </row>
    <row r="9" spans="1:18">
      <c r="A9" s="6" t="s">
        <v>33</v>
      </c>
      <c r="B9" s="37">
        <f t="shared" si="0"/>
        <v>1335.8630000000001</v>
      </c>
      <c r="C9" s="33"/>
      <c r="D9" s="37">
        <f>IF( ISERROR(IND_andere_gas_kWh/1000),0,IND_andere_gas_kWh/1000)*0.902</f>
        <v>963.70215804308157</v>
      </c>
      <c r="E9" s="33">
        <f>C31*'E Balans VL '!I19/100/3.6*1000000</f>
        <v>367.30753450478875</v>
      </c>
      <c r="F9" s="33">
        <f>C31*'E Balans VL '!L19/100/3.6*1000000+C31*'E Balans VL '!N19/100/3.6*1000000</f>
        <v>1052.8925008519277</v>
      </c>
      <c r="G9" s="34"/>
      <c r="H9" s="33"/>
      <c r="I9" s="33"/>
      <c r="J9" s="40">
        <f>C31*'E Balans VL '!D19/100/3.6*1000000+C31*'E Balans VL '!E19/100/3.6*1000000</f>
        <v>0</v>
      </c>
      <c r="K9" s="33"/>
      <c r="L9" s="33"/>
      <c r="M9" s="33"/>
      <c r="N9" s="33">
        <f>C31*'E Balans VL '!Y19/100/3.6*1000000</f>
        <v>432.45411398267407</v>
      </c>
      <c r="O9" s="33"/>
      <c r="P9" s="33"/>
      <c r="R9" s="32"/>
    </row>
    <row r="10" spans="1:18">
      <c r="A10" s="6" t="s">
        <v>41</v>
      </c>
      <c r="B10" s="37">
        <f t="shared" si="0"/>
        <v>252.405</v>
      </c>
      <c r="C10" s="33"/>
      <c r="D10" s="37">
        <f>IF( ISERROR(IND_voed_gas_kWh/1000),0,IND_voed_gas_kWh/1000)*0.902</f>
        <v>172.34968126237831</v>
      </c>
      <c r="E10" s="33">
        <f>C32*'E Balans VL '!I20/100/3.6*1000000</f>
        <v>2.5731299242920738</v>
      </c>
      <c r="F10" s="33">
        <f>C32*'E Balans VL '!L20/100/3.6*1000000+C32*'E Balans VL '!N20/100/3.6*1000000</f>
        <v>476.7914663591128</v>
      </c>
      <c r="G10" s="34"/>
      <c r="H10" s="33"/>
      <c r="I10" s="33"/>
      <c r="J10" s="40">
        <f>C32*'E Balans VL '!D20/100/3.6*1000000+C32*'E Balans VL '!E20/100/3.6*1000000</f>
        <v>6.0408775228990566</v>
      </c>
      <c r="K10" s="33"/>
      <c r="L10" s="33"/>
      <c r="M10" s="33"/>
      <c r="N10" s="33">
        <f>C32*'E Balans VL '!Y20/100/3.6*1000000</f>
        <v>133.0465084909049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777.07940000000008</v>
      </c>
      <c r="C15" s="33"/>
      <c r="D15" s="37">
        <f>IF( ISERROR(IND_rest_gas_kWh/1000),0,IND_rest_gas_kWh/1000)*0.902</f>
        <v>336.39762794576257</v>
      </c>
      <c r="E15" s="33">
        <f>C37*'E Balans VL '!I15/100/3.6*1000000</f>
        <v>39.532446065804066</v>
      </c>
      <c r="F15" s="33">
        <f>C37*'E Balans VL '!L15/100/3.6*1000000+C37*'E Balans VL '!N15/100/3.6*1000000</f>
        <v>177.12563226248253</v>
      </c>
      <c r="G15" s="34"/>
      <c r="H15" s="33"/>
      <c r="I15" s="33"/>
      <c r="J15" s="40">
        <f>C37*'E Balans VL '!D15/100/3.6*1000000+C37*'E Balans VL '!E15/100/3.6*1000000</f>
        <v>3.2601047996184307</v>
      </c>
      <c r="K15" s="33"/>
      <c r="L15" s="33"/>
      <c r="M15" s="33"/>
      <c r="N15" s="33">
        <f>C37*'E Balans VL '!Y15/100/3.6*1000000</f>
        <v>146.00069292251305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2564.7386999999999</v>
      </c>
      <c r="C18" s="21">
        <f>C5+C16</f>
        <v>0</v>
      </c>
      <c r="D18" s="21">
        <f>MAX((D5+D16),0)</f>
        <v>1511.1526309292844</v>
      </c>
      <c r="E18" s="21">
        <f>MAX((E5+E16),0)</f>
        <v>414.40317687928541</v>
      </c>
      <c r="F18" s="21">
        <f>MAX((F5+F16),0)</f>
        <v>1769.2998247168566</v>
      </c>
      <c r="G18" s="21"/>
      <c r="H18" s="21"/>
      <c r="I18" s="21"/>
      <c r="J18" s="21">
        <f>MAX((J5+J16),0)</f>
        <v>9.3009823225174877</v>
      </c>
      <c r="K18" s="21"/>
      <c r="L18" s="21">
        <f>MAX((L5+L16),0)</f>
        <v>0</v>
      </c>
      <c r="M18" s="21"/>
      <c r="N18" s="21">
        <f>MAX((N5+N16),0)</f>
        <v>716.51054231763885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0.20495220525887153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525.64885247777136</v>
      </c>
      <c r="C22" s="23">
        <f ca="1">C18*C20</f>
        <v>0</v>
      </c>
      <c r="D22" s="23">
        <f>D18*D20</f>
        <v>305.25283144771549</v>
      </c>
      <c r="E22" s="23">
        <f>E18*E20</f>
        <v>94.069521151597797</v>
      </c>
      <c r="F22" s="23">
        <f>F18*F20</f>
        <v>472.40305319940074</v>
      </c>
      <c r="G22" s="23"/>
      <c r="H22" s="23"/>
      <c r="I22" s="23"/>
      <c r="J22" s="23">
        <f>J18*J20</f>
        <v>3.2925477421711906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199.3913</v>
      </c>
      <c r="C30" s="39">
        <f>IF(ISERROR(B30*3.6/1000000/'E Balans VL '!Z18*100),0,B30*3.6/1000000/'E Balans VL '!Z18*100)</f>
        <v>2.7908137211520495E-2</v>
      </c>
      <c r="D30" s="237" t="s">
        <v>692</v>
      </c>
    </row>
    <row r="31" spans="1:18">
      <c r="A31" s="6" t="s">
        <v>33</v>
      </c>
      <c r="B31" s="37">
        <f>IF( ISERROR(IND_ander_ele_kWh/1000),0,IND_ander_ele_kWh/1000)</f>
        <v>1335.8630000000001</v>
      </c>
      <c r="C31" s="39">
        <f>IF(ISERROR(B31*3.6/1000000/'E Balans VL '!Z19*100),0,B31*3.6/1000000/'E Balans VL '!Z19*100)</f>
        <v>5.8470506802232793E-2</v>
      </c>
      <c r="D31" s="237" t="s">
        <v>692</v>
      </c>
    </row>
    <row r="32" spans="1:18">
      <c r="A32" s="171" t="s">
        <v>41</v>
      </c>
      <c r="B32" s="37">
        <f>IF( ISERROR(IND_voed_ele_kWh/1000),0,IND_voed_ele_kWh/1000)</f>
        <v>252.405</v>
      </c>
      <c r="C32" s="39">
        <f>IF(ISERROR(B32*3.6/1000000/'E Balans VL '!Z20*100),0,B32*3.6/1000000/'E Balans VL '!Z20*100)</f>
        <v>6.2487096043394044E-2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777.07940000000008</v>
      </c>
      <c r="C37" s="39">
        <f>IF(ISERROR(B37*3.6/1000000/'E Balans VL '!Z15*100),0,B37*3.6/1000000/'E Balans VL '!Z15*100)</f>
        <v>5.7619107093768718E-3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3255.4712000000004</v>
      </c>
      <c r="C5" s="17">
        <f>'Eigen informatie GS &amp; warmtenet'!B60</f>
        <v>0</v>
      </c>
      <c r="D5" s="30">
        <f>IF(ISERROR(SUM(LB_lb_gas_kWh,LB_rest_gas_kWh)/1000),0,SUM(LB_lb_gas_kWh,LB_rest_gas_kWh)/1000)*0.902</f>
        <v>1391.6678252735853</v>
      </c>
      <c r="E5" s="17">
        <f>B17*'E Balans VL '!I25/3.6*1000000/100</f>
        <v>30.153537771075634</v>
      </c>
      <c r="F5" s="17">
        <f>B17*('E Balans VL '!L25/3.6*1000000+'E Balans VL '!N25/3.6*1000000)/100</f>
        <v>8259.7506010271736</v>
      </c>
      <c r="G5" s="18"/>
      <c r="H5" s="17"/>
      <c r="I5" s="17"/>
      <c r="J5" s="17">
        <f>('E Balans VL '!D25+'E Balans VL '!E25)/3.6*1000000*landbouw!B17/100</f>
        <v>499.10006612462797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3255.4712000000004</v>
      </c>
      <c r="C8" s="21">
        <f>C5+C6</f>
        <v>0</v>
      </c>
      <c r="D8" s="21">
        <f>MAX((D5+D6),0)</f>
        <v>1391.6678252735853</v>
      </c>
      <c r="E8" s="21">
        <f>MAX((E5+E6),0)</f>
        <v>30.153537771075634</v>
      </c>
      <c r="F8" s="21">
        <f>MAX((F5+F6),0)</f>
        <v>8259.7506010271736</v>
      </c>
      <c r="G8" s="21"/>
      <c r="H8" s="21"/>
      <c r="I8" s="21"/>
      <c r="J8" s="21">
        <f>MAX((J5+J6),0)</f>
        <v>499.10006612462797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0.20495220525887153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667.21600159674495</v>
      </c>
      <c r="C12" s="23">
        <f ca="1">C8*C10</f>
        <v>0</v>
      </c>
      <c r="D12" s="23">
        <f>D8*D10</f>
        <v>281.11690070526424</v>
      </c>
      <c r="E12" s="23">
        <f>E8*E10</f>
        <v>6.8448530740341686</v>
      </c>
      <c r="F12" s="23">
        <f>F8*F10</f>
        <v>2205.3534104742553</v>
      </c>
      <c r="G12" s="23"/>
      <c r="H12" s="23"/>
      <c r="I12" s="23"/>
      <c r="J12" s="23">
        <f>J8*J10</f>
        <v>176.68142340811829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0.46285897671914811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1010.7692783579316</v>
      </c>
      <c r="C26" s="247">
        <f>B26*'GWP N2O_CH4'!B5</f>
        <v>21226.154845516565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267.39921188533867</v>
      </c>
      <c r="C27" s="247">
        <f>B27*'GWP N2O_CH4'!B5</f>
        <v>5615.3834495921119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14.049543615693393</v>
      </c>
      <c r="C28" s="247">
        <f>B28*'GWP N2O_CH4'!B4</f>
        <v>4355.358520864952</v>
      </c>
      <c r="D28" s="50"/>
    </row>
    <row r="29" spans="1:4">
      <c r="A29" s="41" t="s">
        <v>277</v>
      </c>
      <c r="B29" s="247">
        <f>B34*'ha_N2O bodem landbouw'!B4</f>
        <v>44.299615591668115</v>
      </c>
      <c r="C29" s="247">
        <f>B29*'GWP N2O_CH4'!B4</f>
        <v>13732.880833417115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9.9356233371341689E-3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7.5510478846486118E-5</v>
      </c>
      <c r="C5" s="464" t="s">
        <v>211</v>
      </c>
      <c r="D5" s="449">
        <f>SUM(D6:D11)</f>
        <v>2.1094986799537901E-4</v>
      </c>
      <c r="E5" s="449">
        <f>SUM(E6:E11)</f>
        <v>1.3316618491240407E-3</v>
      </c>
      <c r="F5" s="462" t="s">
        <v>211</v>
      </c>
      <c r="G5" s="449">
        <f>SUM(G6:G11)</f>
        <v>0.42323654202854533</v>
      </c>
      <c r="H5" s="449">
        <f>SUM(H6:H11)</f>
        <v>7.9433491330156383E-2</v>
      </c>
      <c r="I5" s="464" t="s">
        <v>211</v>
      </c>
      <c r="J5" s="464" t="s">
        <v>211</v>
      </c>
      <c r="K5" s="464" t="s">
        <v>211</v>
      </c>
      <c r="L5" s="464" t="s">
        <v>211</v>
      </c>
      <c r="M5" s="449">
        <f>SUM(M6:M11)</f>
        <v>2.6927564415970724E-2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5.5103470614928372E-5</v>
      </c>
      <c r="C6" s="450"/>
      <c r="D6" s="893">
        <f>vkm_2011_GW_PW*SUMIFS(TableVerdeelsleutelVkm[CNG],TableVerdeelsleutelVkm[Voertuigtype],"Lichte voertuigen")*SUMIFS(TableECFTransport[EnergieConsumptieFactor (PJ per km)],TableECFTransport[Index],CONCATENATE($A6,"_CNG_CNG"))</f>
        <v>1.274603941731353E-4</v>
      </c>
      <c r="E6" s="893">
        <f>vkm_2011_GW_PW*SUMIFS(TableVerdeelsleutelVkm[LPG],TableVerdeelsleutelVkm[Voertuigtype],"Lichte voertuigen")*SUMIFS(TableECFTransport[EnergieConsumptieFactor (PJ per km)],TableECFTransport[Index],CONCATENATE($A6,"_LPG_LPG"))</f>
        <v>8.2994511567943154E-4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0.17241495762442421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4.8600213492771195E-2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1.1469541653407859E-2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0.11788887156364138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4.0315853113126864E-5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6.8205394444055961E-3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2.0407008231557745E-5</v>
      </c>
      <c r="C8" s="450"/>
      <c r="D8" s="452">
        <f>vkm_2011_NGW_PW*SUMIFS(TableVerdeelsleutelVkm[CNG],TableVerdeelsleutelVkm[Voertuigtype],"Lichte voertuigen")*SUMIFS(TableECFTransport[EnergieConsumptieFactor (PJ per km)],TableECFTransport[Index],CONCATENATE($A8,"_CNG_CNG"))</f>
        <v>8.3489473822243715E-5</v>
      </c>
      <c r="E8" s="452">
        <f>vkm_2011_NGW_PW*SUMIFS(TableVerdeelsleutelVkm[LPG],TableVerdeelsleutelVkm[Voertuigtype],"Lichte voertuigen")*SUMIFS(TableECFTransport[EnergieConsumptieFactor (PJ per km)],TableECFTransport[Index],CONCATENATE($A8,"_LPG_LPG"))</f>
        <v>5.0171673344460901E-4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9.7432652580688853E-2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3.0781474578301004E-2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6.5836237105583156E-3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3.5500060259790897E-2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1.1487405971058664E-5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2.0538596075989537E-3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20.97513301291281</v>
      </c>
      <c r="C14" s="21"/>
      <c r="D14" s="21">
        <f t="shared" ref="D14:M14" si="0">((D5)*10^9/3600)+D12</f>
        <v>58.597185554271945</v>
      </c>
      <c r="E14" s="21">
        <f t="shared" si="0"/>
        <v>369.90606920112242</v>
      </c>
      <c r="F14" s="21"/>
      <c r="G14" s="21">
        <f t="shared" si="0"/>
        <v>117565.70611904036</v>
      </c>
      <c r="H14" s="21">
        <f t="shared" si="0"/>
        <v>22064.858702821217</v>
      </c>
      <c r="I14" s="21"/>
      <c r="J14" s="21"/>
      <c r="K14" s="21"/>
      <c r="L14" s="21"/>
      <c r="M14" s="21">
        <f t="shared" si="0"/>
        <v>7479.8790044363122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0.20495220525887153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4.2988997665946389</v>
      </c>
      <c r="C18" s="23"/>
      <c r="D18" s="23">
        <f t="shared" ref="D18:M18" si="1">D14*D16</f>
        <v>11.836631481962934</v>
      </c>
      <c r="E18" s="23">
        <f t="shared" si="1"/>
        <v>83.968677708654795</v>
      </c>
      <c r="F18" s="23"/>
      <c r="G18" s="23">
        <f t="shared" si="1"/>
        <v>31390.043533783777</v>
      </c>
      <c r="H18" s="23">
        <f t="shared" si="1"/>
        <v>5494.1498170024834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4.9309965244652689E-3</v>
      </c>
      <c r="H50" s="321">
        <f t="shared" si="2"/>
        <v>0</v>
      </c>
      <c r="I50" s="321">
        <f t="shared" si="2"/>
        <v>0</v>
      </c>
      <c r="J50" s="321">
        <f t="shared" si="2"/>
        <v>0</v>
      </c>
      <c r="K50" s="321">
        <f t="shared" si="2"/>
        <v>0</v>
      </c>
      <c r="L50" s="321">
        <f t="shared" si="2"/>
        <v>0</v>
      </c>
      <c r="M50" s="321">
        <f t="shared" si="2"/>
        <v>2.8120035715887144E-4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4.9309965244652689E-3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2.8120035715887144E-4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1369.7212567959082</v>
      </c>
      <c r="H54" s="21">
        <f t="shared" si="3"/>
        <v>0</v>
      </c>
      <c r="I54" s="21">
        <f t="shared" si="3"/>
        <v>0</v>
      </c>
      <c r="J54" s="21">
        <f t="shared" si="3"/>
        <v>0</v>
      </c>
      <c r="K54" s="21">
        <f t="shared" si="3"/>
        <v>0</v>
      </c>
      <c r="L54" s="21">
        <f t="shared" si="3"/>
        <v>0</v>
      </c>
      <c r="M54" s="21">
        <f t="shared" si="3"/>
        <v>78.111210321908729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0.20495220525887153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365.7155755645075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13209.459690000002</v>
      </c>
      <c r="D10" s="1025">
        <f ca="1">tertiair!C16</f>
        <v>0</v>
      </c>
      <c r="E10" s="1025">
        <f ca="1">tertiair!D16</f>
        <v>13374.939410053505</v>
      </c>
      <c r="F10" s="1025">
        <f>tertiair!E16</f>
        <v>177.96598022344969</v>
      </c>
      <c r="G10" s="1025">
        <f ca="1">tertiair!F16</f>
        <v>1931.2584599795314</v>
      </c>
      <c r="H10" s="1025">
        <f>tertiair!G16</f>
        <v>0</v>
      </c>
      <c r="I10" s="1025">
        <f>tertiair!H16</f>
        <v>0</v>
      </c>
      <c r="J10" s="1025">
        <f>tertiair!I16</f>
        <v>0</v>
      </c>
      <c r="K10" s="1025">
        <f>tertiair!J16</f>
        <v>0</v>
      </c>
      <c r="L10" s="1025">
        <f>tertiair!K16</f>
        <v>0</v>
      </c>
      <c r="M10" s="1025">
        <f ca="1">tertiair!L16</f>
        <v>0</v>
      </c>
      <c r="N10" s="1025">
        <f>tertiair!M16</f>
        <v>0</v>
      </c>
      <c r="O10" s="1025">
        <f ca="1">tertiair!N16</f>
        <v>985.10658639355916</v>
      </c>
      <c r="P10" s="1025">
        <f>tertiair!O16</f>
        <v>3.1266666666666669</v>
      </c>
      <c r="Q10" s="1026">
        <f>tertiair!P16</f>
        <v>38.133333333333333</v>
      </c>
      <c r="R10" s="701">
        <f ca="1">SUM(C10:Q10)</f>
        <v>29719.990126650046</v>
      </c>
      <c r="S10" s="67"/>
    </row>
    <row r="11" spans="1:19" s="474" customFormat="1">
      <c r="A11" s="810" t="s">
        <v>225</v>
      </c>
      <c r="B11" s="815"/>
      <c r="C11" s="1025">
        <f>huishoudens!B8</f>
        <v>22209.964341778457</v>
      </c>
      <c r="D11" s="1025">
        <f>huishoudens!C8</f>
        <v>0</v>
      </c>
      <c r="E11" s="1025">
        <f>huishoudens!D8</f>
        <v>37762.409043452622</v>
      </c>
      <c r="F11" s="1025">
        <f>huishoudens!E8</f>
        <v>5179.5825332203285</v>
      </c>
      <c r="G11" s="1025">
        <f>huishoudens!F8</f>
        <v>13115.663714268678</v>
      </c>
      <c r="H11" s="1025">
        <f>huishoudens!G8</f>
        <v>0</v>
      </c>
      <c r="I11" s="1025">
        <f>huishoudens!H8</f>
        <v>0</v>
      </c>
      <c r="J11" s="1025">
        <f>huishoudens!I8</f>
        <v>0</v>
      </c>
      <c r="K11" s="1025">
        <f>huishoudens!J8</f>
        <v>1414.0037948434231</v>
      </c>
      <c r="L11" s="1025">
        <f>huishoudens!K8</f>
        <v>0</v>
      </c>
      <c r="M11" s="1025">
        <f>huishoudens!L8</f>
        <v>0</v>
      </c>
      <c r="N11" s="1025">
        <f>huishoudens!M8</f>
        <v>0</v>
      </c>
      <c r="O11" s="1025">
        <f>huishoudens!N8</f>
        <v>12254.726347291144</v>
      </c>
      <c r="P11" s="1025">
        <f>huishoudens!O8</f>
        <v>159.46</v>
      </c>
      <c r="Q11" s="1026">
        <f>huishoudens!P8</f>
        <v>476.66666666666663</v>
      </c>
      <c r="R11" s="701">
        <f>SUM(C11:Q11)</f>
        <v>92572.476441521329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2564.7386999999999</v>
      </c>
      <c r="D13" s="1025">
        <f>industrie!C18</f>
        <v>0</v>
      </c>
      <c r="E13" s="1025">
        <f>industrie!D18</f>
        <v>1511.1526309292844</v>
      </c>
      <c r="F13" s="1025">
        <f>industrie!E18</f>
        <v>414.40317687928541</v>
      </c>
      <c r="G13" s="1025">
        <f>industrie!F18</f>
        <v>1769.2998247168566</v>
      </c>
      <c r="H13" s="1025">
        <f>industrie!G18</f>
        <v>0</v>
      </c>
      <c r="I13" s="1025">
        <f>industrie!H18</f>
        <v>0</v>
      </c>
      <c r="J13" s="1025">
        <f>industrie!I18</f>
        <v>0</v>
      </c>
      <c r="K13" s="1025">
        <f>industrie!J18</f>
        <v>9.3009823225174877</v>
      </c>
      <c r="L13" s="1025">
        <f>industrie!K18</f>
        <v>0</v>
      </c>
      <c r="M13" s="1025">
        <f>industrie!L18</f>
        <v>0</v>
      </c>
      <c r="N13" s="1025">
        <f>industrie!M18</f>
        <v>0</v>
      </c>
      <c r="O13" s="1025">
        <f>industrie!N18</f>
        <v>716.51054231763885</v>
      </c>
      <c r="P13" s="1025">
        <f>industrie!O18</f>
        <v>0</v>
      </c>
      <c r="Q13" s="1026">
        <f>industrie!P18</f>
        <v>0</v>
      </c>
      <c r="R13" s="701">
        <f>SUM(C13:Q13)</f>
        <v>6985.4058571655833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37984.162731778459</v>
      </c>
      <c r="D16" s="733">
        <f t="shared" ref="D16:R16" ca="1" si="0">SUM(D9:D15)</f>
        <v>0</v>
      </c>
      <c r="E16" s="733">
        <f t="shared" ca="1" si="0"/>
        <v>52648.501084435411</v>
      </c>
      <c r="F16" s="733">
        <f t="shared" si="0"/>
        <v>5771.9516903230642</v>
      </c>
      <c r="G16" s="733">
        <f t="shared" ca="1" si="0"/>
        <v>16816.221998965066</v>
      </c>
      <c r="H16" s="733">
        <f t="shared" si="0"/>
        <v>0</v>
      </c>
      <c r="I16" s="733">
        <f t="shared" si="0"/>
        <v>0</v>
      </c>
      <c r="J16" s="733">
        <f t="shared" si="0"/>
        <v>0</v>
      </c>
      <c r="K16" s="733">
        <f t="shared" si="0"/>
        <v>1423.3047771659405</v>
      </c>
      <c r="L16" s="733">
        <f t="shared" si="0"/>
        <v>0</v>
      </c>
      <c r="M16" s="733">
        <f t="shared" ca="1" si="0"/>
        <v>0</v>
      </c>
      <c r="N16" s="733">
        <f t="shared" si="0"/>
        <v>0</v>
      </c>
      <c r="O16" s="733">
        <f t="shared" ca="1" si="0"/>
        <v>13956.343476002341</v>
      </c>
      <c r="P16" s="733">
        <f t="shared" si="0"/>
        <v>162.58666666666667</v>
      </c>
      <c r="Q16" s="733">
        <f t="shared" si="0"/>
        <v>514.79999999999995</v>
      </c>
      <c r="R16" s="733">
        <f t="shared" ca="1" si="0"/>
        <v>129277.87242533694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1369.7212567959082</v>
      </c>
      <c r="I19" s="1025">
        <f>transport!H54</f>
        <v>0</v>
      </c>
      <c r="J19" s="1025">
        <f>transport!I54</f>
        <v>0</v>
      </c>
      <c r="K19" s="1025">
        <f>transport!J54</f>
        <v>0</v>
      </c>
      <c r="L19" s="1025">
        <f>transport!K54</f>
        <v>0</v>
      </c>
      <c r="M19" s="1025">
        <f>transport!L54</f>
        <v>0</v>
      </c>
      <c r="N19" s="1025">
        <f>transport!M54</f>
        <v>78.111210321908729</v>
      </c>
      <c r="O19" s="1025">
        <f>transport!N54</f>
        <v>0</v>
      </c>
      <c r="P19" s="1025">
        <f>transport!O54</f>
        <v>0</v>
      </c>
      <c r="Q19" s="1026">
        <f>transport!P54</f>
        <v>0</v>
      </c>
      <c r="R19" s="701">
        <f>SUM(C19:Q19)</f>
        <v>1447.8324671178168</v>
      </c>
      <c r="S19" s="67"/>
    </row>
    <row r="20" spans="1:19" s="474" customFormat="1">
      <c r="A20" s="810" t="s">
        <v>307</v>
      </c>
      <c r="B20" s="815"/>
      <c r="C20" s="1025">
        <f>transport!B14</f>
        <v>20.97513301291281</v>
      </c>
      <c r="D20" s="1025">
        <f>transport!C14</f>
        <v>0</v>
      </c>
      <c r="E20" s="1025">
        <f>transport!D14</f>
        <v>58.597185554271945</v>
      </c>
      <c r="F20" s="1025">
        <f>transport!E14</f>
        <v>369.90606920112242</v>
      </c>
      <c r="G20" s="1025">
        <f>transport!F14</f>
        <v>0</v>
      </c>
      <c r="H20" s="1025">
        <f>transport!G14</f>
        <v>117565.70611904036</v>
      </c>
      <c r="I20" s="1025">
        <f>transport!H14</f>
        <v>22064.858702821217</v>
      </c>
      <c r="J20" s="1025">
        <f>transport!I14</f>
        <v>0</v>
      </c>
      <c r="K20" s="1025">
        <f>transport!J14</f>
        <v>0</v>
      </c>
      <c r="L20" s="1025">
        <f>transport!K14</f>
        <v>0</v>
      </c>
      <c r="M20" s="1025">
        <f>transport!L14</f>
        <v>0</v>
      </c>
      <c r="N20" s="1025">
        <f>transport!M14</f>
        <v>7479.8790044363122</v>
      </c>
      <c r="O20" s="1025">
        <f>transport!N14</f>
        <v>0</v>
      </c>
      <c r="P20" s="1025">
        <f>transport!O14</f>
        <v>0</v>
      </c>
      <c r="Q20" s="1026">
        <f>transport!P14</f>
        <v>0</v>
      </c>
      <c r="R20" s="701">
        <f>SUM(C20:Q20)</f>
        <v>147559.9222140662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20.97513301291281</v>
      </c>
      <c r="D22" s="813">
        <f t="shared" ref="D22:R22" si="1">SUM(D18:D21)</f>
        <v>0</v>
      </c>
      <c r="E22" s="813">
        <f t="shared" si="1"/>
        <v>58.597185554271945</v>
      </c>
      <c r="F22" s="813">
        <f t="shared" si="1"/>
        <v>369.90606920112242</v>
      </c>
      <c r="G22" s="813">
        <f t="shared" si="1"/>
        <v>0</v>
      </c>
      <c r="H22" s="813">
        <f t="shared" si="1"/>
        <v>118935.42737583627</v>
      </c>
      <c r="I22" s="813">
        <f t="shared" si="1"/>
        <v>22064.858702821217</v>
      </c>
      <c r="J22" s="813">
        <f t="shared" si="1"/>
        <v>0</v>
      </c>
      <c r="K22" s="813">
        <f t="shared" si="1"/>
        <v>0</v>
      </c>
      <c r="L22" s="813">
        <f t="shared" si="1"/>
        <v>0</v>
      </c>
      <c r="M22" s="813">
        <f t="shared" si="1"/>
        <v>0</v>
      </c>
      <c r="N22" s="813">
        <f t="shared" si="1"/>
        <v>7557.9902147582206</v>
      </c>
      <c r="O22" s="813">
        <f t="shared" si="1"/>
        <v>0</v>
      </c>
      <c r="P22" s="813">
        <f t="shared" si="1"/>
        <v>0</v>
      </c>
      <c r="Q22" s="813">
        <f t="shared" si="1"/>
        <v>0</v>
      </c>
      <c r="R22" s="813">
        <f t="shared" si="1"/>
        <v>149007.75468118401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3255.4712000000004</v>
      </c>
      <c r="D24" s="1025">
        <f>+landbouw!C8</f>
        <v>0</v>
      </c>
      <c r="E24" s="1025">
        <f>+landbouw!D8</f>
        <v>1391.6678252735853</v>
      </c>
      <c r="F24" s="1025">
        <f>+landbouw!E8</f>
        <v>30.153537771075634</v>
      </c>
      <c r="G24" s="1025">
        <f>+landbouw!F8</f>
        <v>8259.7506010271736</v>
      </c>
      <c r="H24" s="1025">
        <f>+landbouw!G8</f>
        <v>0</v>
      </c>
      <c r="I24" s="1025">
        <f>+landbouw!H8</f>
        <v>0</v>
      </c>
      <c r="J24" s="1025">
        <f>+landbouw!I8</f>
        <v>0</v>
      </c>
      <c r="K24" s="1025">
        <f>+landbouw!J8</f>
        <v>499.10006612462797</v>
      </c>
      <c r="L24" s="1025">
        <f>+landbouw!K8</f>
        <v>0</v>
      </c>
      <c r="M24" s="1025">
        <f>+landbouw!L8</f>
        <v>0</v>
      </c>
      <c r="N24" s="1025">
        <f>+landbouw!M8</f>
        <v>0</v>
      </c>
      <c r="O24" s="1025">
        <f>+landbouw!N8</f>
        <v>0</v>
      </c>
      <c r="P24" s="1025">
        <f>+landbouw!O8</f>
        <v>0</v>
      </c>
      <c r="Q24" s="1026">
        <f>+landbouw!P8</f>
        <v>0</v>
      </c>
      <c r="R24" s="701">
        <f>SUM(C24:Q24)</f>
        <v>13436.143230196461</v>
      </c>
      <c r="S24" s="67"/>
    </row>
    <row r="25" spans="1:19" s="474" customFormat="1" ht="15" thickBot="1">
      <c r="A25" s="832" t="s">
        <v>864</v>
      </c>
      <c r="B25" s="1028"/>
      <c r="C25" s="1029">
        <f>IF(Onbekend_ele_kWh="---",0,Onbekend_ele_kWh)/1000+IF(REST_rest_ele_kWh="---",0,REST_rest_ele_kWh)/1000</f>
        <v>738.07869999999991</v>
      </c>
      <c r="D25" s="1029"/>
      <c r="E25" s="1029">
        <f>IF(onbekend_gas_kWh="---",0,onbekend_gas_kWh)/1000+IF(REST_rest_gas_kWh="---",0,REST_rest_gas_kWh)/1000</f>
        <v>1299.5078956196101</v>
      </c>
      <c r="F25" s="1029"/>
      <c r="G25" s="1029"/>
      <c r="H25" s="1029"/>
      <c r="I25" s="1029"/>
      <c r="J25" s="1029"/>
      <c r="K25" s="1029"/>
      <c r="L25" s="1029"/>
      <c r="M25" s="1029"/>
      <c r="N25" s="1029"/>
      <c r="O25" s="1029"/>
      <c r="P25" s="1029"/>
      <c r="Q25" s="1030"/>
      <c r="R25" s="701">
        <f>SUM(C25:Q25)</f>
        <v>2037.5865956196099</v>
      </c>
      <c r="S25" s="67"/>
    </row>
    <row r="26" spans="1:19" s="474" customFormat="1" ht="15.75" thickBot="1">
      <c r="A26" s="706" t="s">
        <v>865</v>
      </c>
      <c r="B26" s="818"/>
      <c r="C26" s="813">
        <f>SUM(C24:C25)</f>
        <v>3993.5499000000004</v>
      </c>
      <c r="D26" s="813">
        <f t="shared" ref="D26:R26" si="2">SUM(D24:D25)</f>
        <v>0</v>
      </c>
      <c r="E26" s="813">
        <f t="shared" si="2"/>
        <v>2691.1757208931954</v>
      </c>
      <c r="F26" s="813">
        <f t="shared" si="2"/>
        <v>30.153537771075634</v>
      </c>
      <c r="G26" s="813">
        <f t="shared" si="2"/>
        <v>8259.7506010271736</v>
      </c>
      <c r="H26" s="813">
        <f t="shared" si="2"/>
        <v>0</v>
      </c>
      <c r="I26" s="813">
        <f t="shared" si="2"/>
        <v>0</v>
      </c>
      <c r="J26" s="813">
        <f t="shared" si="2"/>
        <v>0</v>
      </c>
      <c r="K26" s="813">
        <f t="shared" si="2"/>
        <v>499.10006612462797</v>
      </c>
      <c r="L26" s="813">
        <f t="shared" si="2"/>
        <v>0</v>
      </c>
      <c r="M26" s="813">
        <f t="shared" si="2"/>
        <v>0</v>
      </c>
      <c r="N26" s="813">
        <f t="shared" si="2"/>
        <v>0</v>
      </c>
      <c r="O26" s="813">
        <f t="shared" si="2"/>
        <v>0</v>
      </c>
      <c r="P26" s="813">
        <f t="shared" si="2"/>
        <v>0</v>
      </c>
      <c r="Q26" s="813">
        <f t="shared" si="2"/>
        <v>0</v>
      </c>
      <c r="R26" s="813">
        <f t="shared" si="2"/>
        <v>15473.729825816072</v>
      </c>
      <c r="S26" s="67"/>
    </row>
    <row r="27" spans="1:19" s="474" customFormat="1" ht="17.25" thickTop="1" thickBot="1">
      <c r="A27" s="707" t="s">
        <v>116</v>
      </c>
      <c r="B27" s="806"/>
      <c r="C27" s="708">
        <f ca="1">C22+C16+C26</f>
        <v>41998.687764791372</v>
      </c>
      <c r="D27" s="708">
        <f t="shared" ref="D27:R27" ca="1" si="3">D22+D16+D26</f>
        <v>0</v>
      </c>
      <c r="E27" s="708">
        <f t="shared" ca="1" si="3"/>
        <v>55398.273990882881</v>
      </c>
      <c r="F27" s="708">
        <f t="shared" si="3"/>
        <v>6172.011297295262</v>
      </c>
      <c r="G27" s="708">
        <f t="shared" ca="1" si="3"/>
        <v>25075.972599992238</v>
      </c>
      <c r="H27" s="708">
        <f t="shared" si="3"/>
        <v>118935.42737583627</v>
      </c>
      <c r="I27" s="708">
        <f t="shared" si="3"/>
        <v>22064.858702821217</v>
      </c>
      <c r="J27" s="708">
        <f t="shared" si="3"/>
        <v>0</v>
      </c>
      <c r="K27" s="708">
        <f t="shared" si="3"/>
        <v>1922.4048432905686</v>
      </c>
      <c r="L27" s="708">
        <f t="shared" si="3"/>
        <v>0</v>
      </c>
      <c r="M27" s="708">
        <f t="shared" ca="1" si="3"/>
        <v>0</v>
      </c>
      <c r="N27" s="708">
        <f t="shared" si="3"/>
        <v>7557.9902147582206</v>
      </c>
      <c r="O27" s="708">
        <f t="shared" ca="1" si="3"/>
        <v>13956.343476002341</v>
      </c>
      <c r="P27" s="708">
        <f t="shared" si="3"/>
        <v>162.58666666666667</v>
      </c>
      <c r="Q27" s="708">
        <f t="shared" si="3"/>
        <v>514.79999999999995</v>
      </c>
      <c r="R27" s="708">
        <f t="shared" ca="1" si="3"/>
        <v>293759.35693233699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2707.3078937436699</v>
      </c>
      <c r="D40" s="1025">
        <f ca="1">tertiair!C20</f>
        <v>0</v>
      </c>
      <c r="E40" s="1025">
        <f ca="1">tertiair!D20</f>
        <v>2701.7377608308079</v>
      </c>
      <c r="F40" s="1025">
        <f>tertiair!E20</f>
        <v>40.398277510723084</v>
      </c>
      <c r="G40" s="1025">
        <f ca="1">tertiair!F20</f>
        <v>515.64600881453487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5965.0899408997366</v>
      </c>
    </row>
    <row r="41" spans="1:18">
      <c r="A41" s="823" t="s">
        <v>225</v>
      </c>
      <c r="B41" s="830"/>
      <c r="C41" s="1025">
        <f ca="1">huishoudens!B12</f>
        <v>4551.981170568396</v>
      </c>
      <c r="D41" s="1025">
        <f ca="1">huishoudens!C12</f>
        <v>0</v>
      </c>
      <c r="E41" s="1025">
        <f>huishoudens!D12</f>
        <v>7628.00662677743</v>
      </c>
      <c r="F41" s="1025">
        <f>huishoudens!E12</f>
        <v>1175.7652350410146</v>
      </c>
      <c r="G41" s="1025">
        <f>huishoudens!F12</f>
        <v>3501.882211709737</v>
      </c>
      <c r="H41" s="1025">
        <f>huishoudens!G12</f>
        <v>0</v>
      </c>
      <c r="I41" s="1025">
        <f>huishoudens!H12</f>
        <v>0</v>
      </c>
      <c r="J41" s="1025">
        <f>huishoudens!I12</f>
        <v>0</v>
      </c>
      <c r="K41" s="1025">
        <f>huishoudens!J12</f>
        <v>500.55734337457176</v>
      </c>
      <c r="L41" s="1025">
        <f>huishoudens!K12</f>
        <v>0</v>
      </c>
      <c r="M41" s="1025">
        <f>huishoudens!L12</f>
        <v>0</v>
      </c>
      <c r="N41" s="1025">
        <f>huishoudens!M12</f>
        <v>0</v>
      </c>
      <c r="O41" s="1025">
        <f>huishoudens!N12</f>
        <v>0</v>
      </c>
      <c r="P41" s="1025">
        <f>huishoudens!O12</f>
        <v>0</v>
      </c>
      <c r="Q41" s="775">
        <f>huishoudens!P12</f>
        <v>0</v>
      </c>
      <c r="R41" s="851">
        <f t="shared" ca="1" si="4"/>
        <v>17358.192587471149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525.64885247777136</v>
      </c>
      <c r="D43" s="1025">
        <f ca="1">industrie!C22</f>
        <v>0</v>
      </c>
      <c r="E43" s="1025">
        <f>industrie!D22</f>
        <v>305.25283144771549</v>
      </c>
      <c r="F43" s="1025">
        <f>industrie!E22</f>
        <v>94.069521151597797</v>
      </c>
      <c r="G43" s="1025">
        <f>industrie!F22</f>
        <v>472.40305319940074</v>
      </c>
      <c r="H43" s="1025">
        <f>industrie!G22</f>
        <v>0</v>
      </c>
      <c r="I43" s="1025">
        <f>industrie!H22</f>
        <v>0</v>
      </c>
      <c r="J43" s="1025">
        <f>industrie!I22</f>
        <v>0</v>
      </c>
      <c r="K43" s="1025">
        <f>industrie!J22</f>
        <v>3.2925477421711906</v>
      </c>
      <c r="L43" s="1025">
        <f>industrie!K22</f>
        <v>0</v>
      </c>
      <c r="M43" s="1025">
        <f>industrie!L22</f>
        <v>0</v>
      </c>
      <c r="N43" s="1025">
        <f>industrie!M22</f>
        <v>0</v>
      </c>
      <c r="O43" s="1025">
        <f>industrie!N22</f>
        <v>0</v>
      </c>
      <c r="P43" s="1025">
        <f>industrie!O22</f>
        <v>0</v>
      </c>
      <c r="Q43" s="775">
        <f>industrie!P22</f>
        <v>0</v>
      </c>
      <c r="R43" s="850">
        <f t="shared" ca="1" si="4"/>
        <v>1400.6668060186564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7784.9379167898378</v>
      </c>
      <c r="D46" s="733">
        <f t="shared" ref="D46:Q46" ca="1" si="5">SUM(D39:D45)</f>
        <v>0</v>
      </c>
      <c r="E46" s="733">
        <f t="shared" ca="1" si="5"/>
        <v>10634.997219055953</v>
      </c>
      <c r="F46" s="733">
        <f t="shared" si="5"/>
        <v>1310.2330337033356</v>
      </c>
      <c r="G46" s="733">
        <f t="shared" ca="1" si="5"/>
        <v>4489.9312737236723</v>
      </c>
      <c r="H46" s="733">
        <f t="shared" si="5"/>
        <v>0</v>
      </c>
      <c r="I46" s="733">
        <f t="shared" si="5"/>
        <v>0</v>
      </c>
      <c r="J46" s="733">
        <f t="shared" si="5"/>
        <v>0</v>
      </c>
      <c r="K46" s="733">
        <f t="shared" si="5"/>
        <v>503.84989111674292</v>
      </c>
      <c r="L46" s="733">
        <f t="shared" si="5"/>
        <v>0</v>
      </c>
      <c r="M46" s="733">
        <f t="shared" ca="1" si="5"/>
        <v>0</v>
      </c>
      <c r="N46" s="733">
        <f t="shared" si="5"/>
        <v>0</v>
      </c>
      <c r="O46" s="733">
        <f t="shared" ca="1" si="5"/>
        <v>0</v>
      </c>
      <c r="P46" s="733">
        <f t="shared" si="5"/>
        <v>0</v>
      </c>
      <c r="Q46" s="733">
        <f t="shared" si="5"/>
        <v>0</v>
      </c>
      <c r="R46" s="733">
        <f ca="1">SUM(R39:R45)</f>
        <v>24723.949334389541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365.7155755645075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365.7155755645075</v>
      </c>
    </row>
    <row r="50" spans="1:18">
      <c r="A50" s="826" t="s">
        <v>307</v>
      </c>
      <c r="B50" s="836"/>
      <c r="C50" s="704">
        <f ca="1">transport!B18</f>
        <v>4.2988997665946389</v>
      </c>
      <c r="D50" s="704">
        <f>transport!C18</f>
        <v>0</v>
      </c>
      <c r="E50" s="704">
        <f>transport!D18</f>
        <v>11.836631481962934</v>
      </c>
      <c r="F50" s="704">
        <f>transport!E18</f>
        <v>83.968677708654795</v>
      </c>
      <c r="G50" s="704">
        <f>transport!F18</f>
        <v>0</v>
      </c>
      <c r="H50" s="704">
        <f>transport!G18</f>
        <v>31390.043533783777</v>
      </c>
      <c r="I50" s="704">
        <f>transport!H18</f>
        <v>5494.1498170024834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36984.297559743471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4.2988997665946389</v>
      </c>
      <c r="D52" s="733">
        <f t="shared" ref="D52:Q52" ca="1" si="6">SUM(D48:D51)</f>
        <v>0</v>
      </c>
      <c r="E52" s="733">
        <f t="shared" si="6"/>
        <v>11.836631481962934</v>
      </c>
      <c r="F52" s="733">
        <f t="shared" si="6"/>
        <v>83.968677708654795</v>
      </c>
      <c r="G52" s="733">
        <f t="shared" si="6"/>
        <v>0</v>
      </c>
      <c r="H52" s="733">
        <f t="shared" si="6"/>
        <v>31755.759109348284</v>
      </c>
      <c r="I52" s="733">
        <f t="shared" si="6"/>
        <v>5494.1498170024834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37350.013135307978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667.21600159674495</v>
      </c>
      <c r="D54" s="704">
        <f ca="1">+landbouw!C12</f>
        <v>0</v>
      </c>
      <c r="E54" s="704">
        <f>+landbouw!D12</f>
        <v>281.11690070526424</v>
      </c>
      <c r="F54" s="704">
        <f>+landbouw!E12</f>
        <v>6.8448530740341686</v>
      </c>
      <c r="G54" s="704">
        <f>+landbouw!F12</f>
        <v>2205.3534104742553</v>
      </c>
      <c r="H54" s="704">
        <f>+landbouw!G12</f>
        <v>0</v>
      </c>
      <c r="I54" s="704">
        <f>+landbouw!H12</f>
        <v>0</v>
      </c>
      <c r="J54" s="704">
        <f>+landbouw!I12</f>
        <v>0</v>
      </c>
      <c r="K54" s="704">
        <f>+landbouw!J12</f>
        <v>176.68142340811829</v>
      </c>
      <c r="L54" s="704">
        <f>+landbouw!K12</f>
        <v>0</v>
      </c>
      <c r="M54" s="704">
        <f>+landbouw!L12</f>
        <v>0</v>
      </c>
      <c r="N54" s="704">
        <f>+landbouw!M12</f>
        <v>0</v>
      </c>
      <c r="O54" s="704">
        <f>+landbouw!N12</f>
        <v>0</v>
      </c>
      <c r="P54" s="704">
        <f>+landbouw!O12</f>
        <v>0</v>
      </c>
      <c r="Q54" s="705">
        <f>+landbouw!P12</f>
        <v>0</v>
      </c>
      <c r="R54" s="732">
        <f ca="1">SUM(C54:Q54)</f>
        <v>3337.2125892584172</v>
      </c>
    </row>
    <row r="55" spans="1:18" ht="15" thickBot="1">
      <c r="A55" s="826" t="s">
        <v>864</v>
      </c>
      <c r="B55" s="836"/>
      <c r="C55" s="704">
        <f ca="1">C25*'EF ele_warmte'!B12</f>
        <v>151.27085721960106</v>
      </c>
      <c r="D55" s="704"/>
      <c r="E55" s="704">
        <f>E25*EF_CO2_aardgas</f>
        <v>262.50059491516123</v>
      </c>
      <c r="F55" s="704"/>
      <c r="G55" s="704"/>
      <c r="H55" s="704"/>
      <c r="I55" s="704"/>
      <c r="J55" s="704"/>
      <c r="K55" s="704"/>
      <c r="L55" s="704"/>
      <c r="M55" s="704"/>
      <c r="N55" s="704"/>
      <c r="O55" s="704"/>
      <c r="P55" s="704"/>
      <c r="Q55" s="705"/>
      <c r="R55" s="732">
        <f ca="1">SUM(C55:Q55)</f>
        <v>413.77145213476228</v>
      </c>
    </row>
    <row r="56" spans="1:18" ht="15.75" thickBot="1">
      <c r="A56" s="824" t="s">
        <v>865</v>
      </c>
      <c r="B56" s="837"/>
      <c r="C56" s="733">
        <f ca="1">SUM(C54:C55)</f>
        <v>818.48685881634606</v>
      </c>
      <c r="D56" s="733">
        <f t="shared" ref="D56:Q56" ca="1" si="7">SUM(D54:D55)</f>
        <v>0</v>
      </c>
      <c r="E56" s="733">
        <f t="shared" si="7"/>
        <v>543.61749562042542</v>
      </c>
      <c r="F56" s="733">
        <f t="shared" si="7"/>
        <v>6.8448530740341686</v>
      </c>
      <c r="G56" s="733">
        <f t="shared" si="7"/>
        <v>2205.3534104742553</v>
      </c>
      <c r="H56" s="733">
        <f t="shared" si="7"/>
        <v>0</v>
      </c>
      <c r="I56" s="733">
        <f t="shared" si="7"/>
        <v>0</v>
      </c>
      <c r="J56" s="733">
        <f t="shared" si="7"/>
        <v>0</v>
      </c>
      <c r="K56" s="733">
        <f t="shared" si="7"/>
        <v>176.68142340811829</v>
      </c>
      <c r="L56" s="733">
        <f t="shared" si="7"/>
        <v>0</v>
      </c>
      <c r="M56" s="733">
        <f t="shared" si="7"/>
        <v>0</v>
      </c>
      <c r="N56" s="733">
        <f t="shared" si="7"/>
        <v>0</v>
      </c>
      <c r="O56" s="733">
        <f t="shared" si="7"/>
        <v>0</v>
      </c>
      <c r="P56" s="733">
        <f t="shared" si="7"/>
        <v>0</v>
      </c>
      <c r="Q56" s="734">
        <f t="shared" si="7"/>
        <v>0</v>
      </c>
      <c r="R56" s="735">
        <f ca="1">SUM(R54:R55)</f>
        <v>3750.9840413931797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8607.7236753727775</v>
      </c>
      <c r="D61" s="741">
        <f t="shared" ref="D61:Q61" ca="1" si="8">D46+D52+D56</f>
        <v>0</v>
      </c>
      <c r="E61" s="741">
        <f t="shared" ca="1" si="8"/>
        <v>11190.451346158341</v>
      </c>
      <c r="F61" s="741">
        <f t="shared" si="8"/>
        <v>1401.0465644860244</v>
      </c>
      <c r="G61" s="741">
        <f t="shared" ca="1" si="8"/>
        <v>6695.2846841979281</v>
      </c>
      <c r="H61" s="741">
        <f t="shared" si="8"/>
        <v>31755.759109348284</v>
      </c>
      <c r="I61" s="741">
        <f t="shared" si="8"/>
        <v>5494.1498170024834</v>
      </c>
      <c r="J61" s="741">
        <f t="shared" si="8"/>
        <v>0</v>
      </c>
      <c r="K61" s="741">
        <f t="shared" si="8"/>
        <v>680.53131452486127</v>
      </c>
      <c r="L61" s="741">
        <f t="shared" si="8"/>
        <v>0</v>
      </c>
      <c r="M61" s="741">
        <f t="shared" ca="1" si="8"/>
        <v>0</v>
      </c>
      <c r="N61" s="741">
        <f t="shared" si="8"/>
        <v>0</v>
      </c>
      <c r="O61" s="741">
        <f t="shared" ca="1" si="8"/>
        <v>0</v>
      </c>
      <c r="P61" s="741">
        <f t="shared" si="8"/>
        <v>0</v>
      </c>
      <c r="Q61" s="741">
        <f t="shared" si="8"/>
        <v>0</v>
      </c>
      <c r="R61" s="741">
        <f ca="1">R46+R52+R56</f>
        <v>65824.946511090704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0.20495220525887153</v>
      </c>
      <c r="D63" s="782">
        <f t="shared" ca="1" si="9"/>
        <v>0</v>
      </c>
      <c r="E63" s="1036">
        <f t="shared" ca="1" si="9"/>
        <v>0.20199999999999999</v>
      </c>
      <c r="F63" s="782">
        <f t="shared" si="9"/>
        <v>0.22699999999999998</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3049.7118581272221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3049.7118581272221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3049.7118581272221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3049.7118581272221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22209.964341778457</v>
      </c>
      <c r="C4" s="478">
        <f>huishoudens!C8</f>
        <v>0</v>
      </c>
      <c r="D4" s="478">
        <f>huishoudens!D8</f>
        <v>37762.409043452622</v>
      </c>
      <c r="E4" s="478">
        <f>huishoudens!E8</f>
        <v>5179.5825332203285</v>
      </c>
      <c r="F4" s="478">
        <f>huishoudens!F8</f>
        <v>13115.663714268678</v>
      </c>
      <c r="G4" s="478">
        <f>huishoudens!G8</f>
        <v>0</v>
      </c>
      <c r="H4" s="478">
        <f>huishoudens!H8</f>
        <v>0</v>
      </c>
      <c r="I4" s="478">
        <f>huishoudens!I8</f>
        <v>0</v>
      </c>
      <c r="J4" s="478">
        <f>huishoudens!J8</f>
        <v>1414.0037948434231</v>
      </c>
      <c r="K4" s="478">
        <f>huishoudens!K8</f>
        <v>0</v>
      </c>
      <c r="L4" s="478">
        <f>huishoudens!L8</f>
        <v>0</v>
      </c>
      <c r="M4" s="478">
        <f>huishoudens!M8</f>
        <v>0</v>
      </c>
      <c r="N4" s="478">
        <f>huishoudens!N8</f>
        <v>12254.726347291144</v>
      </c>
      <c r="O4" s="478">
        <f>huishoudens!O8</f>
        <v>159.46</v>
      </c>
      <c r="P4" s="479">
        <f>huishoudens!P8</f>
        <v>476.66666666666663</v>
      </c>
      <c r="Q4" s="480">
        <f>SUM(B4:P4)</f>
        <v>92572.476441521329</v>
      </c>
    </row>
    <row r="5" spans="1:17">
      <c r="A5" s="477" t="s">
        <v>156</v>
      </c>
      <c r="B5" s="478">
        <f ca="1">tertiair!B16</f>
        <v>12336.868690000001</v>
      </c>
      <c r="C5" s="478">
        <f ca="1">tertiair!C16</f>
        <v>0</v>
      </c>
      <c r="D5" s="478">
        <f ca="1">tertiair!D16</f>
        <v>13374.939410053505</v>
      </c>
      <c r="E5" s="478">
        <f>tertiair!E16</f>
        <v>177.96598022344969</v>
      </c>
      <c r="F5" s="478">
        <f ca="1">tertiair!F16</f>
        <v>1931.2584599795314</v>
      </c>
      <c r="G5" s="478">
        <f>tertiair!G16</f>
        <v>0</v>
      </c>
      <c r="H5" s="478">
        <f>tertiair!H16</f>
        <v>0</v>
      </c>
      <c r="I5" s="478">
        <f>tertiair!I16</f>
        <v>0</v>
      </c>
      <c r="J5" s="478">
        <f>tertiair!J16</f>
        <v>0</v>
      </c>
      <c r="K5" s="478">
        <f>tertiair!K16</f>
        <v>0</v>
      </c>
      <c r="L5" s="478">
        <f ca="1">tertiair!L16</f>
        <v>0</v>
      </c>
      <c r="M5" s="478">
        <f>tertiair!M16</f>
        <v>0</v>
      </c>
      <c r="N5" s="478">
        <f ca="1">tertiair!N16</f>
        <v>985.10658639355916</v>
      </c>
      <c r="O5" s="478">
        <f>tertiair!O16</f>
        <v>3.1266666666666669</v>
      </c>
      <c r="P5" s="479">
        <f>tertiair!P16</f>
        <v>38.133333333333333</v>
      </c>
      <c r="Q5" s="477">
        <f t="shared" ref="Q5:Q14" ca="1" si="0">SUM(B5:P5)</f>
        <v>28847.399126650045</v>
      </c>
    </row>
    <row r="6" spans="1:17">
      <c r="A6" s="477" t="s">
        <v>194</v>
      </c>
      <c r="B6" s="478">
        <f>'openbare verlichting'!B8</f>
        <v>872.59100000000001</v>
      </c>
      <c r="C6" s="478"/>
      <c r="D6" s="478"/>
      <c r="E6" s="478"/>
      <c r="F6" s="478"/>
      <c r="G6" s="478"/>
      <c r="H6" s="478"/>
      <c r="I6" s="478"/>
      <c r="J6" s="478"/>
      <c r="K6" s="478"/>
      <c r="L6" s="478"/>
      <c r="M6" s="478"/>
      <c r="N6" s="478"/>
      <c r="O6" s="478"/>
      <c r="P6" s="479"/>
      <c r="Q6" s="477">
        <f t="shared" si="0"/>
        <v>872.59100000000001</v>
      </c>
    </row>
    <row r="7" spans="1:17">
      <c r="A7" s="477" t="s">
        <v>112</v>
      </c>
      <c r="B7" s="478">
        <f>landbouw!B8</f>
        <v>3255.4712000000004</v>
      </c>
      <c r="C7" s="478">
        <f>landbouw!C8</f>
        <v>0</v>
      </c>
      <c r="D7" s="478">
        <f>landbouw!D8</f>
        <v>1391.6678252735853</v>
      </c>
      <c r="E7" s="478">
        <f>landbouw!E8</f>
        <v>30.153537771075634</v>
      </c>
      <c r="F7" s="478">
        <f>landbouw!F8</f>
        <v>8259.7506010271736</v>
      </c>
      <c r="G7" s="478">
        <f>landbouw!G8</f>
        <v>0</v>
      </c>
      <c r="H7" s="478">
        <f>landbouw!H8</f>
        <v>0</v>
      </c>
      <c r="I7" s="478">
        <f>landbouw!I8</f>
        <v>0</v>
      </c>
      <c r="J7" s="478">
        <f>landbouw!J8</f>
        <v>499.10006612462797</v>
      </c>
      <c r="K7" s="478">
        <f>landbouw!K8</f>
        <v>0</v>
      </c>
      <c r="L7" s="478">
        <f>landbouw!L8</f>
        <v>0</v>
      </c>
      <c r="M7" s="478">
        <f>landbouw!M8</f>
        <v>0</v>
      </c>
      <c r="N7" s="478">
        <f>landbouw!N8</f>
        <v>0</v>
      </c>
      <c r="O7" s="478">
        <f>landbouw!O8</f>
        <v>0</v>
      </c>
      <c r="P7" s="479">
        <f>landbouw!P8</f>
        <v>0</v>
      </c>
      <c r="Q7" s="477">
        <f t="shared" si="0"/>
        <v>13436.143230196461</v>
      </c>
    </row>
    <row r="8" spans="1:17">
      <c r="A8" s="477" t="s">
        <v>650</v>
      </c>
      <c r="B8" s="478">
        <f>industrie!B18</f>
        <v>2564.7386999999999</v>
      </c>
      <c r="C8" s="478">
        <f>industrie!C18</f>
        <v>0</v>
      </c>
      <c r="D8" s="478">
        <f>industrie!D18</f>
        <v>1511.1526309292844</v>
      </c>
      <c r="E8" s="478">
        <f>industrie!E18</f>
        <v>414.40317687928541</v>
      </c>
      <c r="F8" s="478">
        <f>industrie!F18</f>
        <v>1769.2998247168566</v>
      </c>
      <c r="G8" s="478">
        <f>industrie!G18</f>
        <v>0</v>
      </c>
      <c r="H8" s="478">
        <f>industrie!H18</f>
        <v>0</v>
      </c>
      <c r="I8" s="478">
        <f>industrie!I18</f>
        <v>0</v>
      </c>
      <c r="J8" s="478">
        <f>industrie!J18</f>
        <v>9.3009823225174877</v>
      </c>
      <c r="K8" s="478">
        <f>industrie!K18</f>
        <v>0</v>
      </c>
      <c r="L8" s="478">
        <f>industrie!L18</f>
        <v>0</v>
      </c>
      <c r="M8" s="478">
        <f>industrie!M18</f>
        <v>0</v>
      </c>
      <c r="N8" s="478">
        <f>industrie!N18</f>
        <v>716.51054231763885</v>
      </c>
      <c r="O8" s="478">
        <f>industrie!O18</f>
        <v>0</v>
      </c>
      <c r="P8" s="479">
        <f>industrie!P18</f>
        <v>0</v>
      </c>
      <c r="Q8" s="477">
        <f t="shared" si="0"/>
        <v>6985.4058571655833</v>
      </c>
    </row>
    <row r="9" spans="1:17" s="483" customFormat="1">
      <c r="A9" s="481" t="s">
        <v>571</v>
      </c>
      <c r="B9" s="482">
        <f>transport!B14</f>
        <v>20.97513301291281</v>
      </c>
      <c r="C9" s="482">
        <f>transport!C14</f>
        <v>0</v>
      </c>
      <c r="D9" s="482">
        <f>transport!D14</f>
        <v>58.597185554271945</v>
      </c>
      <c r="E9" s="482">
        <f>transport!E14</f>
        <v>369.90606920112242</v>
      </c>
      <c r="F9" s="482">
        <f>transport!F14</f>
        <v>0</v>
      </c>
      <c r="G9" s="482">
        <f>transport!G14</f>
        <v>117565.70611904036</v>
      </c>
      <c r="H9" s="482">
        <f>transport!H14</f>
        <v>22064.858702821217</v>
      </c>
      <c r="I9" s="482">
        <f>transport!I14</f>
        <v>0</v>
      </c>
      <c r="J9" s="482">
        <f>transport!J14</f>
        <v>0</v>
      </c>
      <c r="K9" s="482">
        <f>transport!K14</f>
        <v>0</v>
      </c>
      <c r="L9" s="482">
        <f>transport!L14</f>
        <v>0</v>
      </c>
      <c r="M9" s="482">
        <f>transport!M14</f>
        <v>7479.8790044363122</v>
      </c>
      <c r="N9" s="482">
        <f>transport!N14</f>
        <v>0</v>
      </c>
      <c r="O9" s="482">
        <f>transport!O14</f>
        <v>0</v>
      </c>
      <c r="P9" s="482">
        <f>transport!P14</f>
        <v>0</v>
      </c>
      <c r="Q9" s="481">
        <f>SUM(B9:P9)</f>
        <v>147559.9222140662</v>
      </c>
    </row>
    <row r="10" spans="1:17">
      <c r="A10" s="477" t="s">
        <v>561</v>
      </c>
      <c r="B10" s="478">
        <f>transport!B54</f>
        <v>0</v>
      </c>
      <c r="C10" s="478">
        <f>transport!C54</f>
        <v>0</v>
      </c>
      <c r="D10" s="478">
        <f>transport!D54</f>
        <v>0</v>
      </c>
      <c r="E10" s="478">
        <f>transport!E54</f>
        <v>0</v>
      </c>
      <c r="F10" s="478">
        <f>transport!F54</f>
        <v>0</v>
      </c>
      <c r="G10" s="478">
        <f>transport!G54</f>
        <v>1369.7212567959082</v>
      </c>
      <c r="H10" s="478">
        <f>transport!H54</f>
        <v>0</v>
      </c>
      <c r="I10" s="478">
        <f>transport!I54</f>
        <v>0</v>
      </c>
      <c r="J10" s="478">
        <f>transport!J54</f>
        <v>0</v>
      </c>
      <c r="K10" s="478">
        <f>transport!K54</f>
        <v>0</v>
      </c>
      <c r="L10" s="478">
        <f>transport!L54</f>
        <v>0</v>
      </c>
      <c r="M10" s="478">
        <f>transport!M54</f>
        <v>78.111210321908729</v>
      </c>
      <c r="N10" s="478">
        <f>transport!N54</f>
        <v>0</v>
      </c>
      <c r="O10" s="478">
        <f>transport!O54</f>
        <v>0</v>
      </c>
      <c r="P10" s="479">
        <f>transport!P54</f>
        <v>0</v>
      </c>
      <c r="Q10" s="477">
        <f t="shared" si="0"/>
        <v>1447.8324671178168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738.07869999999991</v>
      </c>
      <c r="C14" s="485"/>
      <c r="D14" s="485">
        <f>'SEAP template'!E25</f>
        <v>1299.5078956196101</v>
      </c>
      <c r="E14" s="485"/>
      <c r="F14" s="485"/>
      <c r="G14" s="485"/>
      <c r="H14" s="485"/>
      <c r="I14" s="485"/>
      <c r="J14" s="485"/>
      <c r="K14" s="485"/>
      <c r="L14" s="485"/>
      <c r="M14" s="485"/>
      <c r="N14" s="485"/>
      <c r="O14" s="485"/>
      <c r="P14" s="486"/>
      <c r="Q14" s="477">
        <f t="shared" si="0"/>
        <v>2037.5865956196099</v>
      </c>
    </row>
    <row r="15" spans="1:17" s="487" customFormat="1">
      <c r="A15" s="1051" t="s">
        <v>565</v>
      </c>
      <c r="B15" s="991">
        <f ca="1">SUM(B4:B14)</f>
        <v>41998.687764791372</v>
      </c>
      <c r="C15" s="991">
        <f t="shared" ref="C15:Q15" ca="1" si="1">SUM(C4:C14)</f>
        <v>0</v>
      </c>
      <c r="D15" s="991">
        <f t="shared" ca="1" si="1"/>
        <v>55398.273990882881</v>
      </c>
      <c r="E15" s="991">
        <f t="shared" si="1"/>
        <v>6172.011297295262</v>
      </c>
      <c r="F15" s="991">
        <f t="shared" ca="1" si="1"/>
        <v>25075.972599992241</v>
      </c>
      <c r="G15" s="991">
        <f t="shared" si="1"/>
        <v>118935.42737583627</v>
      </c>
      <c r="H15" s="991">
        <f t="shared" si="1"/>
        <v>22064.858702821217</v>
      </c>
      <c r="I15" s="991">
        <f t="shared" si="1"/>
        <v>0</v>
      </c>
      <c r="J15" s="991">
        <f t="shared" si="1"/>
        <v>1922.4048432905686</v>
      </c>
      <c r="K15" s="991">
        <f t="shared" si="1"/>
        <v>0</v>
      </c>
      <c r="L15" s="991">
        <f t="shared" ca="1" si="1"/>
        <v>0</v>
      </c>
      <c r="M15" s="991">
        <f t="shared" si="1"/>
        <v>7557.9902147582206</v>
      </c>
      <c r="N15" s="991">
        <f t="shared" ca="1" si="1"/>
        <v>13956.343476002341</v>
      </c>
      <c r="O15" s="991">
        <f t="shared" si="1"/>
        <v>162.58666666666667</v>
      </c>
      <c r="P15" s="991">
        <f t="shared" si="1"/>
        <v>514.79999999999995</v>
      </c>
      <c r="Q15" s="991">
        <f t="shared" ca="1" si="1"/>
        <v>293759.35693233705</v>
      </c>
    </row>
    <row r="17" spans="1:17">
      <c r="A17" s="488" t="s">
        <v>566</v>
      </c>
      <c r="B17" s="787">
        <f ca="1">huishoudens!B10</f>
        <v>0.20495220525887153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4551.981170568396</v>
      </c>
      <c r="C22" s="478">
        <f t="shared" ref="C22:C32" ca="1" si="3">C4*$C$17</f>
        <v>0</v>
      </c>
      <c r="D22" s="478">
        <f t="shared" ref="D22:D32" si="4">D4*$D$17</f>
        <v>7628.00662677743</v>
      </c>
      <c r="E22" s="478">
        <f t="shared" ref="E22:E32" si="5">E4*$E$17</f>
        <v>1175.7652350410146</v>
      </c>
      <c r="F22" s="478">
        <f t="shared" ref="F22:F32" si="6">F4*$F$17</f>
        <v>3501.882211709737</v>
      </c>
      <c r="G22" s="478">
        <f t="shared" ref="G22:G32" si="7">G4*$G$17</f>
        <v>0</v>
      </c>
      <c r="H22" s="478">
        <f t="shared" ref="H22:H32" si="8">H4*$H$17</f>
        <v>0</v>
      </c>
      <c r="I22" s="478">
        <f t="shared" ref="I22:I32" si="9">I4*$I$17</f>
        <v>0</v>
      </c>
      <c r="J22" s="478">
        <f t="shared" ref="J22:J32" si="10">J4*$J$17</f>
        <v>500.55734337457176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17358.192587471149</v>
      </c>
    </row>
    <row r="23" spans="1:17">
      <c r="A23" s="477" t="s">
        <v>156</v>
      </c>
      <c r="B23" s="478">
        <f t="shared" ca="1" si="2"/>
        <v>2528.4684440046258</v>
      </c>
      <c r="C23" s="478">
        <f t="shared" ca="1" si="3"/>
        <v>0</v>
      </c>
      <c r="D23" s="478">
        <f t="shared" ca="1" si="4"/>
        <v>2701.7377608308079</v>
      </c>
      <c r="E23" s="478">
        <f t="shared" si="5"/>
        <v>40.398277510723084</v>
      </c>
      <c r="F23" s="478">
        <f t="shared" ca="1" si="6"/>
        <v>515.64600881453487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5786.250491160692</v>
      </c>
    </row>
    <row r="24" spans="1:17">
      <c r="A24" s="477" t="s">
        <v>194</v>
      </c>
      <c r="B24" s="478">
        <f t="shared" ca="1" si="2"/>
        <v>178.83944973904397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178.83944973904397</v>
      </c>
    </row>
    <row r="25" spans="1:17">
      <c r="A25" s="477" t="s">
        <v>112</v>
      </c>
      <c r="B25" s="478">
        <f t="shared" ca="1" si="2"/>
        <v>667.21600159674495</v>
      </c>
      <c r="C25" s="478">
        <f t="shared" ca="1" si="3"/>
        <v>0</v>
      </c>
      <c r="D25" s="478">
        <f t="shared" si="4"/>
        <v>281.11690070526424</v>
      </c>
      <c r="E25" s="478">
        <f t="shared" si="5"/>
        <v>6.8448530740341686</v>
      </c>
      <c r="F25" s="478">
        <f t="shared" si="6"/>
        <v>2205.3534104742553</v>
      </c>
      <c r="G25" s="478">
        <f t="shared" si="7"/>
        <v>0</v>
      </c>
      <c r="H25" s="478">
        <f t="shared" si="8"/>
        <v>0</v>
      </c>
      <c r="I25" s="478">
        <f t="shared" si="9"/>
        <v>0</v>
      </c>
      <c r="J25" s="478">
        <f t="shared" si="10"/>
        <v>176.68142340811829</v>
      </c>
      <c r="K25" s="478">
        <f t="shared" si="11"/>
        <v>0</v>
      </c>
      <c r="L25" s="478">
        <f t="shared" si="12"/>
        <v>0</v>
      </c>
      <c r="M25" s="478">
        <f t="shared" si="13"/>
        <v>0</v>
      </c>
      <c r="N25" s="478">
        <f t="shared" si="14"/>
        <v>0</v>
      </c>
      <c r="O25" s="478">
        <f t="shared" si="15"/>
        <v>0</v>
      </c>
      <c r="P25" s="479">
        <f t="shared" si="16"/>
        <v>0</v>
      </c>
      <c r="Q25" s="477">
        <f t="shared" ca="1" si="17"/>
        <v>3337.2125892584172</v>
      </c>
    </row>
    <row r="26" spans="1:17">
      <c r="A26" s="477" t="s">
        <v>650</v>
      </c>
      <c r="B26" s="478">
        <f t="shared" ca="1" si="2"/>
        <v>525.64885247777136</v>
      </c>
      <c r="C26" s="478">
        <f t="shared" ca="1" si="3"/>
        <v>0</v>
      </c>
      <c r="D26" s="478">
        <f t="shared" si="4"/>
        <v>305.25283144771549</v>
      </c>
      <c r="E26" s="478">
        <f t="shared" si="5"/>
        <v>94.069521151597797</v>
      </c>
      <c r="F26" s="478">
        <f t="shared" si="6"/>
        <v>472.40305319940074</v>
      </c>
      <c r="G26" s="478">
        <f t="shared" si="7"/>
        <v>0</v>
      </c>
      <c r="H26" s="478">
        <f t="shared" si="8"/>
        <v>0</v>
      </c>
      <c r="I26" s="478">
        <f t="shared" si="9"/>
        <v>0</v>
      </c>
      <c r="J26" s="478">
        <f t="shared" si="10"/>
        <v>3.2925477421711906</v>
      </c>
      <c r="K26" s="478">
        <f t="shared" si="11"/>
        <v>0</v>
      </c>
      <c r="L26" s="478">
        <f t="shared" si="12"/>
        <v>0</v>
      </c>
      <c r="M26" s="478">
        <f t="shared" si="13"/>
        <v>0</v>
      </c>
      <c r="N26" s="478">
        <f t="shared" si="14"/>
        <v>0</v>
      </c>
      <c r="O26" s="478">
        <f t="shared" si="15"/>
        <v>0</v>
      </c>
      <c r="P26" s="479">
        <f t="shared" si="16"/>
        <v>0</v>
      </c>
      <c r="Q26" s="477">
        <f t="shared" ca="1" si="17"/>
        <v>1400.6668060186564</v>
      </c>
    </row>
    <row r="27" spans="1:17" s="483" customFormat="1">
      <c r="A27" s="481" t="s">
        <v>571</v>
      </c>
      <c r="B27" s="781">
        <f t="shared" ca="1" si="2"/>
        <v>4.2988997665946389</v>
      </c>
      <c r="C27" s="482">
        <f t="shared" ca="1" si="3"/>
        <v>0</v>
      </c>
      <c r="D27" s="482">
        <f t="shared" si="4"/>
        <v>11.836631481962934</v>
      </c>
      <c r="E27" s="482">
        <f t="shared" si="5"/>
        <v>83.968677708654795</v>
      </c>
      <c r="F27" s="482">
        <f t="shared" si="6"/>
        <v>0</v>
      </c>
      <c r="G27" s="482">
        <f t="shared" si="7"/>
        <v>31390.043533783777</v>
      </c>
      <c r="H27" s="482">
        <f t="shared" si="8"/>
        <v>5494.1498170024834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36984.297559743471</v>
      </c>
    </row>
    <row r="28" spans="1:17">
      <c r="A28" s="477" t="s">
        <v>561</v>
      </c>
      <c r="B28" s="478">
        <f t="shared" ca="1" si="2"/>
        <v>0</v>
      </c>
      <c r="C28" s="478">
        <f t="shared" ca="1" si="3"/>
        <v>0</v>
      </c>
      <c r="D28" s="478">
        <f t="shared" si="4"/>
        <v>0</v>
      </c>
      <c r="E28" s="478">
        <f t="shared" si="5"/>
        <v>0</v>
      </c>
      <c r="F28" s="478">
        <f t="shared" si="6"/>
        <v>0</v>
      </c>
      <c r="G28" s="478">
        <f t="shared" si="7"/>
        <v>365.7155755645075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365.7155755645075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151.27085721960106</v>
      </c>
      <c r="C32" s="478">
        <f t="shared" ca="1" si="3"/>
        <v>0</v>
      </c>
      <c r="D32" s="478">
        <f t="shared" si="4"/>
        <v>262.50059491516123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413.77145213476228</v>
      </c>
    </row>
    <row r="33" spans="1:17" s="487" customFormat="1">
      <c r="A33" s="1051" t="s">
        <v>565</v>
      </c>
      <c r="B33" s="991">
        <f ca="1">SUM(B22:B32)</f>
        <v>8607.7236753727757</v>
      </c>
      <c r="C33" s="991">
        <f t="shared" ref="C33:Q33" ca="1" si="18">SUM(C22:C32)</f>
        <v>0</v>
      </c>
      <c r="D33" s="991">
        <f t="shared" ca="1" si="18"/>
        <v>11190.451346158343</v>
      </c>
      <c r="E33" s="991">
        <f t="shared" si="18"/>
        <v>1401.0465644860244</v>
      </c>
      <c r="F33" s="991">
        <f t="shared" ca="1" si="18"/>
        <v>6695.2846841979272</v>
      </c>
      <c r="G33" s="991">
        <f t="shared" si="18"/>
        <v>31755.759109348284</v>
      </c>
      <c r="H33" s="991">
        <f t="shared" si="18"/>
        <v>5494.1498170024834</v>
      </c>
      <c r="I33" s="991">
        <f t="shared" si="18"/>
        <v>0</v>
      </c>
      <c r="J33" s="991">
        <f t="shared" si="18"/>
        <v>680.53131452486127</v>
      </c>
      <c r="K33" s="991">
        <f t="shared" si="18"/>
        <v>0</v>
      </c>
      <c r="L33" s="991">
        <f t="shared" ca="1" si="18"/>
        <v>0</v>
      </c>
      <c r="M33" s="991">
        <f t="shared" si="18"/>
        <v>0</v>
      </c>
      <c r="N33" s="991">
        <f t="shared" ca="1" si="18"/>
        <v>0</v>
      </c>
      <c r="O33" s="991">
        <f t="shared" si="18"/>
        <v>0</v>
      </c>
      <c r="P33" s="991">
        <f t="shared" si="18"/>
        <v>0</v>
      </c>
      <c r="Q33" s="991">
        <f t="shared" ca="1" si="18"/>
        <v>65824.946511090704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3049.7118581272221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3049.7118581272221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0.20495220525887153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0.20495220525887153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2019-08-12T08:08:18Z</dcterms:modified>
</cp:coreProperties>
</file>