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<sst xmlns="http://schemas.openxmlformats.org/spreadsheetml/2006/main" count="2419" uniqueCount="907">
  <si>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</si>
  <si>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</si>
  <si>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</si>
  <si>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</si>
  <si>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</si>
  <si>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</si>
  <si>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</si>
  <si>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</si>
  <si>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</si>
  <si>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</si>
  <si>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</si>
  <si>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</si>
  <si>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</si>
  <si>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</si>
  <si>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</si>
  <si>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</si>
  <si>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</si>
  <si>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</si>
  <si>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</si>
  <si>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</si>
  <si>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</si>
  <si>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</si>
  <si>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</si>
  <si>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</si>
  <si>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</si>
  <si>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</si>
  <si>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</si>
  <si>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</si>
  <si>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</si>
  <si>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</si>
  <si>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</si>
  <si>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</si>
  <si>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</si>
  <si>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</si>
  <si>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</si>
  <si>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</si>
  <si>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</si>
  <si>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</si>
  <si>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</si>
  <si>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</si>
  <si>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</si>
  <si>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</si>
  <si>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</si>
  <si>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</si>
  <si>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</si>
  <si>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</si>
  <si>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</si>
  <si>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</si>
  <si>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</si>
  <si>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</si>
  <si>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</si>
  <si>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</si>
  <si>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</si>
  <si>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</si>
  <si>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</si>
  <si>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</si>
  <si>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</si>
  <si>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</si>
  <si>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</si>
  <si>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</si>
  <si>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</si>
  <si>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</si>
  <si>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</si>
  <si>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</si>
  <si>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</si>
  <si>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</si>
  <si>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</si>
  <si>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</si>
  <si>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</si>
  <si>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</si>
  <si>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</si>
  <si>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</si>
  <si>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</si>
  <si>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</si>
  <si>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</si>
  <si>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</si>
  <si>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</si>
  <si>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</si>
  <si>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</si>
  <si>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</si>
  <si>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</si>
  <si>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</si>
  <si>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</si>
  <si>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</si>
  <si>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</si>
  <si>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</si>
  <si>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</si>
  <si>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</si>
  <si>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</si>
  <si>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</si>
  <si>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</si>
  <si>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</si>
  <si>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</si>
  <si>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</si>
  <si>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</si>
  <si>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</si>
  <si>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</si>
  <si>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</si>
  <si>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</si>
  <si>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</si>
  <si>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</si>
  <si>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</si>
  <si>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</si>
  <si>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</si>
  <si>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</si>
  <si>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</si>
  <si>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</si>
  <si>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</si>
  <si>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</si>
  <si>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</si>
  <si>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</si>
  <si>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</si>
  <si>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</si>
  <si>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</si>
  <si>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</si>
  <si>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</si>
  <si>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</si>
  <si>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</si>
  <si>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</si>
  <si>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</si>
  <si>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</si>
  <si>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</si>
  <si>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</si>
  <si>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</si>
  <si>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</si>
  <si>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</si>
  <si>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</si>
  <si>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</si>
  <si>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</si>
  <si>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</si>
  <si>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</si>
  <si>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</si>
  <si>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</si>
  <si>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</si>
  <si>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</si>
  <si>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</si>
  <si>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</si>
  <si>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</si>
  <si>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</si>
  <si>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</si>
  <si>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</si>
  <si>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</si>
  <si>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</si>
  <si>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</si>
  <si>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</si>
  <si>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</si>
  <si>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</si>
  <si>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</si>
  <si>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</si>
  <si>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</si>
  <si>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</si>
  <si>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</si>
  <si>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</si>
  <si>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</si>
  <si>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</si>
  <si>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</si>
  <si>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</si>
  <si>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</si>
  <si>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</si>
  <si>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</si>
  <si>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</si>
  <si>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</si>
  <si>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</si>
  <si>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</si>
  <si>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</si>
  <si>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</si>
  <si>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</si>
  <si>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</si>
  <si>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</si>
  <si>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</si>
  <si>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</si>
  <si>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</si>
  <si>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</si>
  <si>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</si>
  <si>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</si>
  <si>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</si>
  <si>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</si>
  <si>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</si>
  <si>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</si>
  <si>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</si>
  <si>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</si>
  <si>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</si>
  <si>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</si>
  <si>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</si>
  <si>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</si>
  <si>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</si>
  <si>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</si>
  <si>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</si>
  <si>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</si>
  <si>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</si>
  <si>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</si>
  <si>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</si>
  <si>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</si>
  <si>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</si>
  <si>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</si>
  <si>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</si>
  <si>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</si>
  <si>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</si>
  <si>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</si>
  <si>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</si>
  <si>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</si>
  <si>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</si>
  <si>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</si>
  <si>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</si>
  <si>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</si>
  <si>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</si>
  <si>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</si>
  <si>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</si>
  <si>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</si>
  <si>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</si>
  <si>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</si>
  <si>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</si>
  <si>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</si>
  <si>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</si>
  <si>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</si>
  <si>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</si>
  <si>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</si>
  <si>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</si>
  <si>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</si>
  <si>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</si>
  <si>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</si>
  <si>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</si>
  <si>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</si>
  <si>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</si>
  <si>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</si>
  <si>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</si>
  <si>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</si>
  <si>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</si>
  <si>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</si>
  <si>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</si>
  <si>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</si>
  <si>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</si>
  <si>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</si>
  <si>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</si>
  <si>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</si>
  <si>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</si>
  <si>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</si>
  <si>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</si>
  <si>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</si>
  <si>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</si>
  <si>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</si>
  <si>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</si>
  <si>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</si>
  <si>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</si>
  <si>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</si>
  <si>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</si>
  <si>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</si>
  <si>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</si>
  <si>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</si>
  <si>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</si>
  <si>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</si>
  <si>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</si>
  <si>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</si>
  <si>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</si>
  <si>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</si>
  <si>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</si>
  <si>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</si>
  <si>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</si>
  <si>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</si>
  <si>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</si>
  <si>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</si>
  <si>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</si>
  <si>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</si>
  <si>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</si>
  <si>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</si>
  <si>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</si>
  <si>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</si>
  <si>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</si>
  <si>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</si>
  <si>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</si>
  <si>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</si>
  <si>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</si>
  <si>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</si>
  <si>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</si>
  <si>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</si>
  <si>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</si>
  <si>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</si>
  <si>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</si>
  <si>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</si>
  <si>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</si>
  <si>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</si>
  <si>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</si>
  <si>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</si>
  <si>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</si>
  <si>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</si>
  <si>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</si>
  <si>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</si>
  <si>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</si>
  <si>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</si>
  <si>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</si>
  <si>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</si>
  <si>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</si>
  <si>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</si>
  <si>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</si>
  <si>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</si>
  <si>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</si>
  <si>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</si>
  <si>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</si>
  <si>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</si>
  <si>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</si>
  <si>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</si>
  <si>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</si>
  <si>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</si>
  <si>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</si>
  <si>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</si>
  <si>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</si>
  <si>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</si>
  <si>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</si>
  <si>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</si>
  <si>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</si>
  <si>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</si>
  <si>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</si>
  <si>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</si>
  <si>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</si>
  <si>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</si>
  <si>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</si>
  <si>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</si>
  <si>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</si>
  <si>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</si>
  <si>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</si>
  <si>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</si>
  <si>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</si>
  <si>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</si>
  <si>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</si>
  <si>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</si>
  <si>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</si>
  <si>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</si>
  <si>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</si>
  <si>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</si>
  <si>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</si>
  <si>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</si>
  <si>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</si>
  <si>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</si>
  <si>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</si>
  <si>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</si>
  <si>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</si>
  <si>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</si>
  <si>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</si>
  <si>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</si>
  <si>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</si>
  <si>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</si>
  <si>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</si>
  <si>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</si>
  <si>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</si>
  <si>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</si>
  <si>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</si>
  <si>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</si>
  <si>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</si>
  <si>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</si>
  <si>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</si>
  <si>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</si>
  <si>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</si>
  <si>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</si>
  <si>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</si>
  <si>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</si>
  <si>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</si>
  <si>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</si>
  <si>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</si>
  <si>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</si>
  <si>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</si>
  <si>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</si>
  <si>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</si>
  <si>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</si>
  <si>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</si>
  <si>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</si>
  <si>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</si>
  <si>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</si>
  <si>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</si>
  <si>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</si>
  <si>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</si>
  <si>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</si>
  <si>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</si>
  <si>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</si>
  <si>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</si>
  <si>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</si>
  <si>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</si>
  <si>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</si>
  <si>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</si>
  <si>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</si>
  <si>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</si>
  <si>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</si>
  <si>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</si>
  <si>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</si>
  <si>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</si>
  <si>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</si>
  <si>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</si>
  <si>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</si>
  <si>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</si>
  <si>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</si>
  <si>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</si>
  <si>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</si>
  <si>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</si>
  <si>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</si>
  <si>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</si>
  <si>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</si>
  <si>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</si>
  <si>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</si>
  <si>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</si>
  <si>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</si>
  <si>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</si>
  <si>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</si>
  <si>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</si>
  <si>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</si>
  <si>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</si>
  <si>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</si>
  <si>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</si>
  <si>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</si>
  <si>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</si>
  <si>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</si>
  <si>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</si>
  <si>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</si>
  <si>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</si>
  <si>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</si>
  <si>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</si>
  <si>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</si>
  <si>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</si>
  <si>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</si>
  <si>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</si>
  <si>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</si>
  <si>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</si>
  <si>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</si>
  <si>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</si>
  <si>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</si>
  <si>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</si>
  <si>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</si>
  <si>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</si>
  <si>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</si>
  <si>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</si>
  <si>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</si>
  <si>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</si>
  <si>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</si>
  <si>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</si>
  <si>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</si>
  <si>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</si>
  <si>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</si>
  <si>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</si>
  <si>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</si>
  <si>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</si>
  <si>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</si>
  <si>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</si>
  <si>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</si>
  <si>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</si>
  <si>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</si>
  <si>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</si>
  <si>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</si>
  <si>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</si>
  <si>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</si>
  <si>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</si>
  <si>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</si>
  <si>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</si>
  <si>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</si>
  <si>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</si>
  <si>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</si>
  <si>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</si>
  <si>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</si>
  <si>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</si>
  <si>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</si>
  <si>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</si>
  <si>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</si>
  <si>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</si>
  <si>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</si>
  <si>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</si>
  <si>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</si>
  <si>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</si>
  <si>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</si>
  <si>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</si>
  <si>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</si>
  <si>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</si>
  <si>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</si>
  <si>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</si>
  <si>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</si>
  <si>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</si>
  <si>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</si>
  <si>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</si>
  <si>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</si>
  <si>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</si>
  <si>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</si>
  <si>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</si>
  <si>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</si>
  <si>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</si>
  <si>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</si>
  <si>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</si>
  <si>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</si>
  <si>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</si>
  <si>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</si>
  <si>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</si>
  <si>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</si>
  <si>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</si>
  <si>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</si>
  <si>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</si>
  <si>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</si>
  <si>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</si>
  <si>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</si>
  <si>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</si>
  <si>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</si>
  <si>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</si>
  <si>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</si>
  <si>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</si>
  <si>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</si>
  <si>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</si>
  <si>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</si>
  <si>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</si>
  <si>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</si>
  <si>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</si>
  <si>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</si>
  <si>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</si>
  <si>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</si>
  <si>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</si>
  <si>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</si>
  <si>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</si>
  <si>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</si>
  <si>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</si>
  <si>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</si>
  <si>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</si>
  <si>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</si>
  <si>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</si>
  <si>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</si>
  <si>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</si>
  <si>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</si>
  <si>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</si>
  <si>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</si>
  <si>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</si>
  <si>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</si>
  <si>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</si>
  <si>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</si>
  <si>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</si>
  <si>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</si>
  <si>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</si>
  <si>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</si>
  <si>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</si>
  <si>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</si>
  <si>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</si>
  <si>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</si>
  <si>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</si>
  <si>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</si>
  <si>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</si>
  <si>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</si>
  <si>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</si>
  <si>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</si>
  <si>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</si>
  <si>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</si>
  <si>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</si>
  <si>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</si>
  <si>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</si>
  <si>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</si>
  <si>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</si>
  <si>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</si>
  <si>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</si>
  <si>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</si>
  <si>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</si>
  <si>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</si>
  <si>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</si>
  <si>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</si>
  <si>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</si>
  <si>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</si>
  <si>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</si>
  <si>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</si>
  <si>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</si>
  <si>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</si>
  <si>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</si>
  <si>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</si>
  <si>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</si>
  <si>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</si>
  <si>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</si>
  <si>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</si>
  <si>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</si>
  <si>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</si>
  <si>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</si>
  <si>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</si>
  <si>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</si>
  <si>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</si>
  <si>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</si>
  <si>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</si>
  <si>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</si>
  <si>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</si>
  <si>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</si>
  <si>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</si>
  <si>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</si>
  <si>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</si>
  <si>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</si>
  <si>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</si>
  <si>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</si>
  <si>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</si>
  <si>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</si>
  <si>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</si>
  <si>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</si>
  <si>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</si>
  <si>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</si>
  <si>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</si>
  <si>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</si>
  <si>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</si>
  <si>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</si>
  <si>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</si>
  <si>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</si>
  <si>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</si>
  <si>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</si>
  <si>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</si>
  <si>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</si>
  <si>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</si>
  <si>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</si>
  <si>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</si>
  <si>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</si>
  <si>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</si>
  <si>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</si>
  <si>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</si>
  <si>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</si>
  <si>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</si>
  <si>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</si>
  <si>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</si>
  <si>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</si>
  <si>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</si>
  <si>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</si>
  <si>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</si>
  <si>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</si>
  <si>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</si>
  <si>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</si>
  <si>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</si>
  <si>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</si>
  <si>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</si>
  <si>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</si>
  <si>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</si>
  <si>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</si>
  <si>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</si>
  <si>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</si>
  <si>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</si>
  <si>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</si>
  <si>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</si>
  <si>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</si>
  <si>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</si>
  <si>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</si>
  <si>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</si>
  <si>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</si>
  <si>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</si>
  <si>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</si>
  <si>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</si>
  <si>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</si>
  <si>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</si>
  <si>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</si>
  <si>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</si>
  <si>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</si>
  <si>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</si>
  <si>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</si>
  <si>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</si>
  <si>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</si>
  <si>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</si>
  <si>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</si>
  <si>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</si>
  <si>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</si>
  <si>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</si>
  <si>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</si>
  <si>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</si>
  <si>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</si>
  <si>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</si>
  <si>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</si>
  <si>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</si>
  <si>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</si>
  <si>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</si>
  <si>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</si>
  <si>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</si>
  <si>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</si>
  <si>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</si>
  <si>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</si>
  <si>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</si>
  <si>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</si>
  <si>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</si>
  <si>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</si>
  <si>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</si>
  <si>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</si>
  <si>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</si>
  <si>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</si>
  <si>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</si>
  <si>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</si>
  <si>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</si>
  <si>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</si>
  <si>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</si>
  <si>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</si>
  <si>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</si>
  <si>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</si>
  <si>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</si>
  <si>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</si>
  <si>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</si>
  <si>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</si>
  <si>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</si>
  <si>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</si>
  <si>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</si>
  <si>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</si>
  <si>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</si>
  <si>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</si>
  <si>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</si>
  <si>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</si>
  <si>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</si>
  <si>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</si>
  <si>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</si>
  <si>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</si>
  <si>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</si>
  <si>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</si>
  <si>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</si>
  <si>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</si>
  <si>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</si>
  <si>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</si>
  <si>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</si>
  <si>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</si>
  <si>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</si>
  <si>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</si>
  <si>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</si>
  <si>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</si>
  <si>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</si>
  <si>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</si>
  <si>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</si>
  <si>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</si>
  <si>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</si>
  <si>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</si>
  <si>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</si>
  <si>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</si>
  <si>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</si>
  <si>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</si>
  <si>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</si>
  <si>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</si>
  <si>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</si>
  <si>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</si>
  <si>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</si>
  <si>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</si>
  <si>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</si>
  <si>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</si>
  <si>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</si>
  <si>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</si>
  <si>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</si>
  <si>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</si>
  <si>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</si>
  <si>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</si>
  <si>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</si>
  <si>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</si>
  <si>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</si>
  <si>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</si>
  <si>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</si>
  <si>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</si>
  <si>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</si>
  <si>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</si>
  <si>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</si>
  <si>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</si>
  <si>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</si>
  <si>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</si>
  <si>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</si>
  <si>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</si>
  <si>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</si>
  <si>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</si>
  <si>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</si>
  <si>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</si>
  <si>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</si>
  <si>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</si>
  <si>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</si>
  <si>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</si>
  <si>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</si>
  <si>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</si>
  <si>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</si>
  <si>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</si>
  <si>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</si>
  <si>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</si>
  <si>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</si>
  <si>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</si>
  <si>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</si>
  <si>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</si>
  <si>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</si>
  <si>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</si>
  <si>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</si>
  <si>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</si>
  <si>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</si>
  <si>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</si>
  <si>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</si>
  <si>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</si>
  <si>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</si>
  <si>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</si>
  <si>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</si>
  <si>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</si>
  <si>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</si>
  <si>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</si>
  <si>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</si>
  <si>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</si>
  <si>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</si>
  <si>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</si>
  <si>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</si>
  <si>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</si>
  <si>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</si>
  <si>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</si>
  <si>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</si>
  <si>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</si>
  <si>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</si>
  <si>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</si>
  <si>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</si>
  <si>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</si>
  <si>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</si>
  <si>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</si>
  <si>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</si>
  <si>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</si>
  <si>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</si>
  <si>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</si>
  <si>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</si>
  <si>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</si>
  <si>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</si>
  <si>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</si>
  <si>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</si>
  <si>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</si>
  <si>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</si>
  <si>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</si>
  <si>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</si>
  <si>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</si>
  <si>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</si>
  <si>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</si>
  <si>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</si>
  <si>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</si>
  <si>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</si>
  <si>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</si>
  <si>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</si>
  <si>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</si>
  <si>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</si>
  <si>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</si>
  <si>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</si>
  <si>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</si>
  <si>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</si>
  <si>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</si>
  <si>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</si>
  <si>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</si>
  <si>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</si>
  <si>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</si>
  <si>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</si>
  <si>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</si>
  <si>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</si>
  <si>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</si>
  <si>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</si>
  <si>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</si>
  <si>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</si>
  <si>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</si>
  <si>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</si>
  <si>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</si>
  <si>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</si>
  <si>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</si>
  <si>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</si>
  <si>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</si>
  <si>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</si>
  <si>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</si>
  <si>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</si>
  <si>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</si>
  <si>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</si>
  <si>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</si>
  <si>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</si>
  <si>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</si>
  <si>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</si>
  <si>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</si>
  <si>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</si>
  <si>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</si>
  <si>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</si>
  <si>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</si>
  <si>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</si>
  <si>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</si>
  <si>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</si>
  <si>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</si>
  <si>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</si>
  <si>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</si>
  <si>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</si>
  <si>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</si>
  <si>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</si>
  <si>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</si>
  <si>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</si>
  <si>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</si>
  <si>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</si>
  <si>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</si>
  <si>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</si>
  <si>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</si>
  <si>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</si>
  <si>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</si>
  <si>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</si>
  <si>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</si>
  <si>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</si>
  <si>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</si>
  <si>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</si>
  <si>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</si>
  <si>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</si>
  <si>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</si>
  <si>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</si>
  <si>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</si>
  <si>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</si>
  <si>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</si>
  <si>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</si>
  <si>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</si>
  <si>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</si>
  <si>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</si>
  <si>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</si>
  <si>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</si>
  <si>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</si>
  <si>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</si>
  <si>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</si>
  <si>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</si>
  <si>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</si>
  <si>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</si>
  <si>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</si>
  <si>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</si>
  <si>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</si>
  <si>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</si>
  <si>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</si>
  <si>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31004</t>
  </si>
  <si>
    <t>BLANKENBERGE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</si>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</sst>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130466.59727476994</c:v>
                </c:pt>
                <c:pt idx="1">
                  <c:v>110669.58953222646</c:v>
                </c:pt>
                <c:pt idx="2">
                  <c:v>1801.3209999999999</c:v>
                </c:pt>
                <c:pt idx="3">
                  <c:v>1660.8478568338624</c:v>
                </c:pt>
                <c:pt idx="4">
                  <c:v>7131.4037848335793</c:v>
                </c:pt>
                <c:pt idx="5">
                  <c:v>29251.849439917154</c:v>
                </c:pt>
                <c:pt idx="6">
                  <c:v>1157.6250963860321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55296"/>
        <c:axId val="182056832"/>
      </c:barChart>
      <c:catAx>
        <c:axId val="182055296"/>
        <c:scaling>
          <c:orientation val="minMax"/>
        </c:scaling>
        <c:axPos val="b"/>
        <c:numFmt formatCode="General" sourceLinked="0"/>
        <c:tickLblPos val="nextTo"/>
        <c:crossAx val="182056832"/>
        <c:crosses val="autoZero"/>
        <c:auto val="1"/>
        <c:lblAlgn val="ctr"/>
        <c:lblOffset val="100"/>
      </c:catAx>
      <c:valAx>
        <c:axId val="182056832"/>
        <c:scaling>
          <c:orientation val="minMax"/>
        </c:scaling>
        <c:axPos val="l"/>
        <c:majorGridlines/>
        <c:numFmt formatCode="#,##0" sourceLinked="1"/>
        <c:tickLblPos val="nextTo"/>
        <c:crossAx val="182055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130466.59727476994</c:v>
                </c:pt>
                <c:pt idx="1">
                  <c:v>110669.58953222646</c:v>
                </c:pt>
                <c:pt idx="2">
                  <c:v>1801.3209999999999</c:v>
                </c:pt>
                <c:pt idx="3">
                  <c:v>1660.8478568338624</c:v>
                </c:pt>
                <c:pt idx="4">
                  <c:v>7131.4037848335793</c:v>
                </c:pt>
                <c:pt idx="5">
                  <c:v>29251.849439917154</c:v>
                </c:pt>
                <c:pt idx="6">
                  <c:v>1157.6250963860321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26804.352487442055</c:v>
                </c:pt>
                <c:pt idx="2">
                  <c:v>22487.807868513017</c:v>
                </c:pt>
                <c:pt idx="3">
                  <c:v>386.55079837774366</c:v>
                </c:pt>
                <c:pt idx="4">
                  <c:v>415.21201999615164</c:v>
                </c:pt>
                <c:pt idx="5">
                  <c:v>1461.4854892002736</c:v>
                </c:pt>
                <c:pt idx="6">
                  <c:v>7332.2108946847111</c:v>
                </c:pt>
                <c:pt idx="7">
                  <c:v>261.64327243339625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65184"/>
        <c:axId val="182424320"/>
      </c:barChart>
      <c:catAx>
        <c:axId val="182365184"/>
        <c:scaling>
          <c:orientation val="minMax"/>
        </c:scaling>
        <c:axPos val="b"/>
        <c:numFmt formatCode="General" sourceLinked="0"/>
        <c:tickLblPos val="nextTo"/>
        <c:crossAx val="182424320"/>
        <c:crosses val="autoZero"/>
        <c:auto val="1"/>
        <c:lblAlgn val="ctr"/>
        <c:lblOffset val="100"/>
      </c:catAx>
      <c:valAx>
        <c:axId val="182424320"/>
        <c:scaling>
          <c:orientation val="minMax"/>
        </c:scaling>
        <c:axPos val="l"/>
        <c:majorGridlines/>
        <c:numFmt formatCode="#,##0" sourceLinked="1"/>
        <c:tickLblPos val="nextTo"/>
        <c:crossAx val="182365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26804.352487442055</c:v>
                </c:pt>
                <c:pt idx="2">
                  <c:v>22487.807868513017</c:v>
                </c:pt>
                <c:pt idx="3">
                  <c:v>386.55079837774366</c:v>
                </c:pt>
                <c:pt idx="4">
                  <c:v>415.21201999615164</c:v>
                </c:pt>
                <c:pt idx="5">
                  <c:v>1461.4854892002736</c:v>
                </c:pt>
                <c:pt idx="6">
                  <c:v>7332.2108946847111</c:v>
                </c:pt>
                <c:pt idx="7">
                  <c:v>261.64327243339625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31004</v>
      </c>
      <c r="B6" s="416"/>
      <c r="C6" s="417"/>
    </row>
    <row r="7" spans="1:7" s="414" customFormat="1" ht="15.75" customHeight="1">
      <c r="A7" s="418" t="str">
        <f>txtMunicipality</f>
        <v>BLANKENBERGE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0.21459295615703347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0.21459295615703347</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10132</v>
      </c>
      <c r="C9" s="342">
        <v>10266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1029</v>
      </c>
    </row>
    <row r="15" spans="1:6">
      <c r="A15" s="348" t="s">
        <v>184</v>
      </c>
      <c r="B15" s="334">
        <v>4</v>
      </c>
    </row>
    <row r="16" spans="1:6">
      <c r="A16" s="348" t="s">
        <v>6</v>
      </c>
      <c r="B16" s="334">
        <v>152</v>
      </c>
    </row>
    <row r="17" spans="1:6">
      <c r="A17" s="348" t="s">
        <v>7</v>
      </c>
      <c r="B17" s="334">
        <v>126</v>
      </c>
    </row>
    <row r="18" spans="1:6">
      <c r="A18" s="348" t="s">
        <v>8</v>
      </c>
      <c r="B18" s="334">
        <v>157</v>
      </c>
    </row>
    <row r="19" spans="1:6">
      <c r="A19" s="348" t="s">
        <v>9</v>
      </c>
      <c r="B19" s="334">
        <v>184</v>
      </c>
    </row>
    <row r="20" spans="1:6">
      <c r="A20" s="348" t="s">
        <v>10</v>
      </c>
      <c r="B20" s="334">
        <v>240</v>
      </c>
    </row>
    <row r="21" spans="1:6">
      <c r="A21" s="348" t="s">
        <v>11</v>
      </c>
      <c r="B21" s="334">
        <v>918</v>
      </c>
    </row>
    <row r="22" spans="1:6">
      <c r="A22" s="348" t="s">
        <v>12</v>
      </c>
      <c r="B22" s="334">
        <v>4560</v>
      </c>
    </row>
    <row r="23" spans="1:6">
      <c r="A23" s="348" t="s">
        <v>13</v>
      </c>
      <c r="B23" s="334">
        <v>46</v>
      </c>
    </row>
    <row r="24" spans="1:6">
      <c r="A24" s="348" t="s">
        <v>14</v>
      </c>
      <c r="B24" s="334">
        <v>4</v>
      </c>
    </row>
    <row r="25" spans="1:6">
      <c r="A25" s="348" t="s">
        <v>15</v>
      </c>
      <c r="B25" s="334">
        <v>487</v>
      </c>
    </row>
    <row r="26" spans="1:6">
      <c r="A26" s="348" t="s">
        <v>16</v>
      </c>
      <c r="B26" s="334">
        <v>10</v>
      </c>
    </row>
    <row r="27" spans="1:6">
      <c r="A27" s="348" t="s">
        <v>17</v>
      </c>
      <c r="B27" s="334">
        <v>1</v>
      </c>
    </row>
    <row r="28" spans="1:6" s="356" customFormat="1">
      <c r="A28" s="355" t="s">
        <v>18</v>
      </c>
      <c r="B28" s="355">
        <v>1</v>
      </c>
    </row>
    <row r="29" spans="1:6">
      <c r="A29" s="355" t="s">
        <v>901</v>
      </c>
      <c r="B29" s="355">
        <v>64</v>
      </c>
      <c r="C29" s="356"/>
      <c r="D29" s="356"/>
      <c r="E29" s="356"/>
      <c r="F29" s="356"/>
    </row>
    <row r="30" spans="1:6">
      <c r="A30" s="341" t="s">
        <v>902</v>
      </c>
      <c r="B30" s="341">
        <v>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15504.59</v>
      </c>
    </row>
    <row r="37" spans="1:6">
      <c r="A37" s="348" t="s">
        <v>25</v>
      </c>
      <c r="B37" s="348" t="s">
        <v>28</v>
      </c>
      <c r="C37" s="334">
        <v>0</v>
      </c>
      <c r="D37" s="334">
        <v>0</v>
      </c>
      <c r="E37" s="334">
        <v>0</v>
      </c>
      <c r="F37" s="334">
        <v>0</v>
      </c>
    </row>
    <row r="38" spans="1:6">
      <c r="A38" s="348" t="s">
        <v>25</v>
      </c>
      <c r="B38" s="348" t="s">
        <v>29</v>
      </c>
      <c r="C38" s="334">
        <v>1</v>
      </c>
      <c r="D38" s="334">
        <v>95925.415901517903</v>
      </c>
      <c r="E38" s="334">
        <v>0</v>
      </c>
      <c r="F38" s="334">
        <v>0</v>
      </c>
    </row>
    <row r="39" spans="1:6">
      <c r="A39" s="348" t="s">
        <v>30</v>
      </c>
      <c r="B39" s="348" t="s">
        <v>31</v>
      </c>
      <c r="C39" s="334">
        <v>10125</v>
      </c>
      <c r="D39" s="334">
        <v>101368316.012142</v>
      </c>
      <c r="E39" s="334">
        <v>14886</v>
      </c>
      <c r="F39" s="334">
        <v>36996713</v>
      </c>
    </row>
    <row r="40" spans="1:6">
      <c r="A40" s="348" t="s">
        <v>30</v>
      </c>
      <c r="B40" s="348" t="s">
        <v>29</v>
      </c>
      <c r="C40" s="334">
        <v>0</v>
      </c>
      <c r="D40" s="334">
        <v>0</v>
      </c>
      <c r="E40" s="334">
        <v>1</v>
      </c>
      <c r="F40" s="334">
        <v>2798.3020000000001</v>
      </c>
    </row>
    <row r="41" spans="1:6">
      <c r="A41" s="348" t="s">
        <v>32</v>
      </c>
      <c r="B41" s="348" t="s">
        <v>33</v>
      </c>
      <c r="C41" s="334">
        <v>155</v>
      </c>
      <c r="D41" s="334">
        <v>1551405.0910738001</v>
      </c>
      <c r="E41" s="334">
        <v>269</v>
      </c>
      <c r="F41" s="334">
        <v>1066566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38525.680324295099</v>
      </c>
      <c r="E44" s="334">
        <v>19</v>
      </c>
      <c r="F44" s="334">
        <v>162271.4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13619.8888333494</v>
      </c>
      <c r="E47" s="334">
        <v>6</v>
      </c>
      <c r="F47" s="334">
        <v>62384.98</v>
      </c>
    </row>
    <row r="48" spans="1:6">
      <c r="A48" s="348" t="s">
        <v>32</v>
      </c>
      <c r="B48" s="348" t="s">
        <v>29</v>
      </c>
      <c r="C48" s="334">
        <v>22</v>
      </c>
      <c r="D48" s="334">
        <v>537774.92136259202</v>
      </c>
      <c r="E48" s="334">
        <v>25</v>
      </c>
      <c r="F48" s="334">
        <v>169029.1</v>
      </c>
    </row>
    <row r="49" spans="1:6">
      <c r="A49" s="348" t="s">
        <v>32</v>
      </c>
      <c r="B49" s="348" t="s">
        <v>40</v>
      </c>
      <c r="C49" s="334">
        <v>0</v>
      </c>
      <c r="D49" s="334">
        <v>0</v>
      </c>
      <c r="E49" s="334">
        <v>0</v>
      </c>
      <c r="F49" s="334">
        <v>0</v>
      </c>
    </row>
    <row r="50" spans="1:6">
      <c r="A50" s="348" t="s">
        <v>32</v>
      </c>
      <c r="B50" s="348" t="s">
        <v>41</v>
      </c>
      <c r="C50" s="334">
        <v>10</v>
      </c>
      <c r="D50" s="334">
        <v>389264.46056102199</v>
      </c>
      <c r="E50" s="334">
        <v>21</v>
      </c>
      <c r="F50" s="334">
        <v>505207.7</v>
      </c>
    </row>
    <row r="51" spans="1:6">
      <c r="A51" s="348" t="s">
        <v>42</v>
      </c>
      <c r="B51" s="348" t="s">
        <v>43</v>
      </c>
      <c r="C51" s="334">
        <v>14</v>
      </c>
      <c r="D51" s="334">
        <v>148531.23427305801</v>
      </c>
      <c r="E51" s="334">
        <v>31</v>
      </c>
      <c r="F51" s="334">
        <v>368727.9</v>
      </c>
    </row>
    <row r="52" spans="1:6">
      <c r="A52" s="348" t="s">
        <v>42</v>
      </c>
      <c r="B52" s="348" t="s">
        <v>29</v>
      </c>
      <c r="C52" s="334">
        <v>5</v>
      </c>
      <c r="D52" s="334">
        <v>66296.766913768501</v>
      </c>
      <c r="E52" s="334">
        <v>8</v>
      </c>
      <c r="F52" s="334">
        <v>27803.599999999999</v>
      </c>
    </row>
    <row r="53" spans="1:6">
      <c r="A53" s="348" t="s">
        <v>44</v>
      </c>
      <c r="B53" s="348" t="s">
        <v>45</v>
      </c>
      <c r="C53" s="334">
        <v>998</v>
      </c>
      <c r="D53" s="334">
        <v>9582050.0401874408</v>
      </c>
      <c r="E53" s="334">
        <v>2074</v>
      </c>
      <c r="F53" s="334">
        <v>4869304</v>
      </c>
    </row>
    <row r="54" spans="1:6">
      <c r="A54" s="348" t="s">
        <v>46</v>
      </c>
      <c r="B54" s="348" t="s">
        <v>47</v>
      </c>
      <c r="C54" s="334">
        <v>0</v>
      </c>
      <c r="D54" s="334">
        <v>0</v>
      </c>
      <c r="E54" s="334">
        <v>4</v>
      </c>
      <c r="F54" s="334">
        <v>1801321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94</v>
      </c>
      <c r="D57" s="334">
        <v>7439949.5395871596</v>
      </c>
      <c r="E57" s="334">
        <v>232</v>
      </c>
      <c r="F57" s="334">
        <v>5885795</v>
      </c>
    </row>
    <row r="58" spans="1:6">
      <c r="A58" s="348" t="s">
        <v>49</v>
      </c>
      <c r="B58" s="348" t="s">
        <v>51</v>
      </c>
      <c r="C58" s="334">
        <v>33</v>
      </c>
      <c r="D58" s="334">
        <v>830129.60959753895</v>
      </c>
      <c r="E58" s="334">
        <v>46</v>
      </c>
      <c r="F58" s="334">
        <v>821079</v>
      </c>
    </row>
    <row r="59" spans="1:6">
      <c r="A59" s="348" t="s">
        <v>49</v>
      </c>
      <c r="B59" s="348" t="s">
        <v>52</v>
      </c>
      <c r="C59" s="334">
        <v>237</v>
      </c>
      <c r="D59" s="334">
        <v>8145123.6381605901</v>
      </c>
      <c r="E59" s="334">
        <v>462</v>
      </c>
      <c r="F59" s="334">
        <v>10804913</v>
      </c>
    </row>
    <row r="60" spans="1:6">
      <c r="A60" s="348" t="s">
        <v>49</v>
      </c>
      <c r="B60" s="348" t="s">
        <v>53</v>
      </c>
      <c r="C60" s="334">
        <v>275</v>
      </c>
      <c r="D60" s="334">
        <v>17280002.180367801</v>
      </c>
      <c r="E60" s="334">
        <v>418</v>
      </c>
      <c r="F60" s="334">
        <v>14616070</v>
      </c>
    </row>
    <row r="61" spans="1:6">
      <c r="A61" s="348" t="s">
        <v>49</v>
      </c>
      <c r="B61" s="348" t="s">
        <v>54</v>
      </c>
      <c r="C61" s="334">
        <v>371</v>
      </c>
      <c r="D61" s="334">
        <v>17621718.946059</v>
      </c>
      <c r="E61" s="334">
        <v>1205</v>
      </c>
      <c r="F61" s="334">
        <v>9101552</v>
      </c>
    </row>
    <row r="62" spans="1:6">
      <c r="A62" s="348" t="s">
        <v>49</v>
      </c>
      <c r="B62" s="348" t="s">
        <v>55</v>
      </c>
      <c r="C62" s="334">
        <v>7</v>
      </c>
      <c r="D62" s="334">
        <v>978047.32833707798</v>
      </c>
      <c r="E62" s="334">
        <v>11</v>
      </c>
      <c r="F62" s="334">
        <v>416911</v>
      </c>
    </row>
    <row r="63" spans="1:6">
      <c r="A63" s="348" t="s">
        <v>49</v>
      </c>
      <c r="B63" s="348" t="s">
        <v>29</v>
      </c>
      <c r="C63" s="334">
        <v>104</v>
      </c>
      <c r="D63" s="334">
        <v>7525041.5175822498</v>
      </c>
      <c r="E63" s="334">
        <v>91</v>
      </c>
      <c r="F63" s="334">
        <v>2269961</v>
      </c>
    </row>
    <row r="64" spans="1:6">
      <c r="A64" s="348" t="s">
        <v>56</v>
      </c>
      <c r="B64" s="348" t="s">
        <v>57</v>
      </c>
      <c r="C64" s="334">
        <v>0</v>
      </c>
      <c r="D64" s="334">
        <v>0</v>
      </c>
      <c r="E64" s="334">
        <v>0</v>
      </c>
      <c r="F64" s="334">
        <v>0</v>
      </c>
    </row>
    <row r="65" spans="1:6">
      <c r="A65" s="348" t="s">
        <v>56</v>
      </c>
      <c r="B65" s="348" t="s">
        <v>29</v>
      </c>
      <c r="C65" s="334">
        <v>5</v>
      </c>
      <c r="D65" s="334">
        <v>130490.1662451</v>
      </c>
      <c r="E65" s="334">
        <v>3</v>
      </c>
      <c r="F65" s="334">
        <v>15231.15</v>
      </c>
    </row>
    <row r="66" spans="1:6">
      <c r="A66" s="348" t="s">
        <v>56</v>
      </c>
      <c r="B66" s="348" t="s">
        <v>58</v>
      </c>
      <c r="C66" s="334">
        <v>0</v>
      </c>
      <c r="D66" s="334">
        <v>0</v>
      </c>
      <c r="E66" s="334">
        <v>17</v>
      </c>
      <c r="F66" s="334">
        <v>497234.8</v>
      </c>
    </row>
    <row r="67" spans="1:6">
      <c r="A67" s="355" t="s">
        <v>56</v>
      </c>
      <c r="B67" s="355" t="s">
        <v>59</v>
      </c>
      <c r="C67" s="334">
        <v>0</v>
      </c>
      <c r="D67" s="334">
        <v>0</v>
      </c>
      <c r="E67" s="334">
        <v>0</v>
      </c>
      <c r="F67" s="334">
        <v>0</v>
      </c>
    </row>
    <row r="68" spans="1:6">
      <c r="A68" s="341" t="s">
        <v>56</v>
      </c>
      <c r="B68" s="341" t="s">
        <v>60</v>
      </c>
      <c r="C68" s="334">
        <v>5</v>
      </c>
      <c r="D68" s="334">
        <v>94141.483707794701</v>
      </c>
      <c r="E68" s="334">
        <v>20</v>
      </c>
      <c r="F68" s="334">
        <v>1647035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29104815</v>
      </c>
      <c r="E73" s="476">
        <v>32682016.793456338</v>
      </c>
    </row>
    <row r="74" spans="1:6">
      <c r="A74" s="348" t="s">
        <v>64</v>
      </c>
      <c r="B74" s="348" t="s">
        <v>714</v>
      </c>
      <c r="C74" s="1311" t="s">
        <v>716</v>
      </c>
      <c r="D74" s="476">
        <v>2538540.0281419698</v>
      </c>
      <c r="E74" s="476">
        <v>2703703.1123822075</v>
      </c>
    </row>
    <row r="75" spans="1:6">
      <c r="A75" s="348" t="s">
        <v>65</v>
      </c>
      <c r="B75" s="348" t="s">
        <v>713</v>
      </c>
      <c r="C75" s="1311" t="s">
        <v>717</v>
      </c>
      <c r="D75" s="476">
        <v>3904692</v>
      </c>
      <c r="E75" s="476">
        <v>4191559.1006153799</v>
      </c>
    </row>
    <row r="76" spans="1:6">
      <c r="A76" s="348" t="s">
        <v>65</v>
      </c>
      <c r="B76" s="348" t="s">
        <v>714</v>
      </c>
      <c r="C76" s="1311" t="s">
        <v>718</v>
      </c>
      <c r="D76" s="476">
        <v>525184.02814196981</v>
      </c>
      <c r="E76" s="476">
        <v>564811.34522573266</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92995.943716060428</v>
      </c>
      <c r="C83" s="476">
        <v>93789.801308087044</v>
      </c>
    </row>
    <row r="84" spans="1:6">
      <c r="A84" s="341" t="s">
        <v>337</v>
      </c>
      <c r="B84" s="1307">
        <v>229678.71763141002</v>
      </c>
      <c r="C84" s="1307">
        <v>231794.81043736063</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1838.800548914211</v>
      </c>
    </row>
    <row r="92" spans="1:6">
      <c r="A92" s="341" t="s">
        <v>69</v>
      </c>
      <c r="B92" s="342">
        <v>845.81895279944422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5834</v>
      </c>
    </row>
    <row r="98" spans="1:6">
      <c r="A98" s="348" t="s">
        <v>72</v>
      </c>
      <c r="B98" s="334">
        <v>2</v>
      </c>
    </row>
    <row r="99" spans="1:6">
      <c r="A99" s="348" t="s">
        <v>73</v>
      </c>
      <c r="B99" s="334">
        <v>23</v>
      </c>
    </row>
    <row r="100" spans="1:6">
      <c r="A100" s="348" t="s">
        <v>74</v>
      </c>
      <c r="B100" s="334">
        <v>1053</v>
      </c>
    </row>
    <row r="101" spans="1:6">
      <c r="A101" s="348" t="s">
        <v>75</v>
      </c>
      <c r="B101" s="334">
        <v>28</v>
      </c>
    </row>
    <row r="102" spans="1:6">
      <c r="A102" s="348" t="s">
        <v>76</v>
      </c>
      <c r="B102" s="334">
        <v>279</v>
      </c>
    </row>
    <row r="103" spans="1:6">
      <c r="A103" s="348" t="s">
        <v>77</v>
      </c>
      <c r="B103" s="334">
        <v>58</v>
      </c>
    </row>
    <row r="104" spans="1:6">
      <c r="A104" s="348" t="s">
        <v>78</v>
      </c>
      <c r="B104" s="334">
        <v>885</v>
      </c>
    </row>
    <row r="105" spans="1:6">
      <c r="A105" s="341" t="s">
        <v>79</v>
      </c>
      <c r="B105" s="341">
        <v>10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64</v>
      </c>
    </row>
    <row r="130" spans="1:6">
      <c r="A130" s="348" t="s">
        <v>295</v>
      </c>
      <c r="B130" s="334">
        <v>2</v>
      </c>
    </row>
    <row r="131" spans="1:6">
      <c r="A131" s="348" t="s">
        <v>296</v>
      </c>
      <c r="B131" s="334">
        <v>2</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92601.350079728902</v>
      </c>
      <c r="C3" s="43" t="s">
        <v>170</v>
      </c>
      <c r="D3" s="43"/>
      <c r="E3" s="154"/>
      <c r="F3" s="43"/>
      <c r="G3" s="43"/>
      <c r="H3" s="43"/>
      <c r="I3" s="43"/>
      <c r="J3" s="43"/>
      <c r="K3" s="96"/>
    </row>
    <row r="4" spans="1:11">
      <c r="A4" s="384" t="s">
        <v>171</v>
      </c>
      <c r="B4" s="49">
        <f>IF(ISERROR('SEAP template'!B78+'SEAP template'!C78),0,'SEAP template'!B78+'SEAP template'!C78)</f>
        <v>2684.6195017136552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0.21459295615703347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1801.3209999999999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1801.3209999999999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0.21459295615703347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386.55079837774366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36999.511301999999</v>
      </c>
      <c r="C5" s="17">
        <f>IF(ISERROR('Eigen informatie GS &amp; warmtenet'!B57),0,'Eigen informatie GS &amp; warmtenet'!B57)</f>
        <v>0</v>
      </c>
      <c r="D5" s="30">
        <f>(SUM(HH_hh_gas_kWh,HH_rest_gas_kWh)/1000)*0.902</f>
        <v>91434.221042952093</v>
      </c>
      <c r="E5" s="17">
        <f>B46*B57</f>
        <v>0.9325309661003971</v>
      </c>
      <c r="F5" s="17">
        <f>B51*B62</f>
        <v>0</v>
      </c>
      <c r="G5" s="18"/>
      <c r="H5" s="17"/>
      <c r="I5" s="17"/>
      <c r="J5" s="17">
        <f>B50*B61+C50*C61</f>
        <v>0</v>
      </c>
      <c r="K5" s="17"/>
      <c r="L5" s="17"/>
      <c r="M5" s="17"/>
      <c r="N5" s="17">
        <f>B48*B59+C48*C59</f>
        <v>4.3051832708781266</v>
      </c>
      <c r="O5" s="17">
        <f>B69*B70*B71</f>
        <v>112.56000000000002</v>
      </c>
      <c r="P5" s="17">
        <f>B77*B78*B79/1000-B77*B78*B79/1000/B80</f>
        <v>76.266666666666666</v>
      </c>
    </row>
    <row r="6" spans="1:16">
      <c r="A6" s="16" t="s">
        <v>631</v>
      </c>
      <c r="B6" s="789">
        <f>kWh_PV_kleiner_dan_10kW</f>
        <v>1838.800548914211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38838.311850914208</v>
      </c>
      <c r="C8" s="21">
        <f>C5</f>
        <v>0</v>
      </c>
      <c r="D8" s="21">
        <f>D5</f>
        <v>91434.221042952093</v>
      </c>
      <c r="E8" s="21">
        <f>E5</f>
        <v>0.9325309661003971</v>
      </c>
      <c r="F8" s="21">
        <f>F5</f>
        <v>0</v>
      </c>
      <c r="G8" s="21"/>
      <c r="H8" s="21"/>
      <c r="I8" s="21"/>
      <c r="J8" s="21">
        <f>J5</f>
        <v>0</v>
      </c>
      <c r="K8" s="21"/>
      <c r="L8" s="21">
        <f>L5</f>
        <v>0</v>
      </c>
      <c r="M8" s="21">
        <f>M5</f>
        <v>0</v>
      </c>
      <c r="N8" s="21">
        <f>N5</f>
        <v>4.3051832708781266</v>
      </c>
      <c r="O8" s="21">
        <f>O5</f>
        <v>112.56000000000002</v>
      </c>
      <c r="P8" s="21">
        <f>P5</f>
        <v>76.266666666666666</v>
      </c>
    </row>
    <row r="9" spans="1:16">
      <c r="B9" s="19"/>
      <c r="C9" s="19"/>
      <c r="D9" s="258"/>
      <c r="E9" s="19"/>
      <c r="F9" s="19"/>
      <c r="G9" s="19"/>
      <c r="H9" s="19"/>
      <c r="I9" s="19"/>
      <c r="J9" s="19"/>
      <c r="K9" s="19"/>
      <c r="L9" s="19"/>
      <c r="M9" s="19"/>
      <c r="N9" s="19"/>
      <c r="O9" s="19"/>
      <c r="P9" s="19"/>
    </row>
    <row r="10" spans="1:16">
      <c r="A10" s="24" t="s">
        <v>214</v>
      </c>
      <c r="B10" s="25">
        <f ca="1">'EF ele_warmte'!B12</f>
        <v>0.21459295615703347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8334.4281522364254</v>
      </c>
      <c r="C12" s="23">
        <f ca="1">C10*C8</f>
        <v>0</v>
      </c>
      <c r="D12" s="23">
        <f>D8*D10</f>
        <v>18469.712650676323</v>
      </c>
      <c r="E12" s="23">
        <f>E10*E8</f>
        <v>0.21168452930479015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5834</v>
      </c>
      <c r="C18" s="166" t="s">
        <v>111</v>
      </c>
      <c r="D18" s="228"/>
      <c r="E18" s="15"/>
    </row>
    <row r="19" spans="1:7">
      <c r="A19" s="171" t="s">
        <v>72</v>
      </c>
      <c r="B19" s="37">
        <f>aantalw2001_ander</f>
        <v>2</v>
      </c>
      <c r="C19" s="166" t="s">
        <v>111</v>
      </c>
      <c r="D19" s="229"/>
      <c r="E19" s="15"/>
    </row>
    <row r="20" spans="1:7">
      <c r="A20" s="171" t="s">
        <v>73</v>
      </c>
      <c r="B20" s="37">
        <f>aantalw2001_propaan</f>
        <v>23</v>
      </c>
      <c r="C20" s="167">
        <f>IF(ISERROR(B20/SUM($B$20,$B$21,$B$22)*100),0,B20/SUM($B$20,$B$21,$B$22)*100)</f>
        <v>2.083333333333333</v>
      </c>
      <c r="D20" s="229"/>
      <c r="E20" s="15"/>
    </row>
    <row r="21" spans="1:7">
      <c r="A21" s="171" t="s">
        <v>74</v>
      </c>
      <c r="B21" s="37">
        <f>aantalw2001_elektriciteit</f>
        <v>1053</v>
      </c>
      <c r="C21" s="167">
        <f>IF(ISERROR(B21/SUM($B$20,$B$21,$B$22)*100),0,B21/SUM($B$20,$B$21,$B$22)*100)</f>
        <v>95.380434782608688</v>
      </c>
      <c r="D21" s="229"/>
      <c r="E21" s="15"/>
    </row>
    <row r="22" spans="1:7">
      <c r="A22" s="171" t="s">
        <v>75</v>
      </c>
      <c r="B22" s="37">
        <f>aantalw2001_hout</f>
        <v>28</v>
      </c>
      <c r="C22" s="167">
        <f>IF(ISERROR(B22/SUM($B$20,$B$21,$B$22)*100),0,B22/SUM($B$20,$B$21,$B$22)*100)</f>
        <v>2.5362318840579712</v>
      </c>
      <c r="D22" s="229"/>
      <c r="E22" s="15"/>
    </row>
    <row r="23" spans="1:7">
      <c r="A23" s="171" t="s">
        <v>76</v>
      </c>
      <c r="B23" s="37">
        <f>aantalw2001_niet_gespec</f>
        <v>279</v>
      </c>
      <c r="C23" s="166" t="s">
        <v>111</v>
      </c>
      <c r="D23" s="228"/>
      <c r="E23" s="15"/>
    </row>
    <row r="24" spans="1:7">
      <c r="A24" s="171" t="s">
        <v>77</v>
      </c>
      <c r="B24" s="37">
        <f>aantalw2001_steenkool</f>
        <v>58</v>
      </c>
      <c r="C24" s="166" t="s">
        <v>111</v>
      </c>
      <c r="D24" s="229"/>
      <c r="E24" s="15"/>
    </row>
    <row r="25" spans="1:7">
      <c r="A25" s="171" t="s">
        <v>78</v>
      </c>
      <c r="B25" s="37">
        <f>aantalw2001_stookolie</f>
        <v>885</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740</v>
      </c>
      <c r="B28" s="37">
        <f>aantalHuishoudens2011</f>
        <v>10132</v>
      </c>
      <c r="C28" s="36"/>
      <c r="D28" s="228"/>
    </row>
    <row r="29" spans="1:7" s="15" customFormat="1">
      <c r="A29" s="230" t="s">
        <v>741</v>
      </c>
      <c r="B29" s="37">
        <f>SUM(HH_hh_gas_aantal,HH_rest_gas_aantal)</f>
        <v>10125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10125</v>
      </c>
      <c r="C32" s="167">
        <f>IF(ISERROR(B32/SUM($B$32,$B$34,$B$35,$B$36,$B$38,$B$39)*100),0,B32/SUM($B$32,$B$34,$B$35,$B$36,$B$38,$B$39)*100)</f>
        <v>99.970379146919427</v>
      </c>
      <c r="D32" s="233"/>
      <c r="G32" s="15"/>
    </row>
    <row r="33" spans="1:7">
      <c r="A33" s="171" t="s">
        <v>72</v>
      </c>
      <c r="B33" s="34" t="s">
        <v>111</v>
      </c>
      <c r="C33" s="167"/>
      <c r="D33" s="233"/>
      <c r="G33" s="15"/>
    </row>
    <row r="34" spans="1:7">
      <c r="A34" s="171" t="s">
        <v>73</v>
      </c>
      <c r="B34" s="33">
        <f>IF((($B$28-$B$32-$B$39-$B$77-$B$38)*C20/100)&lt;0,0,($B$28-$B$32-$B$39-$B$77-$B$38)*C20/100)</f>
        <v>6.2499999999999993E-2</v>
      </c>
      <c r="C34" s="167">
        <f>IF(ISERROR(B34/SUM($B$32,$B$34,$B$35,$B$36,$B$38,$B$39)*100),0,B34/SUM($B$32,$B$34,$B$35,$B$36,$B$38,$B$39)*100)</f>
        <v>6.1710110584518158E-4</v>
      </c>
      <c r="D34" s="233"/>
      <c r="G34" s="15"/>
    </row>
    <row r="35" spans="1:7">
      <c r="A35" s="171" t="s">
        <v>74</v>
      </c>
      <c r="B35" s="33">
        <f>IF((($B$28-$B$32-$B$39-$B$77-$B$38)*C21/100)&lt;0,0,($B$28-$B$32-$B$39-$B$77-$B$38)*C21/100)</f>
        <v>2.8614130434782608</v>
      </c>
      <c r="C35" s="167">
        <f>IF(ISERROR(B35/SUM($B$32,$B$34,$B$35,$B$36,$B$38,$B$39)*100),0,B35/SUM($B$32,$B$34,$B$35,$B$36,$B$38,$B$39)*100)</f>
        <v>2.8252498454564189E-2</v>
      </c>
      <c r="D35" s="233"/>
      <c r="G35" s="15"/>
    </row>
    <row r="36" spans="1:7">
      <c r="A36" s="171" t="s">
        <v>75</v>
      </c>
      <c r="B36" s="33">
        <f>IF((($B$28-$B$32-$B$39-$B$77-$B$38)*C22/100)&lt;0,0,($B$28-$B$32-$B$39-$B$77-$B$38)*C22/100)</f>
        <v>7.6086956521739135E-2</v>
      </c>
      <c r="C36" s="167">
        <f>IF(ISERROR(B36/SUM($B$32,$B$34,$B$35,$B$36,$B$38,$B$39)*100),0,B36/SUM($B$32,$B$34,$B$35,$B$36,$B$38,$B$39)*100)</f>
        <v>7.5125352015935169E-4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10125</v>
      </c>
      <c r="C44" s="34" t="s">
        <v>111</v>
      </c>
      <c r="D44" s="174"/>
    </row>
    <row r="45" spans="1:7">
      <c r="A45" s="171" t="s">
        <v>72</v>
      </c>
      <c r="B45" s="33" t="str">
        <f t="shared" si="0"/>
        <v>-</v>
      </c>
      <c r="C45" s="34" t="s">
        <v>111</v>
      </c>
      <c r="D45" s="174"/>
    </row>
    <row r="46" spans="1:7">
      <c r="A46" s="171" t="s">
        <v>73</v>
      </c>
      <c r="B46" s="33">
        <f t="shared" si="0"/>
        <v>6.2499999999999993E-2</v>
      </c>
      <c r="C46" s="34" t="s">
        <v>111</v>
      </c>
      <c r="D46" s="174"/>
    </row>
    <row r="47" spans="1:7">
      <c r="A47" s="171" t="s">
        <v>74</v>
      </c>
      <c r="B47" s="33">
        <f t="shared" si="0"/>
        <v>2.8614130434782608</v>
      </c>
      <c r="C47" s="34" t="s">
        <v>111</v>
      </c>
      <c r="D47" s="174"/>
    </row>
    <row r="48" spans="1:7">
      <c r="A48" s="171" t="s">
        <v>75</v>
      </c>
      <c r="B48" s="33">
        <f t="shared" si="0"/>
        <v>7.6086956521739135E-2</v>
      </c>
      <c r="C48" s="33">
        <f>B48*10</f>
        <v>0.76086956521739135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43916.281000000003</v>
      </c>
      <c r="C5" s="17">
        <f>IF(ISERROR('Eigen informatie GS &amp; warmtenet'!B58),0,'Eigen informatie GS &amp; warmtenet'!B58)</f>
        <v>0</v>
      </c>
      <c r="D5" s="30">
        <f>SUM(D6:D12)</f>
        <v>53957.651509241659</v>
      </c>
      <c r="E5" s="17">
        <f>SUM(E6:E12)</f>
        <v>797.59988898701897</v>
      </c>
      <c r="F5" s="17">
        <f>SUM(F6:F12)</f>
        <v>7427.6499087385091</v>
      </c>
      <c r="G5" s="18"/>
      <c r="H5" s="17"/>
      <c r="I5" s="17"/>
      <c r="J5" s="17">
        <f>SUM(J6:J12)</f>
        <v>0</v>
      </c>
      <c r="K5" s="17"/>
      <c r="L5" s="17"/>
      <c r="M5" s="17"/>
      <c r="N5" s="17">
        <f>SUM(N6:N12)</f>
        <v>4529.1472252592794</v>
      </c>
      <c r="O5" s="17">
        <f>B38*B39*B40</f>
        <v>3.1266666666666669</v>
      </c>
      <c r="P5" s="17">
        <f>B46*B47*B48/1000-B46*B47*B48/1000/B49</f>
        <v>38.133333333333333</v>
      </c>
      <c r="R5" s="32"/>
    </row>
    <row r="6" spans="1:18">
      <c r="A6" s="32" t="s">
        <v>54</v>
      </c>
      <c r="B6" s="37">
        <f>B26</f>
        <v>9101.5519999999997</v>
      </c>
      <c r="C6" s="33"/>
      <c r="D6" s="37">
        <f>IF(ISERROR(TER_kantoor_gas_kWh/1000),0,TER_kantoor_gas_kWh/1000)*0.902</f>
        <v>15894.790489345216</v>
      </c>
      <c r="E6" s="33">
        <f>$C$26*'E Balans VL '!I12/100/3.6*1000000</f>
        <v>26.368531531026395</v>
      </c>
      <c r="F6" s="33">
        <f>$C$26*('E Balans VL '!L12+'E Balans VL '!N12)/100/3.6*1000000</f>
        <v>1030.095163662442</v>
      </c>
      <c r="G6" s="34"/>
      <c r="H6" s="33"/>
      <c r="I6" s="33"/>
      <c r="J6" s="33">
        <f>$C$26*('E Balans VL '!D12+'E Balans VL '!E12)/100/3.6*1000000</f>
        <v>0</v>
      </c>
      <c r="K6" s="33"/>
      <c r="L6" s="33"/>
      <c r="M6" s="33"/>
      <c r="N6" s="33">
        <f>$C$26*'E Balans VL '!Y12/100/3.6*1000000</f>
        <v>91.099829197057346</v>
      </c>
      <c r="O6" s="33"/>
      <c r="P6" s="33"/>
      <c r="R6" s="32"/>
    </row>
    <row r="7" spans="1:18">
      <c r="A7" s="32" t="s">
        <v>53</v>
      </c>
      <c r="B7" s="37">
        <f t="shared" ref="B7:B12" si="0">B27</f>
        <v>14616.07</v>
      </c>
      <c r="C7" s="33"/>
      <c r="D7" s="37">
        <f>IF(ISERROR(TER_horeca_gas_kWh/1000),0,TER_horeca_gas_kWh/1000)*0.902</f>
        <v>15586.561966691759</v>
      </c>
      <c r="E7" s="33">
        <f>$C$27*'E Balans VL '!I9/100/3.6*1000000</f>
        <v>613.54178210750547</v>
      </c>
      <c r="F7" s="33">
        <f>$C$27*('E Balans VL '!L9+'E Balans VL '!N9)/100/3.6*1000000</f>
        <v>3140.5623702448747</v>
      </c>
      <c r="G7" s="34"/>
      <c r="H7" s="33"/>
      <c r="I7" s="33"/>
      <c r="J7" s="33">
        <f>$C$27*('E Balans VL '!D9+'E Balans VL '!E9)/100/3.6*1000000</f>
        <v>0</v>
      </c>
      <c r="K7" s="33"/>
      <c r="L7" s="33"/>
      <c r="M7" s="33"/>
      <c r="N7" s="33">
        <f>$C$27*'E Balans VL '!Y9/100/3.6*1000000</f>
        <v>3.7664334168308047</v>
      </c>
      <c r="O7" s="33"/>
      <c r="P7" s="33"/>
      <c r="R7" s="32"/>
    </row>
    <row r="8" spans="1:18">
      <c r="A8" s="6" t="s">
        <v>52</v>
      </c>
      <c r="B8" s="37">
        <f t="shared" si="0"/>
        <v>10804.913</v>
      </c>
      <c r="C8" s="33"/>
      <c r="D8" s="37">
        <f>IF(ISERROR(TER_handel_gas_kWh/1000),0,TER_handel_gas_kWh/1000)*0.902</f>
        <v>7346.9015216208527</v>
      </c>
      <c r="E8" s="33">
        <f>$C$28*'E Balans VL '!I13/100/3.6*1000000</f>
        <v>116.05375829345887</v>
      </c>
      <c r="F8" s="33">
        <f>$C$28*('E Balans VL '!L13+'E Balans VL '!N13)/100/3.6*1000000</f>
        <v>1398.7852129821965</v>
      </c>
      <c r="G8" s="34"/>
      <c r="H8" s="33"/>
      <c r="I8" s="33"/>
      <c r="J8" s="33">
        <f>$C$28*('E Balans VL '!D13+'E Balans VL '!E13)/100/3.6*1000000</f>
        <v>0</v>
      </c>
      <c r="K8" s="33"/>
      <c r="L8" s="33"/>
      <c r="M8" s="33"/>
      <c r="N8" s="33">
        <f>$C$28*'E Balans VL '!Y13/100/3.6*1000000</f>
        <v>87.65004422990161</v>
      </c>
      <c r="O8" s="33"/>
      <c r="P8" s="33"/>
      <c r="R8" s="32"/>
    </row>
    <row r="9" spans="1:18">
      <c r="A9" s="32" t="s">
        <v>51</v>
      </c>
      <c r="B9" s="37">
        <f t="shared" si="0"/>
        <v>821.07899999999995</v>
      </c>
      <c r="C9" s="33"/>
      <c r="D9" s="37">
        <f>IF(ISERROR(TER_gezond_gas_kWh/1000),0,TER_gezond_gas_kWh/1000)*0.902</f>
        <v>748.77690785698019</v>
      </c>
      <c r="E9" s="33">
        <f>$C$29*'E Balans VL '!I10/100/3.6*1000000</f>
        <v>0.65363198996696892</v>
      </c>
      <c r="F9" s="33">
        <f>$C$29*('E Balans VL '!L10+'E Balans VL '!N10)/100/3.6*1000000</f>
        <v>99.814018110294811</v>
      </c>
      <c r="G9" s="34"/>
      <c r="H9" s="33"/>
      <c r="I9" s="33"/>
      <c r="J9" s="33">
        <f>$C$29*('E Balans VL '!D10+'E Balans VL '!E10)/100/3.6*1000000</f>
        <v>0</v>
      </c>
      <c r="K9" s="33"/>
      <c r="L9" s="33"/>
      <c r="M9" s="33"/>
      <c r="N9" s="33">
        <f>$C$29*'E Balans VL '!Y10/100/3.6*1000000</f>
        <v>6.6324586314115148</v>
      </c>
      <c r="O9" s="33"/>
      <c r="P9" s="33"/>
      <c r="R9" s="32"/>
    </row>
    <row r="10" spans="1:18">
      <c r="A10" s="32" t="s">
        <v>50</v>
      </c>
      <c r="B10" s="37">
        <f t="shared" si="0"/>
        <v>5885.7950000000001</v>
      </c>
      <c r="C10" s="33"/>
      <c r="D10" s="37">
        <f>IF(ISERROR(TER_ander_gas_kWh/1000),0,TER_ander_gas_kWh/1000)*0.902</f>
        <v>6710.8344847076187</v>
      </c>
      <c r="E10" s="33">
        <f>$C$30*'E Balans VL '!I14/100/3.6*1000000</f>
        <v>20.170928665034197</v>
      </c>
      <c r="F10" s="33">
        <f>$C$30*('E Balans VL '!L14+'E Balans VL '!N14)/100/3.6*1000000</f>
        <v>1314.6474324646524</v>
      </c>
      <c r="G10" s="34"/>
      <c r="H10" s="33"/>
      <c r="I10" s="33"/>
      <c r="J10" s="33">
        <f>$C$30*('E Balans VL '!D14+'E Balans VL '!E14)/100/3.6*1000000</f>
        <v>0</v>
      </c>
      <c r="K10" s="33"/>
      <c r="L10" s="33"/>
      <c r="M10" s="33"/>
      <c r="N10" s="33">
        <f>$C$30*'E Balans VL '!Y14/100/3.6*1000000</f>
        <v>4145.9861514695713</v>
      </c>
      <c r="O10" s="33"/>
      <c r="P10" s="33"/>
      <c r="R10" s="32"/>
    </row>
    <row r="11" spans="1:18">
      <c r="A11" s="32" t="s">
        <v>55</v>
      </c>
      <c r="B11" s="37">
        <f t="shared" si="0"/>
        <v>416.911</v>
      </c>
      <c r="C11" s="33"/>
      <c r="D11" s="37">
        <f>IF(ISERROR(TER_onderwijs_gas_kWh/1000),0,TER_onderwijs_gas_kWh/1000)*0.902</f>
        <v>882.19869016004429</v>
      </c>
      <c r="E11" s="33">
        <f>$C$31*'E Balans VL '!I11/100/3.6*1000000</f>
        <v>0.28819773445171204</v>
      </c>
      <c r="F11" s="33">
        <f>$C$31*('E Balans VL '!L11+'E Balans VL '!N11)/100/3.6*1000000</f>
        <v>109.13518935716327</v>
      </c>
      <c r="G11" s="34"/>
      <c r="H11" s="33"/>
      <c r="I11" s="33"/>
      <c r="J11" s="33">
        <f>$C$31*('E Balans VL '!D11+'E Balans VL '!E11)/100/3.6*1000000</f>
        <v>0</v>
      </c>
      <c r="K11" s="33"/>
      <c r="L11" s="33"/>
      <c r="M11" s="33"/>
      <c r="N11" s="33">
        <f>$C$31*'E Balans VL '!Y11/100/3.6*1000000</f>
        <v>0.41499939079107068</v>
      </c>
      <c r="O11" s="33"/>
      <c r="P11" s="33"/>
      <c r="R11" s="32"/>
    </row>
    <row r="12" spans="1:18">
      <c r="A12" s="32" t="s">
        <v>260</v>
      </c>
      <c r="B12" s="37">
        <f t="shared" si="0"/>
        <v>2269.9609999999998</v>
      </c>
      <c r="C12" s="33"/>
      <c r="D12" s="37">
        <f>IF(ISERROR(TER_rest_gas_kWh/1000),0,TER_rest_gas_kWh/1000)*0.902</f>
        <v>6787.5874488591899</v>
      </c>
      <c r="E12" s="33">
        <f>$C$32*'E Balans VL '!I8/100/3.6*1000000</f>
        <v>20.52305866557537</v>
      </c>
      <c r="F12" s="33">
        <f>$C$32*('E Balans VL '!L8+'E Balans VL '!N8)/100/3.6*1000000</f>
        <v>334.6105219168852</v>
      </c>
      <c r="G12" s="34"/>
      <c r="H12" s="33"/>
      <c r="I12" s="33"/>
      <c r="J12" s="33">
        <f>$C$32*('E Balans VL '!D8+'E Balans VL '!E8)/100/3.6*1000000</f>
        <v>0</v>
      </c>
      <c r="K12" s="33"/>
      <c r="L12" s="33"/>
      <c r="M12" s="33"/>
      <c r="N12" s="33">
        <f>$C$32*'E Balans VL '!Y8/100/3.6*1000000</f>
        <v>193.59730892371576</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43916.281000000003</v>
      </c>
      <c r="C16" s="21">
        <f t="shared" ca="1" si="1"/>
        <v>0</v>
      </c>
      <c r="D16" s="21">
        <f t="shared" ca="1" si="1"/>
        <v>53957.651509241659</v>
      </c>
      <c r="E16" s="21">
        <f t="shared" si="1"/>
        <v>797.59988898701897</v>
      </c>
      <c r="F16" s="21">
        <f t="shared" ca="1" si="1"/>
        <v>7427.6499087385091</v>
      </c>
      <c r="G16" s="21">
        <f t="shared" si="1"/>
        <v>0</v>
      </c>
      <c r="H16" s="21">
        <f t="shared" si="1"/>
        <v>0</v>
      </c>
      <c r="I16" s="21">
        <f t="shared" si="1"/>
        <v>0</v>
      </c>
      <c r="J16" s="21">
        <f t="shared" si="1"/>
        <v>0</v>
      </c>
      <c r="K16" s="21">
        <f t="shared" si="1"/>
        <v>0</v>
      </c>
      <c r="L16" s="21">
        <f t="shared" ca="1" si="1"/>
        <v>0</v>
      </c>
      <c r="M16" s="21">
        <f t="shared" si="1"/>
        <v>0</v>
      </c>
      <c r="N16" s="21">
        <f t="shared" ca="1" si="1"/>
        <v>4529.1472252592794</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0.21459295615703347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9424.124563212963</v>
      </c>
      <c r="C20" s="23">
        <f t="shared" ref="C20:P20" ca="1" si="2">C16*C18</f>
        <v>0</v>
      </c>
      <c r="D20" s="23">
        <f t="shared" ca="1" si="2"/>
        <v>10899.445604866816</v>
      </c>
      <c r="E20" s="23">
        <f t="shared" si="2"/>
        <v>181.05517480005332</v>
      </c>
      <c r="F20" s="23">
        <f t="shared" ca="1" si="2"/>
        <v>1983.182525633182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9101.5519999999997</v>
      </c>
      <c r="C26" s="39">
        <f>IF(ISERROR(B26*3.6/1000000/'E Balans VL '!Z12*100),0,B26*3.6/1000000/'E Balans VL '!Z12*100)</f>
        <v>0.19992611212780093</v>
      </c>
      <c r="D26" s="237" t="s">
        <v>692</v>
      </c>
      <c r="F26" s="6"/>
    </row>
    <row r="27" spans="1:18">
      <c r="A27" s="231" t="s">
        <v>53</v>
      </c>
      <c r="B27" s="33">
        <f>IF(ISERROR(TER_horeca_ele_kWh/1000),0,TER_horeca_ele_kWh/1000)</f>
        <v>14616.07</v>
      </c>
      <c r="C27" s="39">
        <f>IF(ISERROR(B27*3.6/1000000/'E Balans VL '!Z9*100),0,B27*3.6/1000000/'E Balans VL '!Z9*100)</f>
        <v>1.1745469192065716</v>
      </c>
      <c r="D27" s="237" t="s">
        <v>692</v>
      </c>
      <c r="F27" s="6"/>
    </row>
    <row r="28" spans="1:18">
      <c r="A28" s="171" t="s">
        <v>52</v>
      </c>
      <c r="B28" s="33">
        <f>IF(ISERROR(TER_handel_ele_kWh/1000),0,TER_handel_ele_kWh/1000)</f>
        <v>10804.913</v>
      </c>
      <c r="C28" s="39">
        <f>IF(ISERROR(B28*3.6/1000000/'E Balans VL '!Z13*100),0,B28*3.6/1000000/'E Balans VL '!Z13*100)</f>
        <v>0.31949372893928624</v>
      </c>
      <c r="D28" s="237" t="s">
        <v>692</v>
      </c>
      <c r="F28" s="6"/>
    </row>
    <row r="29" spans="1:18">
      <c r="A29" s="231" t="s">
        <v>51</v>
      </c>
      <c r="B29" s="33">
        <f>IF(ISERROR(TER_gezond_ele_kWh/1000),0,TER_gezond_ele_kWh/1000)</f>
        <v>821.07899999999995</v>
      </c>
      <c r="C29" s="39">
        <f>IF(ISERROR(B29*3.6/1000000/'E Balans VL '!Z10*100),0,B29*3.6/1000000/'E Balans VL '!Z10*100)</f>
        <v>9.2514404908862896E-2</v>
      </c>
      <c r="D29" s="237" t="s">
        <v>692</v>
      </c>
      <c r="F29" s="6"/>
    </row>
    <row r="30" spans="1:18">
      <c r="A30" s="231" t="s">
        <v>50</v>
      </c>
      <c r="B30" s="33">
        <f>IF(ISERROR(TER_ander_ele_kWh/1000),0,TER_ander_ele_kWh/1000)</f>
        <v>5885.7950000000001</v>
      </c>
      <c r="C30" s="39">
        <f>IF(ISERROR(B30*3.6/1000000/'E Balans VL '!Z14*100),0,B30*3.6/1000000/'E Balans VL '!Z14*100)</f>
        <v>0.44513261453791758</v>
      </c>
      <c r="D30" s="237" t="s">
        <v>692</v>
      </c>
      <c r="F30" s="6"/>
    </row>
    <row r="31" spans="1:18">
      <c r="A31" s="231" t="s">
        <v>55</v>
      </c>
      <c r="B31" s="33">
        <f>IF(ISERROR(TER_onderwijs_ele_kWh/1000),0,TER_onderwijs_ele_kWh/1000)</f>
        <v>416.911</v>
      </c>
      <c r="C31" s="39">
        <f>IF(ISERROR(B31*3.6/1000000/'E Balans VL '!Z11*100),0,B31*3.6/1000000/'E Balans VL '!Z11*100)</f>
        <v>8.6541045426623095E-2</v>
      </c>
      <c r="D31" s="237" t="s">
        <v>692</v>
      </c>
    </row>
    <row r="32" spans="1:18">
      <c r="A32" s="231" t="s">
        <v>260</v>
      </c>
      <c r="B32" s="33">
        <f>IF(ISERROR(TER_rest_ele_kWh/1000),0,TER_rest_ele_kWh/1000)</f>
        <v>2269.9609999999998</v>
      </c>
      <c r="C32" s="39">
        <f>IF(ISERROR(B32*3.6/1000000/'E Balans VL '!Z8*100),0,B32*3.6/1000000/'E Balans VL '!Z8*100)</f>
        <v>1.9123086052165623E-2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1965.4591800000001</v>
      </c>
      <c r="C5" s="17">
        <f>IF(ISERROR('Eigen informatie GS &amp; warmtenet'!B59),0,'Eigen informatie GS &amp; warmtenet'!B59)</f>
        <v>0</v>
      </c>
      <c r="D5" s="30">
        <f>SUM(D6:D15)</f>
        <v>2282.5922180238626</v>
      </c>
      <c r="E5" s="17">
        <f>SUM(E6:E15)</f>
        <v>311.20154368235734</v>
      </c>
      <c r="F5" s="17">
        <f>SUM(F6:F15)</f>
        <v>1885.5957726530885</v>
      </c>
      <c r="G5" s="18"/>
      <c r="H5" s="17"/>
      <c r="I5" s="17"/>
      <c r="J5" s="17">
        <f>SUM(J6:J15)</f>
        <v>12.800406223177148</v>
      </c>
      <c r="K5" s="17"/>
      <c r="L5" s="17"/>
      <c r="M5" s="17"/>
      <c r="N5" s="17">
        <f>SUM(N6:N15)</f>
        <v>673.75466425109221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162.2714</v>
      </c>
      <c r="C8" s="33"/>
      <c r="D8" s="37">
        <f>IF( ISERROR(IND_metaal_Gas_kWH/1000),0,IND_metaal_Gas_kWH/1000)*0.902</f>
        <v>34.750163652514182</v>
      </c>
      <c r="E8" s="33">
        <f>C30*'E Balans VL '!I18/100/3.6*1000000</f>
        <v>4.0610852042672727</v>
      </c>
      <c r="F8" s="33">
        <f>C30*'E Balans VL '!L18/100/3.6*1000000+C30*'E Balans VL '!N18/100/3.6*1000000</f>
        <v>50.856663939455203</v>
      </c>
      <c r="G8" s="34"/>
      <c r="H8" s="33"/>
      <c r="I8" s="33"/>
      <c r="J8" s="40">
        <f>C30*'E Balans VL '!D18/100/3.6*1000000+C30*'E Balans VL '!E18/100/3.6*1000000</f>
        <v>0</v>
      </c>
      <c r="K8" s="33"/>
      <c r="L8" s="33"/>
      <c r="M8" s="33"/>
      <c r="N8" s="33">
        <f>C30*'E Balans VL '!Y18/100/3.6*1000000</f>
        <v>4.0766786990059067</v>
      </c>
      <c r="O8" s="33"/>
      <c r="P8" s="33"/>
      <c r="R8" s="32"/>
    </row>
    <row r="9" spans="1:18">
      <c r="A9" s="6" t="s">
        <v>33</v>
      </c>
      <c r="B9" s="37">
        <f t="shared" si="0"/>
        <v>1066.566</v>
      </c>
      <c r="C9" s="33"/>
      <c r="D9" s="37">
        <f>IF( ISERROR(IND_andere_gas_kWh/1000),0,IND_andere_gas_kWh/1000)*0.902</f>
        <v>1399.3673921485677</v>
      </c>
      <c r="E9" s="33">
        <f>C31*'E Balans VL '!I19/100/3.6*1000000</f>
        <v>293.26190473621512</v>
      </c>
      <c r="F9" s="33">
        <f>C31*'E Balans VL '!L19/100/3.6*1000000+C31*'E Balans VL '!N19/100/3.6*1000000</f>
        <v>840.63960380940034</v>
      </c>
      <c r="G9" s="34"/>
      <c r="H9" s="33"/>
      <c r="I9" s="33"/>
      <c r="J9" s="40">
        <f>C31*'E Balans VL '!D19/100/3.6*1000000+C31*'E Balans VL '!E19/100/3.6*1000000</f>
        <v>0</v>
      </c>
      <c r="K9" s="33"/>
      <c r="L9" s="33"/>
      <c r="M9" s="33"/>
      <c r="N9" s="33">
        <f>C31*'E Balans VL '!Y19/100/3.6*1000000</f>
        <v>345.27556683136277</v>
      </c>
      <c r="O9" s="33"/>
      <c r="P9" s="33"/>
      <c r="R9" s="32"/>
    </row>
    <row r="10" spans="1:18">
      <c r="A10" s="6" t="s">
        <v>41</v>
      </c>
      <c r="B10" s="37">
        <f t="shared" si="0"/>
        <v>505.20769999999999</v>
      </c>
      <c r="C10" s="33"/>
      <c r="D10" s="37">
        <f>IF( ISERROR(IND_voed_gas_kWh/1000),0,IND_voed_gas_kWh/1000)*0.902</f>
        <v>351.1165434260418</v>
      </c>
      <c r="E10" s="33">
        <f>C32*'E Balans VL '!I20/100/3.6*1000000</f>
        <v>5.1503141809899669</v>
      </c>
      <c r="F10" s="33">
        <f>C32*'E Balans VL '!L20/100/3.6*1000000+C32*'E Balans VL '!N20/100/3.6*1000000</f>
        <v>954.3341855308521</v>
      </c>
      <c r="G10" s="34"/>
      <c r="H10" s="33"/>
      <c r="I10" s="33"/>
      <c r="J10" s="40">
        <f>C32*'E Balans VL '!D20/100/3.6*1000000+C32*'E Balans VL '!E20/100/3.6*1000000</f>
        <v>12.091273308078403</v>
      </c>
      <c r="K10" s="33"/>
      <c r="L10" s="33"/>
      <c r="M10" s="33"/>
      <c r="N10" s="33">
        <f>C32*'E Balans VL '!Y20/100/3.6*1000000</f>
        <v>266.30265069123243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62.384980000000006</v>
      </c>
      <c r="C13" s="33"/>
      <c r="D13" s="37">
        <f>IF( ISERROR(IND_papier_gas_kWh/1000),0,IND_papier_gas_kWh/1000)*0.902</f>
        <v>12.285139727681159</v>
      </c>
      <c r="E13" s="33">
        <f>C35*'E Balans VL '!I23/100/3.6*1000000</f>
        <v>0.12920350446475368</v>
      </c>
      <c r="F13" s="33">
        <f>C35*'E Balans VL '!L23/100/3.6*1000000+C35*'E Balans VL '!N23/100/3.6*1000000</f>
        <v>1.2372278961671406</v>
      </c>
      <c r="G13" s="34"/>
      <c r="H13" s="33"/>
      <c r="I13" s="33"/>
      <c r="J13" s="40">
        <f>C35*'E Balans VL '!D23/100/3.6*1000000+C35*'E Balans VL '!E23/100/3.6*1000000</f>
        <v>0</v>
      </c>
      <c r="K13" s="33"/>
      <c r="L13" s="33"/>
      <c r="M13" s="33"/>
      <c r="N13" s="33">
        <f>C35*'E Balans VL '!Y23/100/3.6*1000000</f>
        <v>26.341924848898795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169.0291</v>
      </c>
      <c r="C15" s="33"/>
      <c r="D15" s="37">
        <f>IF( ISERROR(IND_rest_gas_kWh/1000),0,IND_rest_gas_kWh/1000)*0.902</f>
        <v>485.07297906905808</v>
      </c>
      <c r="E15" s="33">
        <f>C37*'E Balans VL '!I15/100/3.6*1000000</f>
        <v>8.5990360564202355</v>
      </c>
      <c r="F15" s="33">
        <f>C37*'E Balans VL '!L15/100/3.6*1000000+C37*'E Balans VL '!N15/100/3.6*1000000</f>
        <v>38.528091477213763</v>
      </c>
      <c r="G15" s="34"/>
      <c r="H15" s="33"/>
      <c r="I15" s="33"/>
      <c r="J15" s="40">
        <f>C37*'E Balans VL '!D15/100/3.6*1000000+C37*'E Balans VL '!E15/100/3.6*1000000</f>
        <v>0.7091329150987451</v>
      </c>
      <c r="K15" s="33"/>
      <c r="L15" s="33"/>
      <c r="M15" s="33"/>
      <c r="N15" s="33">
        <f>C37*'E Balans VL '!Y15/100/3.6*1000000</f>
        <v>31.757843180592289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1965.4591800000001</v>
      </c>
      <c r="C18" s="21">
        <f>C5+C16</f>
        <v>0</v>
      </c>
      <c r="D18" s="21">
        <f>MAX((D5+D16),0)</f>
        <v>2282.5922180238626</v>
      </c>
      <c r="E18" s="21">
        <f>MAX((E5+E16),0)</f>
        <v>311.20154368235734</v>
      </c>
      <c r="F18" s="21">
        <f>MAX((F5+F16),0)</f>
        <v>1885.5957726530885</v>
      </c>
      <c r="G18" s="21"/>
      <c r="H18" s="21"/>
      <c r="I18" s="21"/>
      <c r="J18" s="21">
        <f>MAX((J5+J16),0)</f>
        <v>12.800406223177148</v>
      </c>
      <c r="K18" s="21"/>
      <c r="L18" s="21">
        <f>MAX((L5+L16),0)</f>
        <v>0</v>
      </c>
      <c r="M18" s="21"/>
      <c r="N18" s="21">
        <f>MAX((N5+N16),0)</f>
        <v>673.75466425109221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0.21459295615703347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421.77369564217895</v>
      </c>
      <c r="C22" s="23">
        <f ca="1">C18*C20</f>
        <v>0</v>
      </c>
      <c r="D22" s="23">
        <f>D18*D20</f>
        <v>461.08362804082026</v>
      </c>
      <c r="E22" s="23">
        <f>E18*E20</f>
        <v>70.642750415895122</v>
      </c>
      <c r="F22" s="23">
        <f>F18*F20</f>
        <v>503.45407129837463</v>
      </c>
      <c r="G22" s="23"/>
      <c r="H22" s="23"/>
      <c r="I22" s="23"/>
      <c r="J22" s="23">
        <f>J18*J20</f>
        <v>4.5313438030047104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162.2714</v>
      </c>
      <c r="C30" s="39">
        <f>IF(ISERROR(B30*3.6/1000000/'E Balans VL '!Z18*100),0,B30*3.6/1000000/'E Balans VL '!Z18*100)</f>
        <v>2.2712588245853888E-2</v>
      </c>
      <c r="D30" s="237" t="s">
        <v>692</v>
      </c>
    </row>
    <row r="31" spans="1:18">
      <c r="A31" s="6" t="s">
        <v>33</v>
      </c>
      <c r="B31" s="37">
        <f>IF( ISERROR(IND_ander_ele_kWh/1000),0,IND_ander_ele_kWh/1000)</f>
        <v>1066.566</v>
      </c>
      <c r="C31" s="39">
        <f>IF(ISERROR(B31*3.6/1000000/'E Balans VL '!Z19*100),0,B31*3.6/1000000/'E Balans VL '!Z19*100)</f>
        <v>4.6683420798412874E-2</v>
      </c>
      <c r="D31" s="237" t="s">
        <v>692</v>
      </c>
    </row>
    <row r="32" spans="1:18">
      <c r="A32" s="171" t="s">
        <v>41</v>
      </c>
      <c r="B32" s="37">
        <f>IF( ISERROR(IND_voed_ele_kWh/1000),0,IND_voed_ele_kWh/1000)</f>
        <v>505.20769999999999</v>
      </c>
      <c r="C32" s="39">
        <f>IF(ISERROR(B32*3.6/1000000/'E Balans VL '!Z20*100),0,B32*3.6/1000000/'E Balans VL '!Z20*100)</f>
        <v>0.12507264939982252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62.384980000000006</v>
      </c>
      <c r="C35" s="39">
        <f>IF(ISERROR(B35*3.6/1000000/'E Balans VL '!Z22*100),0,B35*3.6/1000000/'E Balans VL '!Z22*100)</f>
        <v>1.7702312153604798E-3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169.0291</v>
      </c>
      <c r="C37" s="39">
        <f>IF(ISERROR(B37*3.6/1000000/'E Balans VL '!Z15*100),0,B37*3.6/1000000/'E Balans VL '!Z15*100)</f>
        <v>1.2533218374934842E-3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396.53149999999999</v>
      </c>
      <c r="C5" s="17">
        <f>'Eigen informatie GS &amp; warmtenet'!B60</f>
        <v>0</v>
      </c>
      <c r="D5" s="30">
        <f>IF(ISERROR(SUM(LB_lb_gas_kWh,LB_rest_gas_kWh)/1000),0,SUM(LB_lb_gas_kWh,LB_rest_gas_kWh)/1000)*0.902</f>
        <v>193.7748570705175</v>
      </c>
      <c r="E5" s="17">
        <f>B17*'E Balans VL '!I25/3.6*1000000/100</f>
        <v>3.6728408356588376</v>
      </c>
      <c r="F5" s="17">
        <f>B17*('E Balans VL '!L25/3.6*1000000+'E Balans VL '!N25/3.6*1000000)/100</f>
        <v>1006.0759546732303</v>
      </c>
      <c r="G5" s="18"/>
      <c r="H5" s="17"/>
      <c r="I5" s="17"/>
      <c r="J5" s="17">
        <f>('E Balans VL '!D25+'E Balans VL '!E25)/3.6*1000000*landbouw!B17/100</f>
        <v>60.792704254455685</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396.53149999999999</v>
      </c>
      <c r="C8" s="21">
        <f>C5+C6</f>
        <v>0</v>
      </c>
      <c r="D8" s="21">
        <f>MAX((D5+D6),0)</f>
        <v>193.7748570705175</v>
      </c>
      <c r="E8" s="21">
        <f>MAX((E5+E6),0)</f>
        <v>3.6728408356588376</v>
      </c>
      <c r="F8" s="21">
        <f>MAX((F5+F6),0)</f>
        <v>1006.0759546732303</v>
      </c>
      <c r="G8" s="21"/>
      <c r="H8" s="21"/>
      <c r="I8" s="21"/>
      <c r="J8" s="21">
        <f>MAX((J5+J6),0)</f>
        <v>60.792704254455685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0.21459295615703347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85.092866794382715</v>
      </c>
      <c r="C12" s="23">
        <f ca="1">C8*C10</f>
        <v>0</v>
      </c>
      <c r="D12" s="23">
        <f>D8*D10</f>
        <v>39.142521128244539</v>
      </c>
      <c r="E12" s="23">
        <f>E8*E10</f>
        <v>0.83373486969455612</v>
      </c>
      <c r="F12" s="23">
        <f>F8*F10</f>
        <v>268.62227989775249</v>
      </c>
      <c r="G12" s="23"/>
      <c r="H12" s="23"/>
      <c r="I12" s="23"/>
      <c r="J12" s="23">
        <f>J8*J10</f>
        <v>21.520617306077312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5.6378371378898666E-2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69.014866373804054</v>
      </c>
      <c r="C26" s="247">
        <f>B26*'GWP N2O_CH4'!B5</f>
        <v>1449.312193849885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38.677736743181192</v>
      </c>
      <c r="C27" s="247">
        <f>B27*'GWP N2O_CH4'!B5</f>
        <v>812.23247160680501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0.97769054147823631</v>
      </c>
      <c r="C28" s="247">
        <f>B28*'GWP N2O_CH4'!B4</f>
        <v>303.08406785825326</v>
      </c>
      <c r="D28" s="50"/>
    </row>
    <row r="29" spans="1:4">
      <c r="A29" s="41" t="s">
        <v>277</v>
      </c>
      <c r="B29" s="247">
        <f>B34*'ha_N2O bodem landbouw'!B4</f>
        <v>6.8117609748694692</v>
      </c>
      <c r="C29" s="247">
        <f>B29*'GWP N2O_CH4'!B4</f>
        <v>2111.6459022095355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1.5277579817559862E-3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1.6286648990303453E-5</v>
      </c>
      <c r="C5" s="464" t="s">
        <v>211</v>
      </c>
      <c r="D5" s="449">
        <f>SUM(D6:D11)</f>
        <v>4.1098415341128181E-5</v>
      </c>
      <c r="E5" s="449">
        <f>SUM(E6:E11)</f>
        <v>2.6365090667615254E-4</v>
      </c>
      <c r="F5" s="462" t="s">
        <v>211</v>
      </c>
      <c r="G5" s="449">
        <f>SUM(G6:G11)</f>
        <v>8.4061949265199193E-2</v>
      </c>
      <c r="H5" s="449">
        <f>SUM(H6:H11)</f>
        <v>1.5581418197548809E-2</v>
      </c>
      <c r="I5" s="464" t="s">
        <v>211</v>
      </c>
      <c r="J5" s="464" t="s">
        <v>211</v>
      </c>
      <c r="K5" s="464" t="s">
        <v>211</v>
      </c>
      <c r="L5" s="464" t="s">
        <v>211</v>
      </c>
      <c r="M5" s="449">
        <f>SUM(M6:M11)</f>
        <v>5.3422545499461566E-3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1.436010255568854E-5</v>
      </c>
      <c r="C6" s="450"/>
      <c r="D6" s="893">
        <f>vkm_2011_GW_PW*SUMIFS(TableVerdeelsleutelVkm[CNG],TableVerdeelsleutelVkm[Voertuigtype],"Lichte voertuigen")*SUMIFS(TableECFTransport[EnergieConsumptieFactor (PJ per km)],TableECFTransport[Index],CONCATENATE($A6,"_CNG_CNG"))</f>
        <v>3.3216498193107287E-5</v>
      </c>
      <c r="E6" s="893">
        <f>vkm_2011_GW_PW*SUMIFS(TableVerdeelsleutelVkm[LPG],TableVerdeelsleutelVkm[Voertuigtype],"Lichte voertuigen")*SUMIFS(TableECFTransport[EnergieConsumptieFactor (PJ per km)],TableECFTransport[Index],CONCATENATE($A6,"_LPG_LPG"))</f>
        <v>2.1628577735211893E-4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4.49317701043438E-2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1.2665337449642952E-2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2.988991302574281E-3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2.368164510284829E-2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8.0986925464649973E-6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1.3701174028559195E-3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1.9265464346149114E-6</v>
      </c>
      <c r="C8" s="450"/>
      <c r="D8" s="452">
        <f>vkm_2011_NGW_PW*SUMIFS(TableVerdeelsleutelVkm[CNG],TableVerdeelsleutelVkm[Voertuigtype],"Lichte voertuigen")*SUMIFS(TableECFTransport[EnergieConsumptieFactor (PJ per km)],TableECFTransport[Index],CONCATENATE($A8,"_CNG_CNG"))</f>
        <v>7.8819171480208961E-6</v>
      </c>
      <c r="E8" s="452">
        <f>vkm_2011_NGW_PW*SUMIFS(TableVerdeelsleutelVkm[LPG],TableVerdeelsleutelVkm[Voertuigtype],"Lichte voertuigen")*SUMIFS(TableECFTransport[EnergieConsumptieFactor (PJ per km)],TableECFTransport[Index],CONCATENATE($A8,"_LPG_LPG"))</f>
        <v>4.7365129324033624E-5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9.1982385322961647E-3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2.905959532534994E-3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6.2153435929957108E-4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6.25029552571093E-3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2.0225228243980423E-6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3.6161148521638478E-4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4.5240691639731816</v>
      </c>
      <c r="C14" s="21"/>
      <c r="D14" s="21">
        <f t="shared" ref="D14:M14" si="0">((D5)*10^9/3600)+D12</f>
        <v>11.416226483646717</v>
      </c>
      <c r="E14" s="21">
        <f t="shared" si="0"/>
        <v>73.236362965597934</v>
      </c>
      <c r="F14" s="21"/>
      <c r="G14" s="21">
        <f t="shared" si="0"/>
        <v>23350.541462555335</v>
      </c>
      <c r="H14" s="21">
        <f t="shared" si="0"/>
        <v>4328.1717215413355</v>
      </c>
      <c r="I14" s="21"/>
      <c r="J14" s="21"/>
      <c r="K14" s="21"/>
      <c r="L14" s="21"/>
      <c r="M14" s="21">
        <f t="shared" si="0"/>
        <v>1483.9595972072657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0.21459295615703347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0.97083337575588402</v>
      </c>
      <c r="C18" s="23"/>
      <c r="D18" s="23">
        <f t="shared" ref="D18:M18" si="1">D14*D16</f>
        <v>2.3060777496966369</v>
      </c>
      <c r="E18" s="23">
        <f t="shared" si="1"/>
        <v>16.624654393190731</v>
      </c>
      <c r="F18" s="23"/>
      <c r="G18" s="23">
        <f t="shared" si="1"/>
        <v>6234.594570502275</v>
      </c>
      <c r="H18" s="23">
        <f t="shared" si="1"/>
        <v>1077.7147586637925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2.9146229267425932E-3</v>
      </c>
      <c r="C50" s="321">
        <f t="shared" ref="C50:P50" si="2">SUM(C51:C52)</f>
        <v>0</v>
      </c>
      <c r="D50" s="321">
        <f t="shared" si="2"/>
        <v>0</v>
      </c>
      <c r="E50" s="321">
        <f t="shared" si="2"/>
        <v>0</v>
      </c>
      <c r="F50" s="321">
        <f t="shared" si="2"/>
        <v>0</v>
      </c>
      <c r="G50" s="321">
        <f t="shared" si="2"/>
        <v>1.1852368195785338E-3</v>
      </c>
      <c r="H50" s="321">
        <f t="shared" si="2"/>
        <v>0</v>
      </c>
      <c r="I50" s="321">
        <f t="shared" si="2"/>
        <v>0</v>
      </c>
      <c r="J50" s="321">
        <f t="shared" si="2"/>
        <v>0</v>
      </c>
      <c r="K50" s="321">
        <f t="shared" si="2"/>
        <v>0</v>
      </c>
      <c r="L50" s="321">
        <f t="shared" si="2"/>
        <v>0</v>
      </c>
      <c r="M50" s="321">
        <f t="shared" si="2"/>
        <v>6.7590600668588282E-5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1.1852368195785338E-3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6.7590600668588282E-5</v>
      </c>
      <c r="N51" s="323"/>
      <c r="O51" s="323"/>
      <c r="P51" s="326"/>
    </row>
    <row r="52" spans="1:18">
      <c r="A52" s="4" t="s">
        <v>330</v>
      </c>
      <c r="B52" s="894">
        <f>vkm_2011_tram*SUMIFS(TableECFTransport[EnergieConsumptieFactor (PJ per km)],TableECFTransport[Index],"Tram_gemiddeld_Electric_Electric")</f>
        <v>2.9146229267425932E-3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809.61747965072038</v>
      </c>
      <c r="C54" s="21">
        <f t="shared" ref="C54:P54" si="3">(C50)*10^9/3600</f>
        <v>0</v>
      </c>
      <c r="D54" s="21">
        <f t="shared" si="3"/>
        <v>0</v>
      </c>
      <c r="E54" s="21">
        <f t="shared" si="3"/>
        <v>0</v>
      </c>
      <c r="F54" s="21">
        <f t="shared" si="3"/>
        <v>0</v>
      </c>
      <c r="G54" s="21">
        <f t="shared" si="3"/>
        <v>329.23244988292606</v>
      </c>
      <c r="H54" s="21">
        <f t="shared" si="3"/>
        <v>0</v>
      </c>
      <c r="I54" s="21">
        <f t="shared" si="3"/>
        <v>0</v>
      </c>
      <c r="J54" s="21">
        <f t="shared" si="3"/>
        <v>0</v>
      </c>
      <c r="K54" s="21">
        <f t="shared" si="3"/>
        <v>0</v>
      </c>
      <c r="L54" s="21">
        <f t="shared" si="3"/>
        <v>0</v>
      </c>
      <c r="M54" s="21">
        <f t="shared" si="3"/>
        <v>18.775166852385631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0.21459295615703347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173.73820831465497</v>
      </c>
      <c r="C58" s="23">
        <f t="shared" ref="C58:P58" ca="1" si="4">C54*C56</f>
        <v>0</v>
      </c>
      <c r="D58" s="23">
        <f t="shared" si="4"/>
        <v>0</v>
      </c>
      <c r="E58" s="23">
        <f t="shared" si="4"/>
        <v>0</v>
      </c>
      <c r="F58" s="23">
        <f t="shared" si="4"/>
        <v>0</v>
      </c>
      <c r="G58" s="23">
        <f t="shared" si="4"/>
        <v>87.905064118741265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45717.601999999999</v>
      </c>
      <c r="D10" s="1025">
        <f ca="1">tertiair!C16</f>
        <v>0</v>
      </c>
      <c r="E10" s="1025">
        <f ca="1">tertiair!D16</f>
        <v>53957.651509241659</v>
      </c>
      <c r="F10" s="1025">
        <f>tertiair!E16</f>
        <v>797.59988898701897</v>
      </c>
      <c r="G10" s="1025">
        <f ca="1">tertiair!F16</f>
        <v>7427.6499087385091</v>
      </c>
      <c r="H10" s="1025">
        <f>tertiair!G16</f>
        <v>0</v>
      </c>
      <c r="I10" s="1025">
        <f>tertiair!H16</f>
        <v>0</v>
      </c>
      <c r="J10" s="1025">
        <f>tertiair!I16</f>
        <v>0</v>
      </c>
      <c r="K10" s="1025">
        <f>tertiair!J16</f>
        <v>0</v>
      </c>
      <c r="L10" s="1025">
        <f>tertiair!K16</f>
        <v>0</v>
      </c>
      <c r="M10" s="1025">
        <f ca="1">tertiair!L16</f>
        <v>0</v>
      </c>
      <c r="N10" s="1025">
        <f>tertiair!M16</f>
        <v>0</v>
      </c>
      <c r="O10" s="1025">
        <f ca="1">tertiair!N16</f>
        <v>4529.1472252592794</v>
      </c>
      <c r="P10" s="1025">
        <f>tertiair!O16</f>
        <v>3.1266666666666669</v>
      </c>
      <c r="Q10" s="1026">
        <f>tertiair!P16</f>
        <v>38.133333333333333</v>
      </c>
      <c r="R10" s="701">
        <f ca="1">SUM(C10:Q10)</f>
        <v>112470.91053222645</v>
      </c>
      <c r="S10" s="67"/>
    </row>
    <row r="11" spans="1:19" s="474" customFormat="1">
      <c r="A11" s="810" t="s">
        <v>225</v>
      </c>
      <c r="B11" s="815"/>
      <c r="C11" s="1025">
        <f>huishoudens!B8</f>
        <v>38838.311850914208</v>
      </c>
      <c r="D11" s="1025">
        <f>huishoudens!C8</f>
        <v>0</v>
      </c>
      <c r="E11" s="1025">
        <f>huishoudens!D8</f>
        <v>91434.221042952093</v>
      </c>
      <c r="F11" s="1025">
        <f>huishoudens!E8</f>
        <v>0.9325309661003971</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4.3051832708781266</v>
      </c>
      <c r="P11" s="1025">
        <f>huishoudens!O8</f>
        <v>112.56000000000002</v>
      </c>
      <c r="Q11" s="1026">
        <f>huishoudens!P8</f>
        <v>76.266666666666666</v>
      </c>
      <c r="R11" s="701">
        <f>SUM(C11:Q11)</f>
        <v>130466.59727476994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1965.4591800000001</v>
      </c>
      <c r="D13" s="1025">
        <f>industrie!C18</f>
        <v>0</v>
      </c>
      <c r="E13" s="1025">
        <f>industrie!D18</f>
        <v>2282.5922180238626</v>
      </c>
      <c r="F13" s="1025">
        <f>industrie!E18</f>
        <v>311.20154368235734</v>
      </c>
      <c r="G13" s="1025">
        <f>industrie!F18</f>
        <v>1885.5957726530885</v>
      </c>
      <c r="H13" s="1025">
        <f>industrie!G18</f>
        <v>0</v>
      </c>
      <c r="I13" s="1025">
        <f>industrie!H18</f>
        <v>0</v>
      </c>
      <c r="J13" s="1025">
        <f>industrie!I18</f>
        <v>0</v>
      </c>
      <c r="K13" s="1025">
        <f>industrie!J18</f>
        <v>12.800406223177148</v>
      </c>
      <c r="L13" s="1025">
        <f>industrie!K18</f>
        <v>0</v>
      </c>
      <c r="M13" s="1025">
        <f>industrie!L18</f>
        <v>0</v>
      </c>
      <c r="N13" s="1025">
        <f>industrie!M18</f>
        <v>0</v>
      </c>
      <c r="O13" s="1025">
        <f>industrie!N18</f>
        <v>673.75466425109221</v>
      </c>
      <c r="P13" s="1025">
        <f>industrie!O18</f>
        <v>0</v>
      </c>
      <c r="Q13" s="1026">
        <f>industrie!P18</f>
        <v>0</v>
      </c>
      <c r="R13" s="701">
        <f>SUM(C13:Q13)</f>
        <v>7131.4037848335793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86521.373030914212</v>
      </c>
      <c r="D16" s="733">
        <f t="shared" ref="D16:R16" ca="1" si="0">SUM(D9:D15)</f>
        <v>0</v>
      </c>
      <c r="E16" s="733">
        <f t="shared" ca="1" si="0"/>
        <v>147674.46477021763</v>
      </c>
      <c r="F16" s="733">
        <f t="shared" si="0"/>
        <v>1109.7339636354768</v>
      </c>
      <c r="G16" s="733">
        <f t="shared" ca="1" si="0"/>
        <v>9313.2456813915978</v>
      </c>
      <c r="H16" s="733">
        <f t="shared" si="0"/>
        <v>0</v>
      </c>
      <c r="I16" s="733">
        <f t="shared" si="0"/>
        <v>0</v>
      </c>
      <c r="J16" s="733">
        <f t="shared" si="0"/>
        <v>0</v>
      </c>
      <c r="K16" s="733">
        <f t="shared" si="0"/>
        <v>12.800406223177148</v>
      </c>
      <c r="L16" s="733">
        <f t="shared" si="0"/>
        <v>0</v>
      </c>
      <c r="M16" s="733">
        <f t="shared" ca="1" si="0"/>
        <v>0</v>
      </c>
      <c r="N16" s="733">
        <f t="shared" si="0"/>
        <v>0</v>
      </c>
      <c r="O16" s="733">
        <f t="shared" ca="1" si="0"/>
        <v>5207.2070727812497</v>
      </c>
      <c r="P16" s="733">
        <f t="shared" si="0"/>
        <v>115.68666666666668</v>
      </c>
      <c r="Q16" s="733">
        <f t="shared" si="0"/>
        <v>114.4</v>
      </c>
      <c r="R16" s="733">
        <f t="shared" ca="1" si="0"/>
        <v>250068.91159182999</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809.61747965072038</v>
      </c>
      <c r="D19" s="1025">
        <f>transport!C54</f>
        <v>0</v>
      </c>
      <c r="E19" s="1025">
        <f>transport!D54</f>
        <v>0</v>
      </c>
      <c r="F19" s="1025">
        <f>transport!E54</f>
        <v>0</v>
      </c>
      <c r="G19" s="1025">
        <f>transport!F54</f>
        <v>0</v>
      </c>
      <c r="H19" s="1025">
        <f>transport!G54</f>
        <v>329.23244988292606</v>
      </c>
      <c r="I19" s="1025">
        <f>transport!H54</f>
        <v>0</v>
      </c>
      <c r="J19" s="1025">
        <f>transport!I54</f>
        <v>0</v>
      </c>
      <c r="K19" s="1025">
        <f>transport!J54</f>
        <v>0</v>
      </c>
      <c r="L19" s="1025">
        <f>transport!K54</f>
        <v>0</v>
      </c>
      <c r="M19" s="1025">
        <f>transport!L54</f>
        <v>0</v>
      </c>
      <c r="N19" s="1025">
        <f>transport!M54</f>
        <v>18.775166852385631</v>
      </c>
      <c r="O19" s="1025">
        <f>transport!N54</f>
        <v>0</v>
      </c>
      <c r="P19" s="1025">
        <f>transport!O54</f>
        <v>0</v>
      </c>
      <c r="Q19" s="1026">
        <f>transport!P54</f>
        <v>0</v>
      </c>
      <c r="R19" s="701">
        <f>SUM(C19:Q19)</f>
        <v>1157.6250963860321</v>
      </c>
      <c r="S19" s="67"/>
    </row>
    <row r="20" spans="1:19" s="474" customFormat="1">
      <c r="A20" s="810" t="s">
        <v>307</v>
      </c>
      <c r="B20" s="815"/>
      <c r="C20" s="1025">
        <f>transport!B14</f>
        <v>4.5240691639731816</v>
      </c>
      <c r="D20" s="1025">
        <f>transport!C14</f>
        <v>0</v>
      </c>
      <c r="E20" s="1025">
        <f>transport!D14</f>
        <v>11.416226483646717</v>
      </c>
      <c r="F20" s="1025">
        <f>transport!E14</f>
        <v>73.236362965597934</v>
      </c>
      <c r="G20" s="1025">
        <f>transport!F14</f>
        <v>0</v>
      </c>
      <c r="H20" s="1025">
        <f>transport!G14</f>
        <v>23350.541462555335</v>
      </c>
      <c r="I20" s="1025">
        <f>transport!H14</f>
        <v>4328.1717215413355</v>
      </c>
      <c r="J20" s="1025">
        <f>transport!I14</f>
        <v>0</v>
      </c>
      <c r="K20" s="1025">
        <f>transport!J14</f>
        <v>0</v>
      </c>
      <c r="L20" s="1025">
        <f>transport!K14</f>
        <v>0</v>
      </c>
      <c r="M20" s="1025">
        <f>transport!L14</f>
        <v>0</v>
      </c>
      <c r="N20" s="1025">
        <f>transport!M14</f>
        <v>1483.9595972072657</v>
      </c>
      <c r="O20" s="1025">
        <f>transport!N14</f>
        <v>0</v>
      </c>
      <c r="P20" s="1025">
        <f>transport!O14</f>
        <v>0</v>
      </c>
      <c r="Q20" s="1026">
        <f>transport!P14</f>
        <v>0</v>
      </c>
      <c r="R20" s="701">
        <f>SUM(C20:Q20)</f>
        <v>29251.849439917154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814.14154881469358</v>
      </c>
      <c r="D22" s="813">
        <f t="shared" ref="D22:R22" si="1">SUM(D18:D21)</f>
        <v>0</v>
      </c>
      <c r="E22" s="813">
        <f t="shared" si="1"/>
        <v>11.416226483646717</v>
      </c>
      <c r="F22" s="813">
        <f t="shared" si="1"/>
        <v>73.236362965597934</v>
      </c>
      <c r="G22" s="813">
        <f t="shared" si="1"/>
        <v>0</v>
      </c>
      <c r="H22" s="813">
        <f t="shared" si="1"/>
        <v>23679.773912438261</v>
      </c>
      <c r="I22" s="813">
        <f t="shared" si="1"/>
        <v>4328.1717215413355</v>
      </c>
      <c r="J22" s="813">
        <f t="shared" si="1"/>
        <v>0</v>
      </c>
      <c r="K22" s="813">
        <f t="shared" si="1"/>
        <v>0</v>
      </c>
      <c r="L22" s="813">
        <f t="shared" si="1"/>
        <v>0</v>
      </c>
      <c r="M22" s="813">
        <f t="shared" si="1"/>
        <v>0</v>
      </c>
      <c r="N22" s="813">
        <f t="shared" si="1"/>
        <v>1502.7347640596513</v>
      </c>
      <c r="O22" s="813">
        <f t="shared" si="1"/>
        <v>0</v>
      </c>
      <c r="P22" s="813">
        <f t="shared" si="1"/>
        <v>0</v>
      </c>
      <c r="Q22" s="813">
        <f t="shared" si="1"/>
        <v>0</v>
      </c>
      <c r="R22" s="813">
        <f t="shared" si="1"/>
        <v>30409.474536303187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396.53149999999999</v>
      </c>
      <c r="D24" s="1025">
        <f>+landbouw!C8</f>
        <v>0</v>
      </c>
      <c r="E24" s="1025">
        <f>+landbouw!D8</f>
        <v>193.7748570705175</v>
      </c>
      <c r="F24" s="1025">
        <f>+landbouw!E8</f>
        <v>3.6728408356588376</v>
      </c>
      <c r="G24" s="1025">
        <f>+landbouw!F8</f>
        <v>1006.0759546732303</v>
      </c>
      <c r="H24" s="1025">
        <f>+landbouw!G8</f>
        <v>0</v>
      </c>
      <c r="I24" s="1025">
        <f>+landbouw!H8</f>
        <v>0</v>
      </c>
      <c r="J24" s="1025">
        <f>+landbouw!I8</f>
        <v>0</v>
      </c>
      <c r="K24" s="1025">
        <f>+landbouw!J8</f>
        <v>60.792704254455685</v>
      </c>
      <c r="L24" s="1025">
        <f>+landbouw!K8</f>
        <v>0</v>
      </c>
      <c r="M24" s="1025">
        <f>+landbouw!L8</f>
        <v>0</v>
      </c>
      <c r="N24" s="1025">
        <f>+landbouw!M8</f>
        <v>0</v>
      </c>
      <c r="O24" s="1025">
        <f>+landbouw!N8</f>
        <v>0</v>
      </c>
      <c r="P24" s="1025">
        <f>+landbouw!O8</f>
        <v>0</v>
      </c>
      <c r="Q24" s="1026">
        <f>+landbouw!P8</f>
        <v>0</v>
      </c>
      <c r="R24" s="701">
        <f>SUM(C24:Q24)</f>
        <v>1660.8478568338624</v>
      </c>
      <c r="S24" s="67"/>
    </row>
    <row r="25" spans="1:19" s="474" customFormat="1" ht="15" thickBot="1">
      <c r="A25" s="832" t="s">
        <v>864</v>
      </c>
      <c r="B25" s="1028"/>
      <c r="C25" s="1029">
        <f>IF(Onbekend_ele_kWh="---",0,Onbekend_ele_kWh)/1000+IF(REST_rest_ele_kWh="---",0,REST_rest_ele_kWh)/1000</f>
        <v>4869.3040000000001</v>
      </c>
      <c r="D25" s="1029"/>
      <c r="E25" s="1029">
        <f>IF(onbekend_gas_kWh="---",0,onbekend_gas_kWh)/1000+IF(REST_rest_gas_kWh="---",0,REST_rest_gas_kWh)/1000</f>
        <v>9582.0500401874415</v>
      </c>
      <c r="F25" s="1029"/>
      <c r="G25" s="1029"/>
      <c r="H25" s="1029"/>
      <c r="I25" s="1029"/>
      <c r="J25" s="1029"/>
      <c r="K25" s="1029"/>
      <c r="L25" s="1029"/>
      <c r="M25" s="1029"/>
      <c r="N25" s="1029"/>
      <c r="O25" s="1029"/>
      <c r="P25" s="1029"/>
      <c r="Q25" s="1030"/>
      <c r="R25" s="701">
        <f>SUM(C25:Q25)</f>
        <v>14451.354040187442</v>
      </c>
      <c r="S25" s="67"/>
    </row>
    <row r="26" spans="1:19" s="474" customFormat="1" ht="15.75" thickBot="1">
      <c r="A26" s="706" t="s">
        <v>865</v>
      </c>
      <c r="B26" s="818"/>
      <c r="C26" s="813">
        <f>SUM(C24:C25)</f>
        <v>5265.8355000000001</v>
      </c>
      <c r="D26" s="813">
        <f t="shared" ref="D26:R26" si="2">SUM(D24:D25)</f>
        <v>0</v>
      </c>
      <c r="E26" s="813">
        <f t="shared" si="2"/>
        <v>9775.8248972579586</v>
      </c>
      <c r="F26" s="813">
        <f t="shared" si="2"/>
        <v>3.6728408356588376</v>
      </c>
      <c r="G26" s="813">
        <f t="shared" si="2"/>
        <v>1006.0759546732303</v>
      </c>
      <c r="H26" s="813">
        <f t="shared" si="2"/>
        <v>0</v>
      </c>
      <c r="I26" s="813">
        <f t="shared" si="2"/>
        <v>0</v>
      </c>
      <c r="J26" s="813">
        <f t="shared" si="2"/>
        <v>0</v>
      </c>
      <c r="K26" s="813">
        <f t="shared" si="2"/>
        <v>60.792704254455685</v>
      </c>
      <c r="L26" s="813">
        <f t="shared" si="2"/>
        <v>0</v>
      </c>
      <c r="M26" s="813">
        <f t="shared" si="2"/>
        <v>0</v>
      </c>
      <c r="N26" s="813">
        <f t="shared" si="2"/>
        <v>0</v>
      </c>
      <c r="O26" s="813">
        <f t="shared" si="2"/>
        <v>0</v>
      </c>
      <c r="P26" s="813">
        <f t="shared" si="2"/>
        <v>0</v>
      </c>
      <c r="Q26" s="813">
        <f t="shared" si="2"/>
        <v>0</v>
      </c>
      <c r="R26" s="813">
        <f t="shared" si="2"/>
        <v>16112.201897021303</v>
      </c>
      <c r="S26" s="67"/>
    </row>
    <row r="27" spans="1:19" s="474" customFormat="1" ht="17.25" thickTop="1" thickBot="1">
      <c r="A27" s="707" t="s">
        <v>116</v>
      </c>
      <c r="B27" s="806"/>
      <c r="C27" s="708">
        <f ca="1">C22+C16+C26</f>
        <v>92601.350079728902</v>
      </c>
      <c r="D27" s="708">
        <f t="shared" ref="D27:R27" ca="1" si="3">D22+D16+D26</f>
        <v>0</v>
      </c>
      <c r="E27" s="708">
        <f t="shared" ca="1" si="3"/>
        <v>157461.70589395924</v>
      </c>
      <c r="F27" s="708">
        <f t="shared" si="3"/>
        <v>1186.6431674367336</v>
      </c>
      <c r="G27" s="708">
        <f t="shared" ca="1" si="3"/>
        <v>10319.321636064828</v>
      </c>
      <c r="H27" s="708">
        <f t="shared" si="3"/>
        <v>23679.773912438261</v>
      </c>
      <c r="I27" s="708">
        <f t="shared" si="3"/>
        <v>4328.1717215413355</v>
      </c>
      <c r="J27" s="708">
        <f t="shared" si="3"/>
        <v>0</v>
      </c>
      <c r="K27" s="708">
        <f t="shared" si="3"/>
        <v>73.593110477632834</v>
      </c>
      <c r="L27" s="708">
        <f t="shared" si="3"/>
        <v>0</v>
      </c>
      <c r="M27" s="708">
        <f t="shared" ca="1" si="3"/>
        <v>0</v>
      </c>
      <c r="N27" s="708">
        <f t="shared" si="3"/>
        <v>1502.7347640596513</v>
      </c>
      <c r="O27" s="708">
        <f t="shared" ca="1" si="3"/>
        <v>5207.2070727812497</v>
      </c>
      <c r="P27" s="708">
        <f t="shared" si="3"/>
        <v>115.68666666666668</v>
      </c>
      <c r="Q27" s="708">
        <f t="shared" si="3"/>
        <v>114.4</v>
      </c>
      <c r="R27" s="708">
        <f t="shared" ca="1" si="3"/>
        <v>296590.58802515449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9810.6753615907073</v>
      </c>
      <c r="D40" s="1025">
        <f ca="1">tertiair!C20</f>
        <v>0</v>
      </c>
      <c r="E40" s="1025">
        <f ca="1">tertiair!D20</f>
        <v>10899.445604866816</v>
      </c>
      <c r="F40" s="1025">
        <f>tertiair!E20</f>
        <v>181.05517480005332</v>
      </c>
      <c r="G40" s="1025">
        <f ca="1">tertiair!F20</f>
        <v>1983.182525633182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22874.358666890759</v>
      </c>
    </row>
    <row r="41" spans="1:18">
      <c r="A41" s="823" t="s">
        <v>225</v>
      </c>
      <c r="B41" s="830"/>
      <c r="C41" s="1025">
        <f ca="1">huishoudens!B12</f>
        <v>8334.4281522364254</v>
      </c>
      <c r="D41" s="1025">
        <f ca="1">huishoudens!C12</f>
        <v>0</v>
      </c>
      <c r="E41" s="1025">
        <f>huishoudens!D12</f>
        <v>18469.712650676323</v>
      </c>
      <c r="F41" s="1025">
        <f>huishoudens!E12</f>
        <v>0.21168452930479015</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26804.352487442055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421.77369564217895</v>
      </c>
      <c r="D43" s="1025">
        <f ca="1">industrie!C22</f>
        <v>0</v>
      </c>
      <c r="E43" s="1025">
        <f>industrie!D22</f>
        <v>461.08362804082026</v>
      </c>
      <c r="F43" s="1025">
        <f>industrie!E22</f>
        <v>70.642750415895122</v>
      </c>
      <c r="G43" s="1025">
        <f>industrie!F22</f>
        <v>503.45407129837463</v>
      </c>
      <c r="H43" s="1025">
        <f>industrie!G22</f>
        <v>0</v>
      </c>
      <c r="I43" s="1025">
        <f>industrie!H22</f>
        <v>0</v>
      </c>
      <c r="J43" s="1025">
        <f>industrie!I22</f>
        <v>0</v>
      </c>
      <c r="K43" s="1025">
        <f>industrie!J22</f>
        <v>4.5313438030047104</v>
      </c>
      <c r="L43" s="1025">
        <f>industrie!K22</f>
        <v>0</v>
      </c>
      <c r="M43" s="1025">
        <f>industrie!L22</f>
        <v>0</v>
      </c>
      <c r="N43" s="1025">
        <f>industrie!M22</f>
        <v>0</v>
      </c>
      <c r="O43" s="1025">
        <f>industrie!N22</f>
        <v>0</v>
      </c>
      <c r="P43" s="1025">
        <f>industrie!O22</f>
        <v>0</v>
      </c>
      <c r="Q43" s="775">
        <f>industrie!P22</f>
        <v>0</v>
      </c>
      <c r="R43" s="850">
        <f t="shared" ca="1" si="4"/>
        <v>1461.4854892002736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18566.877209469312</v>
      </c>
      <c r="D46" s="733">
        <f t="shared" ref="D46:Q46" ca="1" si="5">SUM(D39:D45)</f>
        <v>0</v>
      </c>
      <c r="E46" s="733">
        <f t="shared" ca="1" si="5"/>
        <v>29830.241883583956</v>
      </c>
      <c r="F46" s="733">
        <f t="shared" si="5"/>
        <v>251.90960974525325</v>
      </c>
      <c r="G46" s="733">
        <f t="shared" ca="1" si="5"/>
        <v>2486.6365969315566</v>
      </c>
      <c r="H46" s="733">
        <f t="shared" si="5"/>
        <v>0</v>
      </c>
      <c r="I46" s="733">
        <f t="shared" si="5"/>
        <v>0</v>
      </c>
      <c r="J46" s="733">
        <f t="shared" si="5"/>
        <v>0</v>
      </c>
      <c r="K46" s="733">
        <f t="shared" si="5"/>
        <v>4.5313438030047104</v>
      </c>
      <c r="L46" s="733">
        <f t="shared" si="5"/>
        <v>0</v>
      </c>
      <c r="M46" s="733">
        <f t="shared" ca="1" si="5"/>
        <v>0</v>
      </c>
      <c r="N46" s="733">
        <f t="shared" si="5"/>
        <v>0</v>
      </c>
      <c r="O46" s="733">
        <f t="shared" ca="1" si="5"/>
        <v>0</v>
      </c>
      <c r="P46" s="733">
        <f t="shared" si="5"/>
        <v>0</v>
      </c>
      <c r="Q46" s="733">
        <f t="shared" si="5"/>
        <v>0</v>
      </c>
      <c r="R46" s="733">
        <f ca="1">SUM(R39:R45)</f>
        <v>51140.196643533091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173.73820831465497</v>
      </c>
      <c r="D49" s="1025">
        <f ca="1">transport!C58</f>
        <v>0</v>
      </c>
      <c r="E49" s="1025">
        <f>transport!D58</f>
        <v>0</v>
      </c>
      <c r="F49" s="1025">
        <f>transport!E58</f>
        <v>0</v>
      </c>
      <c r="G49" s="1025">
        <f>transport!F58</f>
        <v>0</v>
      </c>
      <c r="H49" s="1025">
        <f>transport!G58</f>
        <v>87.905064118741265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261.64327243339625</v>
      </c>
    </row>
    <row r="50" spans="1:18">
      <c r="A50" s="826" t="s">
        <v>307</v>
      </c>
      <c r="B50" s="836"/>
      <c r="C50" s="704">
        <f ca="1">transport!B18</f>
        <v>0.97083337575588402</v>
      </c>
      <c r="D50" s="704">
        <f>transport!C18</f>
        <v>0</v>
      </c>
      <c r="E50" s="704">
        <f>transport!D18</f>
        <v>2.3060777496966369</v>
      </c>
      <c r="F50" s="704">
        <f>transport!E18</f>
        <v>16.624654393190731</v>
      </c>
      <c r="G50" s="704">
        <f>transport!F18</f>
        <v>0</v>
      </c>
      <c r="H50" s="704">
        <f>transport!G18</f>
        <v>6234.594570502275</v>
      </c>
      <c r="I50" s="704">
        <f>transport!H18</f>
        <v>1077.7147586637925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7332.2108946847111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174.70904169041086</v>
      </c>
      <c r="D52" s="733">
        <f t="shared" ref="D52:Q52" ca="1" si="6">SUM(D48:D51)</f>
        <v>0</v>
      </c>
      <c r="E52" s="733">
        <f t="shared" si="6"/>
        <v>2.3060777496966369</v>
      </c>
      <c r="F52" s="733">
        <f t="shared" si="6"/>
        <v>16.624654393190731</v>
      </c>
      <c r="G52" s="733">
        <f t="shared" si="6"/>
        <v>0</v>
      </c>
      <c r="H52" s="733">
        <f t="shared" si="6"/>
        <v>6322.4996346210164</v>
      </c>
      <c r="I52" s="733">
        <f t="shared" si="6"/>
        <v>1077.7147586637925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7593.8541671181074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85.092866794382715</v>
      </c>
      <c r="D54" s="704">
        <f ca="1">+landbouw!C12</f>
        <v>0</v>
      </c>
      <c r="E54" s="704">
        <f>+landbouw!D12</f>
        <v>39.142521128244539</v>
      </c>
      <c r="F54" s="704">
        <f>+landbouw!E12</f>
        <v>0.83373486969455612</v>
      </c>
      <c r="G54" s="704">
        <f>+landbouw!F12</f>
        <v>268.62227989775249</v>
      </c>
      <c r="H54" s="704">
        <f>+landbouw!G12</f>
        <v>0</v>
      </c>
      <c r="I54" s="704">
        <f>+landbouw!H12</f>
        <v>0</v>
      </c>
      <c r="J54" s="704">
        <f>+landbouw!I12</f>
        <v>0</v>
      </c>
      <c r="K54" s="704">
        <f>+landbouw!J12</f>
        <v>21.520617306077312</v>
      </c>
      <c r="L54" s="704">
        <f>+landbouw!K12</f>
        <v>0</v>
      </c>
      <c r="M54" s="704">
        <f>+landbouw!L12</f>
        <v>0</v>
      </c>
      <c r="N54" s="704">
        <f>+landbouw!M12</f>
        <v>0</v>
      </c>
      <c r="O54" s="704">
        <f>+landbouw!N12</f>
        <v>0</v>
      </c>
      <c r="P54" s="704">
        <f>+landbouw!O12</f>
        <v>0</v>
      </c>
      <c r="Q54" s="705">
        <f>+landbouw!P12</f>
        <v>0</v>
      </c>
      <c r="R54" s="732">
        <f ca="1">SUM(C54:Q54)</f>
        <v>415.21201999615164</v>
      </c>
    </row>
    <row r="55" spans="1:18" ht="15" thickBot="1">
      <c r="A55" s="826" t="s">
        <v>864</v>
      </c>
      <c r="B55" s="836"/>
      <c r="C55" s="704">
        <f ca="1">C25*'EF ele_warmte'!B12</f>
        <v>1044.9183397872678</v>
      </c>
      <c r="D55" s="704"/>
      <c r="E55" s="704">
        <f>E25*EF_CO2_aardgas</f>
        <v>1935.5741081178633</v>
      </c>
      <c r="F55" s="704"/>
      <c r="G55" s="704"/>
      <c r="H55" s="704"/>
      <c r="I55" s="704"/>
      <c r="J55" s="704"/>
      <c r="K55" s="704"/>
      <c r="L55" s="704"/>
      <c r="M55" s="704"/>
      <c r="N55" s="704"/>
      <c r="O55" s="704"/>
      <c r="P55" s="704"/>
      <c r="Q55" s="705"/>
      <c r="R55" s="732">
        <f ca="1">SUM(C55:Q55)</f>
        <v>2980.492447905131</v>
      </c>
    </row>
    <row r="56" spans="1:18" ht="15.75" thickBot="1">
      <c r="A56" s="824" t="s">
        <v>865</v>
      </c>
      <c r="B56" s="837"/>
      <c r="C56" s="733">
        <f ca="1">SUM(C54:C55)</f>
        <v>1130.0112065816504</v>
      </c>
      <c r="D56" s="733">
        <f t="shared" ref="D56:Q56" ca="1" si="7">SUM(D54:D55)</f>
        <v>0</v>
      </c>
      <c r="E56" s="733">
        <f t="shared" si="7"/>
        <v>1974.7166292461079</v>
      </c>
      <c r="F56" s="733">
        <f t="shared" si="7"/>
        <v>0.83373486969455612</v>
      </c>
      <c r="G56" s="733">
        <f t="shared" si="7"/>
        <v>268.62227989775249</v>
      </c>
      <c r="H56" s="733">
        <f t="shared" si="7"/>
        <v>0</v>
      </c>
      <c r="I56" s="733">
        <f t="shared" si="7"/>
        <v>0</v>
      </c>
      <c r="J56" s="733">
        <f t="shared" si="7"/>
        <v>0</v>
      </c>
      <c r="K56" s="733">
        <f t="shared" si="7"/>
        <v>21.520617306077312</v>
      </c>
      <c r="L56" s="733">
        <f t="shared" si="7"/>
        <v>0</v>
      </c>
      <c r="M56" s="733">
        <f t="shared" si="7"/>
        <v>0</v>
      </c>
      <c r="N56" s="733">
        <f t="shared" si="7"/>
        <v>0</v>
      </c>
      <c r="O56" s="733">
        <f t="shared" si="7"/>
        <v>0</v>
      </c>
      <c r="P56" s="733">
        <f t="shared" si="7"/>
        <v>0</v>
      </c>
      <c r="Q56" s="734">
        <f t="shared" si="7"/>
        <v>0</v>
      </c>
      <c r="R56" s="735">
        <f ca="1">SUM(R54:R55)</f>
        <v>3395.7044679012824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19871.597457741373</v>
      </c>
      <c r="D61" s="741">
        <f t="shared" ref="D61:Q61" ca="1" si="8">D46+D52+D56</f>
        <v>0</v>
      </c>
      <c r="E61" s="741">
        <f t="shared" ca="1" si="8"/>
        <v>31807.264590579762</v>
      </c>
      <c r="F61" s="741">
        <f t="shared" si="8"/>
        <v>269.36799900813855</v>
      </c>
      <c r="G61" s="741">
        <f t="shared" ca="1" si="8"/>
        <v>2755.258876829309</v>
      </c>
      <c r="H61" s="741">
        <f t="shared" si="8"/>
        <v>6322.4996346210164</v>
      </c>
      <c r="I61" s="741">
        <f t="shared" si="8"/>
        <v>1077.7147586637925</v>
      </c>
      <c r="J61" s="741">
        <f t="shared" si="8"/>
        <v>0</v>
      </c>
      <c r="K61" s="741">
        <f t="shared" si="8"/>
        <v>26.051961109082022</v>
      </c>
      <c r="L61" s="741">
        <f t="shared" si="8"/>
        <v>0</v>
      </c>
      <c r="M61" s="741">
        <f t="shared" ca="1" si="8"/>
        <v>0</v>
      </c>
      <c r="N61" s="741">
        <f t="shared" si="8"/>
        <v>0</v>
      </c>
      <c r="O61" s="741">
        <f t="shared" ca="1" si="8"/>
        <v>0</v>
      </c>
      <c r="P61" s="741">
        <f t="shared" si="8"/>
        <v>0</v>
      </c>
      <c r="Q61" s="741">
        <f t="shared" si="8"/>
        <v>0</v>
      </c>
      <c r="R61" s="741">
        <f ca="1">R46+R52+R56</f>
        <v>62129.755278552482</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0.21459295615703347</v>
      </c>
      <c r="D63" s="782">
        <f t="shared" ca="1" si="9"/>
        <v>0</v>
      </c>
      <c r="E63" s="1036">
        <f t="shared" ca="1" si="9"/>
        <v>0.20199999999999996</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2684.6195017136552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2684.6195017136552</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2684.6195017136552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2684.6195017136552</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38838.311850914208</v>
      </c>
      <c r="C4" s="478">
        <f>huishoudens!C8</f>
        <v>0</v>
      </c>
      <c r="D4" s="478">
        <f>huishoudens!D8</f>
        <v>91434.221042952093</v>
      </c>
      <c r="E4" s="478">
        <f>huishoudens!E8</f>
        <v>0.9325309661003971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4.3051832708781266</v>
      </c>
      <c r="O4" s="478">
        <f>huishoudens!O8</f>
        <v>112.56000000000002</v>
      </c>
      <c r="P4" s="479">
        <f>huishoudens!P8</f>
        <v>76.266666666666666</v>
      </c>
      <c r="Q4" s="480">
        <f>SUM(B4:P4)</f>
        <v>130466.59727476994</v>
      </c>
    </row>
    <row r="5" spans="1:17">
      <c r="A5" s="477" t="s">
        <v>156</v>
      </c>
      <c r="B5" s="478">
        <f ca="1">tertiair!B16</f>
        <v>43916.281000000003</v>
      </c>
      <c r="C5" s="478">
        <f ca="1">tertiair!C16</f>
        <v>0</v>
      </c>
      <c r="D5" s="478">
        <f ca="1">tertiair!D16</f>
        <v>53957.651509241659</v>
      </c>
      <c r="E5" s="478">
        <f>tertiair!E16</f>
        <v>797.59988898701897</v>
      </c>
      <c r="F5" s="478">
        <f ca="1">tertiair!F16</f>
        <v>7427.6499087385091</v>
      </c>
      <c r="G5" s="478">
        <f>tertiair!G16</f>
        <v>0</v>
      </c>
      <c r="H5" s="478">
        <f>tertiair!H16</f>
        <v>0</v>
      </c>
      <c r="I5" s="478">
        <f>tertiair!I16</f>
        <v>0</v>
      </c>
      <c r="J5" s="478">
        <f>tertiair!J16</f>
        <v>0</v>
      </c>
      <c r="K5" s="478">
        <f>tertiair!K16</f>
        <v>0</v>
      </c>
      <c r="L5" s="478">
        <f ca="1">tertiair!L16</f>
        <v>0</v>
      </c>
      <c r="M5" s="478">
        <f>tertiair!M16</f>
        <v>0</v>
      </c>
      <c r="N5" s="478">
        <f ca="1">tertiair!N16</f>
        <v>4529.1472252592794</v>
      </c>
      <c r="O5" s="478">
        <f>tertiair!O16</f>
        <v>3.1266666666666669</v>
      </c>
      <c r="P5" s="479">
        <f>tertiair!P16</f>
        <v>38.133333333333333</v>
      </c>
      <c r="Q5" s="477">
        <f t="shared" ref="Q5:Q14" ca="1" si="0">SUM(B5:P5)</f>
        <v>110669.58953222646</v>
      </c>
    </row>
    <row r="6" spans="1:17">
      <c r="A6" s="477" t="s">
        <v>194</v>
      </c>
      <c r="B6" s="478">
        <f>'openbare verlichting'!B8</f>
        <v>1801.3209999999999</v>
      </c>
      <c r="C6" s="478"/>
      <c r="D6" s="478"/>
      <c r="E6" s="478"/>
      <c r="F6" s="478"/>
      <c r="G6" s="478"/>
      <c r="H6" s="478"/>
      <c r="I6" s="478"/>
      <c r="J6" s="478"/>
      <c r="K6" s="478"/>
      <c r="L6" s="478"/>
      <c r="M6" s="478"/>
      <c r="N6" s="478"/>
      <c r="O6" s="478"/>
      <c r="P6" s="479"/>
      <c r="Q6" s="477">
        <f t="shared" si="0"/>
        <v>1801.3209999999999</v>
      </c>
    </row>
    <row r="7" spans="1:17">
      <c r="A7" s="477" t="s">
        <v>112</v>
      </c>
      <c r="B7" s="478">
        <f>landbouw!B8</f>
        <v>396.53149999999999</v>
      </c>
      <c r="C7" s="478">
        <f>landbouw!C8</f>
        <v>0</v>
      </c>
      <c r="D7" s="478">
        <f>landbouw!D8</f>
        <v>193.7748570705175</v>
      </c>
      <c r="E7" s="478">
        <f>landbouw!E8</f>
        <v>3.6728408356588376</v>
      </c>
      <c r="F7" s="478">
        <f>landbouw!F8</f>
        <v>1006.0759546732303</v>
      </c>
      <c r="G7" s="478">
        <f>landbouw!G8</f>
        <v>0</v>
      </c>
      <c r="H7" s="478">
        <f>landbouw!H8</f>
        <v>0</v>
      </c>
      <c r="I7" s="478">
        <f>landbouw!I8</f>
        <v>0</v>
      </c>
      <c r="J7" s="478">
        <f>landbouw!J8</f>
        <v>60.792704254455685</v>
      </c>
      <c r="K7" s="478">
        <f>landbouw!K8</f>
        <v>0</v>
      </c>
      <c r="L7" s="478">
        <f>landbouw!L8</f>
        <v>0</v>
      </c>
      <c r="M7" s="478">
        <f>landbouw!M8</f>
        <v>0</v>
      </c>
      <c r="N7" s="478">
        <f>landbouw!N8</f>
        <v>0</v>
      </c>
      <c r="O7" s="478">
        <f>landbouw!O8</f>
        <v>0</v>
      </c>
      <c r="P7" s="479">
        <f>landbouw!P8</f>
        <v>0</v>
      </c>
      <c r="Q7" s="477">
        <f t="shared" si="0"/>
        <v>1660.8478568338624</v>
      </c>
    </row>
    <row r="8" spans="1:17">
      <c r="A8" s="477" t="s">
        <v>650</v>
      </c>
      <c r="B8" s="478">
        <f>industrie!B18</f>
        <v>1965.4591800000001</v>
      </c>
      <c r="C8" s="478">
        <f>industrie!C18</f>
        <v>0</v>
      </c>
      <c r="D8" s="478">
        <f>industrie!D18</f>
        <v>2282.5922180238626</v>
      </c>
      <c r="E8" s="478">
        <f>industrie!E18</f>
        <v>311.20154368235734</v>
      </c>
      <c r="F8" s="478">
        <f>industrie!F18</f>
        <v>1885.5957726530885</v>
      </c>
      <c r="G8" s="478">
        <f>industrie!G18</f>
        <v>0</v>
      </c>
      <c r="H8" s="478">
        <f>industrie!H18</f>
        <v>0</v>
      </c>
      <c r="I8" s="478">
        <f>industrie!I18</f>
        <v>0</v>
      </c>
      <c r="J8" s="478">
        <f>industrie!J18</f>
        <v>12.800406223177148</v>
      </c>
      <c r="K8" s="478">
        <f>industrie!K18</f>
        <v>0</v>
      </c>
      <c r="L8" s="478">
        <f>industrie!L18</f>
        <v>0</v>
      </c>
      <c r="M8" s="478">
        <f>industrie!M18</f>
        <v>0</v>
      </c>
      <c r="N8" s="478">
        <f>industrie!N18</f>
        <v>673.75466425109221</v>
      </c>
      <c r="O8" s="478">
        <f>industrie!O18</f>
        <v>0</v>
      </c>
      <c r="P8" s="479">
        <f>industrie!P18</f>
        <v>0</v>
      </c>
      <c r="Q8" s="477">
        <f t="shared" si="0"/>
        <v>7131.4037848335793</v>
      </c>
    </row>
    <row r="9" spans="1:17" s="483" customFormat="1">
      <c r="A9" s="481" t="s">
        <v>571</v>
      </c>
      <c r="B9" s="482">
        <f>transport!B14</f>
        <v>4.5240691639731816</v>
      </c>
      <c r="C9" s="482">
        <f>transport!C14</f>
        <v>0</v>
      </c>
      <c r="D9" s="482">
        <f>transport!D14</f>
        <v>11.416226483646717</v>
      </c>
      <c r="E9" s="482">
        <f>transport!E14</f>
        <v>73.236362965597934</v>
      </c>
      <c r="F9" s="482">
        <f>transport!F14</f>
        <v>0</v>
      </c>
      <c r="G9" s="482">
        <f>transport!G14</f>
        <v>23350.541462555335</v>
      </c>
      <c r="H9" s="482">
        <f>transport!H14</f>
        <v>4328.1717215413355</v>
      </c>
      <c r="I9" s="482">
        <f>transport!I14</f>
        <v>0</v>
      </c>
      <c r="J9" s="482">
        <f>transport!J14</f>
        <v>0</v>
      </c>
      <c r="K9" s="482">
        <f>transport!K14</f>
        <v>0</v>
      </c>
      <c r="L9" s="482">
        <f>transport!L14</f>
        <v>0</v>
      </c>
      <c r="M9" s="482">
        <f>transport!M14</f>
        <v>1483.9595972072657</v>
      </c>
      <c r="N9" s="482">
        <f>transport!N14</f>
        <v>0</v>
      </c>
      <c r="O9" s="482">
        <f>transport!O14</f>
        <v>0</v>
      </c>
      <c r="P9" s="482">
        <f>transport!P14</f>
        <v>0</v>
      </c>
      <c r="Q9" s="481">
        <f>SUM(B9:P9)</f>
        <v>29251.849439917154</v>
      </c>
    </row>
    <row r="10" spans="1:17">
      <c r="A10" s="477" t="s">
        <v>561</v>
      </c>
      <c r="B10" s="478">
        <f>transport!B54</f>
        <v>809.61747965072038</v>
      </c>
      <c r="C10" s="478">
        <f>transport!C54</f>
        <v>0</v>
      </c>
      <c r="D10" s="478">
        <f>transport!D54</f>
        <v>0</v>
      </c>
      <c r="E10" s="478">
        <f>transport!E54</f>
        <v>0</v>
      </c>
      <c r="F10" s="478">
        <f>transport!F54</f>
        <v>0</v>
      </c>
      <c r="G10" s="478">
        <f>transport!G54</f>
        <v>329.23244988292606</v>
      </c>
      <c r="H10" s="478">
        <f>transport!H54</f>
        <v>0</v>
      </c>
      <c r="I10" s="478">
        <f>transport!I54</f>
        <v>0</v>
      </c>
      <c r="J10" s="478">
        <f>transport!J54</f>
        <v>0</v>
      </c>
      <c r="K10" s="478">
        <f>transport!K54</f>
        <v>0</v>
      </c>
      <c r="L10" s="478">
        <f>transport!L54</f>
        <v>0</v>
      </c>
      <c r="M10" s="478">
        <f>transport!M54</f>
        <v>18.775166852385631</v>
      </c>
      <c r="N10" s="478">
        <f>transport!N54</f>
        <v>0</v>
      </c>
      <c r="O10" s="478">
        <f>transport!O54</f>
        <v>0</v>
      </c>
      <c r="P10" s="479">
        <f>transport!P54</f>
        <v>0</v>
      </c>
      <c r="Q10" s="477">
        <f t="shared" si="0"/>
        <v>1157.6250963860321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4869.3040000000001</v>
      </c>
      <c r="C14" s="485"/>
      <c r="D14" s="485">
        <f>'SEAP template'!E25</f>
        <v>9582.0500401874415</v>
      </c>
      <c r="E14" s="485"/>
      <c r="F14" s="485"/>
      <c r="G14" s="485"/>
      <c r="H14" s="485"/>
      <c r="I14" s="485"/>
      <c r="J14" s="485"/>
      <c r="K14" s="485"/>
      <c r="L14" s="485"/>
      <c r="M14" s="485"/>
      <c r="N14" s="485"/>
      <c r="O14" s="485"/>
      <c r="P14" s="486"/>
      <c r="Q14" s="477">
        <f t="shared" si="0"/>
        <v>14451.354040187442</v>
      </c>
    </row>
    <row r="15" spans="1:17" s="487" customFormat="1">
      <c r="A15" s="1051" t="s">
        <v>565</v>
      </c>
      <c r="B15" s="991">
        <f ca="1">SUM(B4:B14)</f>
        <v>92601.350079728916</v>
      </c>
      <c r="C15" s="991">
        <f t="shared" ref="C15:Q15" ca="1" si="1">SUM(C4:C14)</f>
        <v>0</v>
      </c>
      <c r="D15" s="991">
        <f t="shared" ca="1" si="1"/>
        <v>157461.70589395924</v>
      </c>
      <c r="E15" s="991">
        <f t="shared" si="1"/>
        <v>1186.6431674367334</v>
      </c>
      <c r="F15" s="991">
        <f t="shared" ca="1" si="1"/>
        <v>10319.321636064828</v>
      </c>
      <c r="G15" s="991">
        <f t="shared" si="1"/>
        <v>23679.773912438261</v>
      </c>
      <c r="H15" s="991">
        <f t="shared" si="1"/>
        <v>4328.1717215413355</v>
      </c>
      <c r="I15" s="991">
        <f t="shared" si="1"/>
        <v>0</v>
      </c>
      <c r="J15" s="991">
        <f t="shared" si="1"/>
        <v>73.593110477632834</v>
      </c>
      <c r="K15" s="991">
        <f t="shared" si="1"/>
        <v>0</v>
      </c>
      <c r="L15" s="991">
        <f t="shared" ca="1" si="1"/>
        <v>0</v>
      </c>
      <c r="M15" s="991">
        <f t="shared" si="1"/>
        <v>1502.7347640596513</v>
      </c>
      <c r="N15" s="991">
        <f t="shared" ca="1" si="1"/>
        <v>5207.2070727812497</v>
      </c>
      <c r="O15" s="991">
        <f t="shared" si="1"/>
        <v>115.68666666666668</v>
      </c>
      <c r="P15" s="991">
        <f t="shared" si="1"/>
        <v>114.4</v>
      </c>
      <c r="Q15" s="991">
        <f t="shared" ca="1" si="1"/>
        <v>296590.58802515443</v>
      </c>
    </row>
    <row r="17" spans="1:17">
      <c r="A17" s="488" t="s">
        <v>566</v>
      </c>
      <c r="B17" s="787">
        <f ca="1">huishoudens!B10</f>
        <v>0.21459295615703347</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8334.4281522364254</v>
      </c>
      <c r="C22" s="478">
        <f t="shared" ref="C22:C32" ca="1" si="3">C4*$C$17</f>
        <v>0</v>
      </c>
      <c r="D22" s="478">
        <f t="shared" ref="D22:D32" si="4">D4*$D$17</f>
        <v>18469.712650676323</v>
      </c>
      <c r="E22" s="478">
        <f t="shared" ref="E22:E32" si="5">E4*$E$17</f>
        <v>0.21168452930479015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26804.352487442055</v>
      </c>
    </row>
    <row r="23" spans="1:17">
      <c r="A23" s="477" t="s">
        <v>156</v>
      </c>
      <c r="B23" s="478">
        <f t="shared" ca="1" si="2"/>
        <v>9424.124563212963</v>
      </c>
      <c r="C23" s="478">
        <f t="shared" ca="1" si="3"/>
        <v>0</v>
      </c>
      <c r="D23" s="478">
        <f t="shared" ca="1" si="4"/>
        <v>10899.445604866816</v>
      </c>
      <c r="E23" s="478">
        <f t="shared" si="5"/>
        <v>181.05517480005332</v>
      </c>
      <c r="F23" s="478">
        <f t="shared" ca="1" si="6"/>
        <v>1983.182525633182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22487.807868513017</v>
      </c>
    </row>
    <row r="24" spans="1:17">
      <c r="A24" s="477" t="s">
        <v>194</v>
      </c>
      <c r="B24" s="478">
        <f t="shared" ca="1" si="2"/>
        <v>386.55079837774366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386.55079837774366</v>
      </c>
    </row>
    <row r="25" spans="1:17">
      <c r="A25" s="477" t="s">
        <v>112</v>
      </c>
      <c r="B25" s="478">
        <f t="shared" ca="1" si="2"/>
        <v>85.092866794382715</v>
      </c>
      <c r="C25" s="478">
        <f t="shared" ca="1" si="3"/>
        <v>0</v>
      </c>
      <c r="D25" s="478">
        <f t="shared" si="4"/>
        <v>39.142521128244539</v>
      </c>
      <c r="E25" s="478">
        <f t="shared" si="5"/>
        <v>0.83373486969455612</v>
      </c>
      <c r="F25" s="478">
        <f t="shared" si="6"/>
        <v>268.62227989775249</v>
      </c>
      <c r="G25" s="478">
        <f t="shared" si="7"/>
        <v>0</v>
      </c>
      <c r="H25" s="478">
        <f t="shared" si="8"/>
        <v>0</v>
      </c>
      <c r="I25" s="478">
        <f t="shared" si="9"/>
        <v>0</v>
      </c>
      <c r="J25" s="478">
        <f t="shared" si="10"/>
        <v>21.520617306077312</v>
      </c>
      <c r="K25" s="478">
        <f t="shared" si="11"/>
        <v>0</v>
      </c>
      <c r="L25" s="478">
        <f t="shared" si="12"/>
        <v>0</v>
      </c>
      <c r="M25" s="478">
        <f t="shared" si="13"/>
        <v>0</v>
      </c>
      <c r="N25" s="478">
        <f t="shared" si="14"/>
        <v>0</v>
      </c>
      <c r="O25" s="478">
        <f t="shared" si="15"/>
        <v>0</v>
      </c>
      <c r="P25" s="479">
        <f t="shared" si="16"/>
        <v>0</v>
      </c>
      <c r="Q25" s="477">
        <f t="shared" ca="1" si="17"/>
        <v>415.21201999615164</v>
      </c>
    </row>
    <row r="26" spans="1:17">
      <c r="A26" s="477" t="s">
        <v>650</v>
      </c>
      <c r="B26" s="478">
        <f t="shared" ca="1" si="2"/>
        <v>421.77369564217895</v>
      </c>
      <c r="C26" s="478">
        <f t="shared" ca="1" si="3"/>
        <v>0</v>
      </c>
      <c r="D26" s="478">
        <f t="shared" si="4"/>
        <v>461.08362804082026</v>
      </c>
      <c r="E26" s="478">
        <f t="shared" si="5"/>
        <v>70.642750415895122</v>
      </c>
      <c r="F26" s="478">
        <f t="shared" si="6"/>
        <v>503.45407129837463</v>
      </c>
      <c r="G26" s="478">
        <f t="shared" si="7"/>
        <v>0</v>
      </c>
      <c r="H26" s="478">
        <f t="shared" si="8"/>
        <v>0</v>
      </c>
      <c r="I26" s="478">
        <f t="shared" si="9"/>
        <v>0</v>
      </c>
      <c r="J26" s="478">
        <f t="shared" si="10"/>
        <v>4.5313438030047104</v>
      </c>
      <c r="K26" s="478">
        <f t="shared" si="11"/>
        <v>0</v>
      </c>
      <c r="L26" s="478">
        <f t="shared" si="12"/>
        <v>0</v>
      </c>
      <c r="M26" s="478">
        <f t="shared" si="13"/>
        <v>0</v>
      </c>
      <c r="N26" s="478">
        <f t="shared" si="14"/>
        <v>0</v>
      </c>
      <c r="O26" s="478">
        <f t="shared" si="15"/>
        <v>0</v>
      </c>
      <c r="P26" s="479">
        <f t="shared" si="16"/>
        <v>0</v>
      </c>
      <c r="Q26" s="477">
        <f t="shared" ca="1" si="17"/>
        <v>1461.4854892002736</v>
      </c>
    </row>
    <row r="27" spans="1:17" s="483" customFormat="1">
      <c r="A27" s="481" t="s">
        <v>571</v>
      </c>
      <c r="B27" s="781">
        <f t="shared" ca="1" si="2"/>
        <v>0.97083337575588402</v>
      </c>
      <c r="C27" s="482">
        <f t="shared" ca="1" si="3"/>
        <v>0</v>
      </c>
      <c r="D27" s="482">
        <f t="shared" si="4"/>
        <v>2.3060777496966369</v>
      </c>
      <c r="E27" s="482">
        <f t="shared" si="5"/>
        <v>16.624654393190731</v>
      </c>
      <c r="F27" s="482">
        <f t="shared" si="6"/>
        <v>0</v>
      </c>
      <c r="G27" s="482">
        <f t="shared" si="7"/>
        <v>6234.594570502275</v>
      </c>
      <c r="H27" s="482">
        <f t="shared" si="8"/>
        <v>1077.7147586637925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7332.2108946847111</v>
      </c>
    </row>
    <row r="28" spans="1:17">
      <c r="A28" s="477" t="s">
        <v>561</v>
      </c>
      <c r="B28" s="478">
        <f t="shared" ca="1" si="2"/>
        <v>173.73820831465497</v>
      </c>
      <c r="C28" s="478">
        <f t="shared" ca="1" si="3"/>
        <v>0</v>
      </c>
      <c r="D28" s="478">
        <f t="shared" si="4"/>
        <v>0</v>
      </c>
      <c r="E28" s="478">
        <f t="shared" si="5"/>
        <v>0</v>
      </c>
      <c r="F28" s="478">
        <f t="shared" si="6"/>
        <v>0</v>
      </c>
      <c r="G28" s="478">
        <f t="shared" si="7"/>
        <v>87.905064118741265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261.64327243339625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1044.9183397872678</v>
      </c>
      <c r="C32" s="478">
        <f t="shared" ca="1" si="3"/>
        <v>0</v>
      </c>
      <c r="D32" s="478">
        <f t="shared" si="4"/>
        <v>1935.5741081178633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2980.492447905131</v>
      </c>
    </row>
    <row r="33" spans="1:17" s="487" customFormat="1">
      <c r="A33" s="1051" t="s">
        <v>565</v>
      </c>
      <c r="B33" s="991">
        <f ca="1">SUM(B22:B32)</f>
        <v>19871.597457741376</v>
      </c>
      <c r="C33" s="991">
        <f t="shared" ref="C33:Q33" ca="1" si="18">SUM(C22:C32)</f>
        <v>0</v>
      </c>
      <c r="D33" s="991">
        <f t="shared" ca="1" si="18"/>
        <v>31807.264590579765</v>
      </c>
      <c r="E33" s="991">
        <f t="shared" si="18"/>
        <v>269.3679990081385</v>
      </c>
      <c r="F33" s="991">
        <f t="shared" ca="1" si="18"/>
        <v>2755.258876829309</v>
      </c>
      <c r="G33" s="991">
        <f t="shared" si="18"/>
        <v>6322.4996346210164</v>
      </c>
      <c r="H33" s="991">
        <f t="shared" si="18"/>
        <v>1077.7147586637925</v>
      </c>
      <c r="I33" s="991">
        <f t="shared" si="18"/>
        <v>0</v>
      </c>
      <c r="J33" s="991">
        <f t="shared" si="18"/>
        <v>26.051961109082022</v>
      </c>
      <c r="K33" s="991">
        <f t="shared" si="18"/>
        <v>0</v>
      </c>
      <c r="L33" s="991">
        <f t="shared" ca="1" si="18"/>
        <v>0</v>
      </c>
      <c r="M33" s="991">
        <f t="shared" si="18"/>
        <v>0</v>
      </c>
      <c r="N33" s="991">
        <f t="shared" ca="1" si="18"/>
        <v>0</v>
      </c>
      <c r="O33" s="991">
        <f t="shared" si="18"/>
        <v>0</v>
      </c>
      <c r="P33" s="991">
        <f t="shared" si="18"/>
        <v>0</v>
      </c>
      <c r="Q33" s="991">
        <f t="shared" ca="1" si="18"/>
        <v>62129.755278552475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2684.6195017136552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2684.6195017136552</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0.21459295615703347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0.21459295615703347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2019-08-12T08:08:16Z</dcterms:modified>
</cp:coreProperties>
</file>