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E9"/>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O89"/>
  <c r="N89"/>
  <c r="B9" s="1"/>
  <c r="M89"/>
  <c r="W61"/>
  <c r="V61"/>
  <c r="U61"/>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P26" s="1"/>
  <c r="N24"/>
  <c r="N26" s="1"/>
  <c r="L24"/>
  <c r="L26" s="1"/>
  <c r="J24"/>
  <c r="I24"/>
  <c r="H24"/>
  <c r="Q50"/>
  <c r="P50"/>
  <c r="O50"/>
  <c r="M50"/>
  <c r="L50"/>
  <c r="K50"/>
  <c r="J50"/>
  <c r="G50"/>
  <c r="D50"/>
  <c r="Q49"/>
  <c r="P49"/>
  <c r="P52" s="1"/>
  <c r="Q20"/>
  <c r="P20"/>
  <c r="O20"/>
  <c r="M20"/>
  <c r="L20"/>
  <c r="L22" s="1"/>
  <c r="K20"/>
  <c r="J20"/>
  <c r="G20"/>
  <c r="D20"/>
  <c r="D22" s="1"/>
  <c r="Q19"/>
  <c r="P19"/>
  <c r="O19"/>
  <c r="M19"/>
  <c r="L19"/>
  <c r="K19"/>
  <c r="K22" s="1"/>
  <c r="J19"/>
  <c r="J22" s="1"/>
  <c r="I19"/>
  <c r="G19"/>
  <c r="F19"/>
  <c r="E19"/>
  <c r="D19"/>
  <c r="Q48"/>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J26"/>
  <c r="I26"/>
  <c r="H26"/>
  <c r="O22"/>
  <c r="N78" l="1"/>
  <c r="N9" i="59"/>
  <c r="L90" i="14"/>
  <c r="L18" i="59"/>
  <c r="L20" s="1"/>
  <c r="E88" i="14"/>
  <c r="E18" i="59" s="1"/>
  <c r="D20" i="18"/>
  <c r="P32" i="48"/>
  <c r="P29"/>
  <c r="P28"/>
  <c r="Q14"/>
  <c r="N6" i="17"/>
  <c r="L6"/>
  <c r="Q52" i="14"/>
  <c r="P27" i="48"/>
  <c r="H90" i="14"/>
  <c r="H18" i="59"/>
  <c r="H20" s="1"/>
  <c r="G77" i="14"/>
  <c r="G9" i="59" s="1"/>
  <c r="G10" s="1"/>
  <c r="I77" i="14"/>
  <c r="I9" i="59" s="1"/>
  <c r="O10"/>
  <c r="M22" i="14"/>
  <c r="N10" i="59"/>
  <c r="G20"/>
  <c r="K20"/>
  <c r="C98" i="18"/>
  <c r="D101" s="1"/>
  <c r="D13" i="15"/>
  <c r="C16" i="16"/>
  <c r="P22" i="14"/>
  <c r="E20" i="59"/>
  <c r="L10" i="18"/>
  <c r="C13" i="15"/>
  <c r="B16" i="16"/>
  <c r="L78" i="14"/>
  <c r="K10" i="59"/>
  <c r="D14" i="48"/>
  <c r="K10" i="18"/>
  <c r="I9"/>
  <c r="F20"/>
  <c r="K78" i="14"/>
  <c r="B17" i="18"/>
  <c r="B20" s="1"/>
  <c r="M77" i="14"/>
  <c r="M9" i="59" s="1"/>
  <c r="H9" i="18"/>
  <c r="B13" i="15"/>
  <c r="B10" i="18"/>
  <c r="N13" i="15"/>
  <c r="L13"/>
  <c r="F77" i="14"/>
  <c r="F9" i="59" s="1"/>
  <c r="G101" i="18"/>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R9" i="14"/>
  <c r="R25"/>
  <c r="K90"/>
  <c r="H78" l="1"/>
  <c r="H9" i="59"/>
  <c r="H10" s="1"/>
  <c r="O90" i="14"/>
  <c r="O18" i="59"/>
  <c r="O20" s="1"/>
  <c r="N90" i="14"/>
  <c r="N18" i="59"/>
  <c r="N20" s="1"/>
  <c r="C101" i="18"/>
  <c r="B101"/>
  <c r="C8" s="1"/>
  <c r="C10" s="1"/>
  <c r="I101"/>
  <c r="H8" s="1"/>
  <c r="M76" i="14" s="1"/>
  <c r="E101" i="18"/>
  <c r="E8" s="1"/>
  <c r="F76" i="14" s="1"/>
  <c r="Q77"/>
  <c r="P9" i="59" s="1"/>
  <c r="F101" i="18"/>
  <c r="I8" s="1"/>
  <c r="E90" i="14"/>
  <c r="H101" i="18"/>
  <c r="C77" i="14"/>
  <c r="C9" i="59" s="1"/>
  <c r="J87" i="14"/>
  <c r="J20" i="18"/>
  <c r="H20"/>
  <c r="M87" i="14"/>
  <c r="C20" i="18"/>
  <c r="O17"/>
  <c r="O20" s="1"/>
  <c r="D87" i="14"/>
  <c r="D17" i="59" s="1"/>
  <c r="D20" s="1"/>
  <c r="B88" i="14"/>
  <c r="B18" i="59" s="1"/>
  <c r="I17" i="18"/>
  <c r="J8"/>
  <c r="C88" i="14"/>
  <c r="C18" i="59" s="1"/>
  <c r="B77" i="14"/>
  <c r="B9" i="59" s="1"/>
  <c r="E20" i="18"/>
  <c r="F87" i="14"/>
  <c r="Q88"/>
  <c r="P18" i="59" s="1"/>
  <c r="H14" i="15"/>
  <c r="H16" s="1"/>
  <c r="G14"/>
  <c r="G16" s="1"/>
  <c r="M78" i="14" l="1"/>
  <c r="M8" i="59"/>
  <c r="M10" s="1"/>
  <c r="F78" i="14"/>
  <c r="F8" i="59"/>
  <c r="F10" s="1"/>
  <c r="I76" i="14"/>
  <c r="I8" i="59" s="1"/>
  <c r="I10" s="1"/>
  <c r="I10" i="18"/>
  <c r="I10" i="14"/>
  <c r="I16" s="1"/>
  <c r="H5" i="48"/>
  <c r="F90" i="14"/>
  <c r="F17" i="59"/>
  <c r="F20" s="1"/>
  <c r="H10" i="14"/>
  <c r="H16" s="1"/>
  <c r="G5" i="48"/>
  <c r="O8" i="18"/>
  <c r="O10" s="1"/>
  <c r="D76" i="14"/>
  <c r="D8" i="59" s="1"/>
  <c r="D10" s="1"/>
  <c r="E10" i="18"/>
  <c r="J90" i="14"/>
  <c r="J17" i="59"/>
  <c r="J20" s="1"/>
  <c r="M90" i="14"/>
  <c r="M17" i="59"/>
  <c r="M20" s="1"/>
  <c r="H10" i="18"/>
  <c r="Q76" i="14"/>
  <c r="I78"/>
  <c r="J10" i="18"/>
  <c r="J76" i="14"/>
  <c r="I87"/>
  <c r="I17" i="59" s="1"/>
  <c r="I20" s="1"/>
  <c r="I20" i="18"/>
  <c r="Q87" i="14"/>
  <c r="D90"/>
  <c r="C87"/>
  <c r="A31" i="23"/>
  <c r="A32"/>
  <c r="A33"/>
  <c r="C90" i="14" l="1"/>
  <c r="C17" i="59"/>
  <c r="C20" s="1"/>
  <c r="B76" i="14"/>
  <c r="J78"/>
  <c r="J8" i="59"/>
  <c r="J10" s="1"/>
  <c r="Q90" i="14"/>
  <c r="B17" i="6" s="1"/>
  <c r="P17" i="59"/>
  <c r="P20" s="1"/>
  <c r="Q78" i="14"/>
  <c r="B9" i="6" s="1"/>
  <c r="P8" i="59"/>
  <c r="P10" s="1"/>
  <c r="D78" i="14"/>
  <c r="B87"/>
  <c r="I90"/>
  <c r="C76"/>
  <c r="B11" i="44"/>
  <c r="B25"/>
  <c r="B24"/>
  <c r="C78" i="14" l="1"/>
  <c r="C8" i="59"/>
  <c r="C10" s="1"/>
  <c r="B78" i="14"/>
  <c r="B4" i="6" s="1"/>
  <c r="B8" i="59"/>
  <c r="B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32"/>
  <c r="I22"/>
  <c r="I26"/>
  <c r="I25"/>
  <c r="I31"/>
  <c r="I24"/>
  <c r="I28"/>
  <c r="I27"/>
  <c r="I29"/>
  <c r="I30"/>
  <c r="G24"/>
  <c r="G29"/>
  <c r="G26"/>
  <c r="G25"/>
  <c r="G32"/>
  <c r="G22"/>
  <c r="G30"/>
  <c r="G23"/>
  <c r="L10" i="14"/>
  <c r="L16" s="1"/>
  <c r="L27" s="1"/>
  <c r="K5" i="48"/>
  <c r="D30"/>
  <c r="D31"/>
  <c r="D28"/>
  <c r="D29"/>
  <c r="D24"/>
  <c r="D32"/>
  <c r="L32"/>
  <c r="L28"/>
  <c r="L27"/>
  <c r="L31"/>
  <c r="L22"/>
  <c r="L30"/>
  <c r="L29"/>
  <c r="L24"/>
  <c r="Q10" i="14"/>
  <c r="P5" i="48"/>
  <c r="P23" s="1"/>
  <c r="K28"/>
  <c r="K32"/>
  <c r="K31"/>
  <c r="K25"/>
  <c r="K24"/>
  <c r="K29"/>
  <c r="K22"/>
  <c r="K27"/>
  <c r="K30"/>
  <c r="K26"/>
  <c r="B7"/>
  <c r="C24" i="14"/>
  <c r="C26" s="1"/>
  <c r="J15" i="16"/>
  <c r="J32" i="48"/>
  <c r="J30"/>
  <c r="J27"/>
  <c r="J31"/>
  <c r="J24"/>
  <c r="J29"/>
  <c r="J28"/>
  <c r="O4"/>
  <c r="P11" i="14"/>
  <c r="E11"/>
  <c r="D4" i="48"/>
  <c r="D22" s="1"/>
  <c r="H29"/>
  <c r="H26"/>
  <c r="H25"/>
  <c r="H32"/>
  <c r="H22"/>
  <c r="H30"/>
  <c r="H28"/>
  <c r="H24"/>
  <c r="H23"/>
  <c r="D11" i="14"/>
  <c r="C4" i="48"/>
  <c r="C11" i="14"/>
  <c r="B4" i="48"/>
  <c r="F30"/>
  <c r="F24"/>
  <c r="F32"/>
  <c r="F29"/>
  <c r="F28"/>
  <c r="F31"/>
  <c r="F27"/>
  <c r="N24"/>
  <c r="N32"/>
  <c r="N30"/>
  <c r="N27"/>
  <c r="N31"/>
  <c r="N28"/>
  <c r="N29"/>
  <c r="B10"/>
  <c r="C19" i="14"/>
  <c r="E31" i="48"/>
  <c r="E32"/>
  <c r="E29"/>
  <c r="E24"/>
  <c r="E28"/>
  <c r="E30"/>
  <c r="M32"/>
  <c r="M26"/>
  <c r="M29"/>
  <c r="M22"/>
  <c r="M25"/>
  <c r="M30"/>
  <c r="M24"/>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C22" s="1"/>
  <c r="G11"/>
  <c r="F4" i="48"/>
  <c r="F22" s="1"/>
  <c r="L46" i="14"/>
  <c r="L61" s="1"/>
  <c r="M12" i="22"/>
  <c r="M13" i="48"/>
  <c r="M31" s="1"/>
  <c r="N18" i="14"/>
  <c r="P22" i="48"/>
  <c r="G13"/>
  <c r="H18" i="14"/>
  <c r="I18"/>
  <c r="H13" i="48"/>
  <c r="H31" s="1"/>
  <c r="P22" i="16"/>
  <c r="Q43" i="14" s="1"/>
  <c r="P8" i="48"/>
  <c r="P26" s="1"/>
  <c r="Q13" i="14"/>
  <c r="J10"/>
  <c r="J16" s="1"/>
  <c r="J27" s="1"/>
  <c r="I5" i="48"/>
  <c r="O22"/>
  <c r="F20" i="14"/>
  <c r="F22" s="1"/>
  <c r="E9" i="48"/>
  <c r="E27" s="1"/>
  <c r="D9"/>
  <c r="D27" s="1"/>
  <c r="E20" i="14"/>
  <c r="E22" s="1"/>
  <c r="O5" i="48"/>
  <c r="O23" s="1"/>
  <c r="P10" i="14"/>
  <c r="J7" i="48"/>
  <c r="J25" s="1"/>
  <c r="K24" i="14"/>
  <c r="K26" s="1"/>
  <c r="K23" i="48"/>
  <c r="K33" s="1"/>
  <c r="K15"/>
  <c r="J63" i="14"/>
  <c r="Q16"/>
  <c r="Q27" s="1"/>
  <c r="L63"/>
  <c r="D10"/>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H19" i="14"/>
  <c r="G10" i="48"/>
  <c r="E12" i="13"/>
  <c r="F41" i="14" s="1"/>
  <c r="F11"/>
  <c r="R11" s="1"/>
  <c r="E4" i="48"/>
  <c r="N20" i="14"/>
  <c r="M9" i="48"/>
  <c r="P46" i="14"/>
  <c r="P61" s="1"/>
  <c r="P33" i="48"/>
  <c r="Q46" i="14"/>
  <c r="Q61" s="1"/>
  <c r="Q63" s="1"/>
  <c r="G14" i="22"/>
  <c r="N19" i="14"/>
  <c r="N22" s="1"/>
  <c r="N27" s="1"/>
  <c r="M10" i="48"/>
  <c r="M28" s="1"/>
  <c r="O22" i="16"/>
  <c r="P43" i="14" s="1"/>
  <c r="O8" i="48"/>
  <c r="P13" i="14"/>
  <c r="P16" s="1"/>
  <c r="P27" s="1"/>
  <c r="P63" s="1"/>
  <c r="K11"/>
  <c r="J4" i="48"/>
  <c r="I23"/>
  <c r="I33" s="1"/>
  <c r="I15"/>
  <c r="Q13"/>
  <c r="G31"/>
  <c r="F24" i="14"/>
  <c r="F26" s="1"/>
  <c r="E7" i="48"/>
  <c r="E25" s="1"/>
  <c r="P15"/>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J22"/>
  <c r="H20" i="14"/>
  <c r="G9" i="48"/>
  <c r="K10" i="14"/>
  <c r="J5" i="48"/>
  <c r="J23" s="1"/>
  <c r="M27"/>
  <c r="M33" s="1"/>
  <c r="M15"/>
  <c r="F10" i="14"/>
  <c r="E5" i="48"/>
  <c r="E23" s="1"/>
  <c r="I20" i="14"/>
  <c r="I22" s="1"/>
  <c r="I27" s="1"/>
  <c r="H9" i="48"/>
  <c r="O26"/>
  <c r="O33" s="1"/>
  <c r="O15"/>
  <c r="E22"/>
  <c r="Q4"/>
  <c r="R19" i="14"/>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F46" l="1"/>
  <c r="F61" s="1"/>
  <c r="F63" s="1"/>
  <c r="J22" i="16"/>
  <c r="K43" i="14" s="1"/>
  <c r="K13"/>
  <c r="J8" i="48"/>
  <c r="E8"/>
  <c r="F13" i="14"/>
  <c r="H22"/>
  <c r="H27" s="1"/>
  <c r="H63" s="1"/>
  <c r="R20"/>
  <c r="R22" s="1"/>
  <c r="H27" i="48"/>
  <c r="H33" s="1"/>
  <c r="H15"/>
  <c r="G27"/>
  <c r="G33" s="1"/>
  <c r="G15"/>
  <c r="Q9"/>
  <c r="F16" i="14"/>
  <c r="F27" s="1"/>
  <c r="I63"/>
  <c r="K46"/>
  <c r="K61" s="1"/>
  <c r="K63" s="1"/>
  <c r="K16"/>
  <c r="K27" s="1"/>
  <c r="O13"/>
  <c r="N8" i="48"/>
  <c r="N26" s="1"/>
  <c r="F8"/>
  <c r="G13" i="14"/>
  <c r="R13" s="1"/>
  <c r="J26" i="48" l="1"/>
  <c r="J33" s="1"/>
  <c r="J15"/>
  <c r="E26"/>
  <c r="E33" s="1"/>
  <c r="E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<sst xmlns="http://schemas.openxmlformats.org/spreadsheetml/2006/main" count="2419" uniqueCount="907">
  <si>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</si>
  <si>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</si>
  <si>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</si>
  <si>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</si>
  <si>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</si>
  <si>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</si>
  <si>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</si>
  <si>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</si>
  <si>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</si>
  <si>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</si>
  <si>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</si>
  <si>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</si>
  <si>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</si>
  <si>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</si>
  <si>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</si>
  <si>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</si>
  <si>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</si>
  <si>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</si>
  <si>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</si>
  <si>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</si>
  <si>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</si>
  <si>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</si>
  <si>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</si>
  <si>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</si>
  <si>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</si>
  <si>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</si>
  <si>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</si>
  <si>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</si>
  <si>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</si>
  <si>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</si>
  <si>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</si>
  <si>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</si>
  <si>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</si>
  <si>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</si>
  <si>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</si>
  <si>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</si>
  <si>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</si>
  <si>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</si>
  <si>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</si>
  <si>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</si>
  <si>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</si>
  <si>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</si>
  <si>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</si>
  <si>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</si>
  <si>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</si>
  <si>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</si>
  <si>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</si>
  <si>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</si>
  <si>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</si>
  <si>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</si>
  <si>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</si>
  <si>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</si>
  <si>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</si>
  <si>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</si>
  <si>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</si>
  <si>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</si>
  <si>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</si>
  <si>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</si>
  <si>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</si>
  <si>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</si>
  <si>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</si>
  <si>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</si>
  <si>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</si>
  <si>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</si>
  <si>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</si>
  <si>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</si>
  <si>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</si>
  <si>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</si>
  <si>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</si>
  <si>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</si>
  <si>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</si>
  <si>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</si>
  <si>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</si>
  <si>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</si>
  <si>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</si>
  <si>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</si>
  <si>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</si>
  <si>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</si>
  <si>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</si>
  <si>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</si>
  <si>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</si>
  <si>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</si>
  <si>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</si>
  <si>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</si>
  <si>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</si>
  <si>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</si>
  <si>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</si>
  <si>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</si>
  <si>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</si>
  <si>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</si>
  <si>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</si>
  <si>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</si>
  <si>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</si>
  <si>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</si>
  <si>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</si>
  <si>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</si>
  <si>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</si>
  <si>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</si>
  <si>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</si>
  <si>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</si>
  <si>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</si>
  <si>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</si>
  <si>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</si>
  <si>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</si>
  <si>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</si>
  <si>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</si>
  <si>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</si>
  <si>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</si>
  <si>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</si>
  <si>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</si>
  <si>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</si>
  <si>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</si>
  <si>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</si>
  <si>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</si>
  <si>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</si>
  <si>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</si>
  <si>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</si>
  <si>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</si>
  <si>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</si>
  <si>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</si>
  <si>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</si>
  <si>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</si>
  <si>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</si>
  <si>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</si>
  <si>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</si>
  <si>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</si>
  <si>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</si>
  <si>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</si>
  <si>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</si>
  <si>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</si>
  <si>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</si>
  <si>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</si>
  <si>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</si>
  <si>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</si>
  <si>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</si>
  <si>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</si>
  <si>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</si>
  <si>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</si>
  <si>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</si>
  <si>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</si>
  <si>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</si>
  <si>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</si>
  <si>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</si>
  <si>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</si>
  <si>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</si>
  <si>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</si>
  <si>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</si>
  <si>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</si>
  <si>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</si>
  <si>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</si>
  <si>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</si>
  <si>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</si>
  <si>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</si>
  <si>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</si>
  <si>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</si>
  <si>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</si>
  <si>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</si>
  <si>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</si>
  <si>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</si>
  <si>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</si>
  <si>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</si>
  <si>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</si>
  <si>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</si>
  <si>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</si>
  <si>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</si>
  <si>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</si>
  <si>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</si>
  <si>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</si>
  <si>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</si>
  <si>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</si>
  <si>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</si>
  <si>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</si>
  <si>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</si>
  <si>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</si>
  <si>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</si>
  <si>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</si>
  <si>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</si>
  <si>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</si>
  <si>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</si>
  <si>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</si>
  <si>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</si>
  <si>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</si>
  <si>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</si>
  <si>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</si>
  <si>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</si>
  <si>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</si>
  <si>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</si>
  <si>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</si>
  <si>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</si>
  <si>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</si>
  <si>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</si>
  <si>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</si>
  <si>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</si>
  <si>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</si>
  <si>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</si>
  <si>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</si>
  <si>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</si>
  <si>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</si>
  <si>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</si>
  <si>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</si>
  <si>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</si>
  <si>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</si>
  <si>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</si>
  <si>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</si>
  <si>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</si>
  <si>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</si>
  <si>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</si>
  <si>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</si>
  <si>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</si>
  <si>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</si>
  <si>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</si>
  <si>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</si>
  <si>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</si>
  <si>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</si>
  <si>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</si>
  <si>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</si>
  <si>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</si>
  <si>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</si>
  <si>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</si>
  <si>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</si>
  <si>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</si>
  <si>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</si>
  <si>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</si>
  <si>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</si>
  <si>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</si>
  <si>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</si>
  <si>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</si>
  <si>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</si>
  <si>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</si>
  <si>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</si>
  <si>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</si>
  <si>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</si>
  <si>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</si>
  <si>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</si>
  <si>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</si>
  <si>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</si>
  <si>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</si>
  <si>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</si>
  <si>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</si>
  <si>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</si>
  <si>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</si>
  <si>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</si>
  <si>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</si>
  <si>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</si>
  <si>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</si>
  <si>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</si>
  <si>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</si>
  <si>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</si>
  <si>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</si>
  <si>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</si>
  <si>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</si>
  <si>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</si>
  <si>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</si>
  <si>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</si>
  <si>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</si>
  <si>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</si>
  <si>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</si>
  <si>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</si>
  <si>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</si>
  <si>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</si>
  <si>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</si>
  <si>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</si>
  <si>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</si>
  <si>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</si>
  <si>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</si>
  <si>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</si>
  <si>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</si>
  <si>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</si>
  <si>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</si>
  <si>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</si>
  <si>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</si>
  <si>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</si>
  <si>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</si>
  <si>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</si>
  <si>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</si>
  <si>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</si>
  <si>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</si>
  <si>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</si>
  <si>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</si>
  <si>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</si>
  <si>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</si>
  <si>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</si>
  <si>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</si>
  <si>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</si>
  <si>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</si>
  <si>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</si>
  <si>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</si>
  <si>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</si>
  <si>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</si>
  <si>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</si>
  <si>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</si>
  <si>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</si>
  <si>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</si>
  <si>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</si>
  <si>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</si>
  <si>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</si>
  <si>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</si>
  <si>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</si>
  <si>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</si>
  <si>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</si>
  <si>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</si>
  <si>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</si>
  <si>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</si>
  <si>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</si>
  <si>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</si>
  <si>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</si>
  <si>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</si>
  <si>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</si>
  <si>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</si>
  <si>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</si>
  <si>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</si>
  <si>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</si>
  <si>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</si>
  <si>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</si>
  <si>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</si>
  <si>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</si>
  <si>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</si>
  <si>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</si>
  <si>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</si>
  <si>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</si>
  <si>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</si>
  <si>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</si>
  <si>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</si>
  <si>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</si>
  <si>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</si>
  <si>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</si>
  <si>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</si>
  <si>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</si>
  <si>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</si>
  <si>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</si>
  <si>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</si>
  <si>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</si>
  <si>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</si>
  <si>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</si>
  <si>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</si>
  <si>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</si>
  <si>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</si>
  <si>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</si>
  <si>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</si>
  <si>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</si>
  <si>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</si>
  <si>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</si>
  <si>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</si>
  <si>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</si>
  <si>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</si>
  <si>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</si>
  <si>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</si>
  <si>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</si>
  <si>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</si>
  <si>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</si>
  <si>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</si>
  <si>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</si>
  <si>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</si>
  <si>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</si>
  <si>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</si>
  <si>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</si>
  <si>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</si>
  <si>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</si>
  <si>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</si>
  <si>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</si>
  <si>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</si>
  <si>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</si>
  <si>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</si>
  <si>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</si>
  <si>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</si>
  <si>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</si>
  <si>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</si>
  <si>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</si>
  <si>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</si>
  <si>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</si>
  <si>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</si>
  <si>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</si>
  <si>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</si>
  <si>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</si>
  <si>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</si>
  <si>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</si>
  <si>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</si>
  <si>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</si>
  <si>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</si>
  <si>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</si>
  <si>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</si>
  <si>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</si>
  <si>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</si>
  <si>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</si>
  <si>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</si>
  <si>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</si>
  <si>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</si>
  <si>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</si>
  <si>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</si>
  <si>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</si>
  <si>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</si>
  <si>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</si>
  <si>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</si>
  <si>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</si>
  <si>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</si>
  <si>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</si>
  <si>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</si>
  <si>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</si>
  <si>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</si>
  <si>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</si>
  <si>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</si>
  <si>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</si>
  <si>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</si>
  <si>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</si>
  <si>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</si>
  <si>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</si>
  <si>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</si>
  <si>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</si>
  <si>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</si>
  <si>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</si>
  <si>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</si>
  <si>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</si>
  <si>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</si>
  <si>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</si>
  <si>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</si>
  <si>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</si>
  <si>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</si>
  <si>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</si>
  <si>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</si>
  <si>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</si>
  <si>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</si>
  <si>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</si>
  <si>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</si>
  <si>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</si>
  <si>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</si>
  <si>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</si>
  <si>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</si>
  <si>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</si>
  <si>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</si>
  <si>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</si>
  <si>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</si>
  <si>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</si>
  <si>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</si>
  <si>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</si>
  <si>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</si>
  <si>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</si>
  <si>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</si>
  <si>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</si>
  <si>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</si>
  <si>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</si>
  <si>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</si>
  <si>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</si>
  <si>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</si>
  <si>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</si>
  <si>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</si>
  <si>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</si>
  <si>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</si>
  <si>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</si>
  <si>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</si>
  <si>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</si>
  <si>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</si>
  <si>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</si>
  <si>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</si>
  <si>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</si>
  <si>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</si>
  <si>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</si>
  <si>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</si>
  <si>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</si>
  <si>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</si>
  <si>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</si>
  <si>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</si>
  <si>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</si>
  <si>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</si>
  <si>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</si>
  <si>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</si>
  <si>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</si>
  <si>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</si>
  <si>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</si>
  <si>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</si>
  <si>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</si>
  <si>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</si>
  <si>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</si>
  <si>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</si>
  <si>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</si>
  <si>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</si>
  <si>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</si>
  <si>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</si>
  <si>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</si>
  <si>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</si>
  <si>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</si>
  <si>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</si>
  <si>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</si>
  <si>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</si>
  <si>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</si>
  <si>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</si>
  <si>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</si>
  <si>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</si>
  <si>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</si>
  <si>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</si>
  <si>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</si>
  <si>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</si>
  <si>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</si>
  <si>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</si>
  <si>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</si>
  <si>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</si>
  <si>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</si>
  <si>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</si>
  <si>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</si>
  <si>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</si>
  <si>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</si>
  <si>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</si>
  <si>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</si>
  <si>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</si>
  <si>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</si>
  <si>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</si>
  <si>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</si>
  <si>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</si>
  <si>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</si>
  <si>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</si>
  <si>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</si>
  <si>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</si>
  <si>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</si>
  <si>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</si>
  <si>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</si>
  <si>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</si>
  <si>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</si>
  <si>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</si>
  <si>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</si>
  <si>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</si>
  <si>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</si>
  <si>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</si>
  <si>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</si>
  <si>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</si>
  <si>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</si>
  <si>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</si>
  <si>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</si>
  <si>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</si>
  <si>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</si>
  <si>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</si>
  <si>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</si>
  <si>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</si>
  <si>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</si>
  <si>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</si>
  <si>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</si>
  <si>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</si>
  <si>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</si>
  <si>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</si>
  <si>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</si>
  <si>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</si>
  <si>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</si>
  <si>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</si>
  <si>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</si>
  <si>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</si>
  <si>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</si>
  <si>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</si>
  <si>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</si>
  <si>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</si>
  <si>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</si>
  <si>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</si>
  <si>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</si>
  <si>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</si>
  <si>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</si>
  <si>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</si>
  <si>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</si>
  <si>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</si>
  <si>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</si>
  <si>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</si>
  <si>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</si>
  <si>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</si>
  <si>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</si>
  <si>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</si>
  <si>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</si>
  <si>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</si>
  <si>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</si>
  <si>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</si>
  <si>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</si>
  <si>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</si>
  <si>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</si>
  <si>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</si>
  <si>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</si>
  <si>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</si>
  <si>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</si>
  <si>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</si>
  <si>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</si>
  <si>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</si>
  <si>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</si>
  <si>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</si>
  <si>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</si>
  <si>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</si>
  <si>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</si>
  <si>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</si>
  <si>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</si>
  <si>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</si>
  <si>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</si>
  <si>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</si>
  <si>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</si>
  <si>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</si>
  <si>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</si>
  <si>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</si>
  <si>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</si>
  <si>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</si>
  <si>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</si>
  <si>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</si>
  <si>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</si>
  <si>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</si>
  <si>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</si>
  <si>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</si>
  <si>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</si>
  <si>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</si>
  <si>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</si>
  <si>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</si>
  <si>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</si>
  <si>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</si>
  <si>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</si>
  <si>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</si>
  <si>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</si>
  <si>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</si>
  <si>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</si>
  <si>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</si>
  <si>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</si>
  <si>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</si>
  <si>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</si>
  <si>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</si>
  <si>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</si>
  <si>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</si>
  <si>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</si>
  <si>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</si>
  <si>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</si>
  <si>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</si>
  <si>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</si>
  <si>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</si>
  <si>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</si>
  <si>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</si>
  <si>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</si>
  <si>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</si>
  <si>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</si>
  <si>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</si>
  <si>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</si>
  <si>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</si>
  <si>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</si>
  <si>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</si>
  <si>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</si>
  <si>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</si>
  <si>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</si>
  <si>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</si>
  <si>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</si>
  <si>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</si>
  <si>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</si>
  <si>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</si>
  <si>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</si>
  <si>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</si>
  <si>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</si>
  <si>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</si>
  <si>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</si>
  <si>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</si>
  <si>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</si>
  <si>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</si>
  <si>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</si>
  <si>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</si>
  <si>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</si>
  <si>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</si>
  <si>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</si>
  <si>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</si>
  <si>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</si>
  <si>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</si>
  <si>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</si>
  <si>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</si>
  <si>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</si>
  <si>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</si>
  <si>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</si>
  <si>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</si>
  <si>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</si>
  <si>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</si>
  <si>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</si>
  <si>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</si>
  <si>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</si>
  <si>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</si>
  <si>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</si>
  <si>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</si>
  <si>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</si>
  <si>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</si>
  <si>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</si>
  <si>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</si>
  <si>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</si>
  <si>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</si>
  <si>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</si>
  <si>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</si>
  <si>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</si>
  <si>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</si>
  <si>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</si>
  <si>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</si>
  <si>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</si>
  <si>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</si>
  <si>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</si>
  <si>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</si>
  <si>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</si>
  <si>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</si>
  <si>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</si>
  <si>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</si>
  <si>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</si>
  <si>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</si>
  <si>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</si>
  <si>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</si>
  <si>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</si>
  <si>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</si>
  <si>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</si>
  <si>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</si>
  <si>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</si>
  <si>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</si>
  <si>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</si>
  <si>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</si>
  <si>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</si>
  <si>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</si>
  <si>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</si>
  <si>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</si>
  <si>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</si>
  <si>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</si>
  <si>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</si>
  <si>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</si>
  <si>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</si>
  <si>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</si>
  <si>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</si>
  <si>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</si>
  <si>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</si>
  <si>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</si>
  <si>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</si>
  <si>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</si>
  <si>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</si>
  <si>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</si>
  <si>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</si>
  <si>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</si>
  <si>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</si>
  <si>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</si>
  <si>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</si>
  <si>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</si>
  <si>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</si>
  <si>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</si>
  <si>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</si>
  <si>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</si>
  <si>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</si>
  <si>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</si>
  <si>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</si>
  <si>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</si>
  <si>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</si>
  <si>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</si>
  <si>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</si>
  <si>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</si>
  <si>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</si>
  <si>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</si>
  <si>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</si>
  <si>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</si>
  <si>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</si>
  <si>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</si>
  <si>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</si>
  <si>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</si>
  <si>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</si>
  <si>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</si>
  <si>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</si>
  <si>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</si>
  <si>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</si>
  <si>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</si>
  <si>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</si>
  <si>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</si>
  <si>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</si>
  <si>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</si>
  <si>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</si>
  <si>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</si>
  <si>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</si>
  <si>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</si>
  <si>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</si>
  <si>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</si>
  <si>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</si>
  <si>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</si>
  <si>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</si>
  <si>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</si>
  <si>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</si>
  <si>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</si>
  <si>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</si>
  <si>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</si>
  <si>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</si>
  <si>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</si>
  <si>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</si>
  <si>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</si>
  <si>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</si>
  <si>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</si>
  <si>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</si>
  <si>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</si>
  <si>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</si>
  <si>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</si>
  <si>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</si>
  <si>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</si>
  <si>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</si>
  <si>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</si>
  <si>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</si>
  <si>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</si>
  <si>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</si>
  <si>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</si>
  <si>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</si>
  <si>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</si>
  <si>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</si>
  <si>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</si>
  <si>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</si>
  <si>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</si>
  <si>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</si>
  <si>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</si>
  <si>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</si>
  <si>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</si>
  <si>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</si>
  <si>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</si>
  <si>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</si>
  <si>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</si>
  <si>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</si>
  <si>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</si>
  <si>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</si>
  <si>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</si>
  <si>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</si>
  <si>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</si>
  <si>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</si>
  <si>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</si>
  <si>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</si>
  <si>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</si>
  <si>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</si>
  <si>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</si>
  <si>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</si>
  <si>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</si>
  <si>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</si>
  <si>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</si>
  <si>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</si>
  <si>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</si>
  <si>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</si>
  <si>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</si>
  <si>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</si>
  <si>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</si>
  <si>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</si>
  <si>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</si>
  <si>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</si>
  <si>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</si>
  <si>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</si>
  <si>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</si>
  <si>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</si>
  <si>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</si>
  <si>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</si>
  <si>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</si>
  <si>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</si>
  <si>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</si>
  <si>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</si>
  <si>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</si>
  <si>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</si>
  <si>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</si>
  <si>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</si>
  <si>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</si>
  <si>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</si>
  <si>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</si>
  <si>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</si>
  <si>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</si>
  <si>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</si>
  <si>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</si>
  <si>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</si>
  <si>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</si>
  <si>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</si>
  <si>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</si>
  <si>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</si>
  <si>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</si>
  <si>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</si>
  <si>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</si>
  <si>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</si>
  <si>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</si>
  <si>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</si>
  <si>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</si>
  <si>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</si>
  <si>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</si>
  <si>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</si>
  <si>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</si>
  <si>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</si>
  <si>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</si>
  <si>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</si>
  <si>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</si>
  <si>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</si>
  <si>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</si>
  <si>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</si>
  <si>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</si>
  <si>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</si>
  <si>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</si>
  <si>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</si>
  <si>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</si>
  <si>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</si>
  <si>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</si>
  <si>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</si>
  <si>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</si>
  <si>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</si>
  <si>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</si>
  <si>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</si>
  <si>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</si>
  <si>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</si>
  <si>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</si>
  <si>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</si>
  <si>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</si>
  <si>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</si>
  <si>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</si>
  <si>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</si>
  <si>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</si>
  <si>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</si>
  <si>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</si>
  <si>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</si>
  <si>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</si>
  <si>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</si>
  <si>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</si>
  <si>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</si>
  <si>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</si>
  <si>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24135</t>
  </si>
  <si>
    <t>TIELT-WINGE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</si>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</sst>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108217.28036474508</c:v>
                </c:pt>
                <c:pt idx="1">
                  <c:v>18600.679787999248</c:v>
                </c:pt>
                <c:pt idx="2">
                  <c:v>598.16700000000003</c:v>
                </c:pt>
                <c:pt idx="3">
                  <c:v>3775.48714707524</c:v>
                </c:pt>
                <c:pt idx="4">
                  <c:v>2580.2767094468013</c:v>
                </c:pt>
                <c:pt idx="5">
                  <c:v>114297.52745136805</c:v>
                </c:pt>
                <c:pt idx="6">
                  <c:v>2286.9819882259699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97952"/>
        <c:axId val="181999488"/>
      </c:barChart>
      <c:catAx>
        <c:axId val="181997952"/>
        <c:scaling>
          <c:orientation val="minMax"/>
        </c:scaling>
        <c:axPos val="b"/>
        <c:numFmt formatCode="General" sourceLinked="0"/>
        <c:tickLblPos val="nextTo"/>
        <c:crossAx val="181999488"/>
        <c:crosses val="autoZero"/>
        <c:auto val="1"/>
        <c:lblAlgn val="ctr"/>
        <c:lblOffset val="100"/>
      </c:catAx>
      <c:valAx>
        <c:axId val="181999488"/>
        <c:scaling>
          <c:orientation val="minMax"/>
        </c:scaling>
        <c:axPos val="l"/>
        <c:majorGridlines/>
        <c:numFmt formatCode="#,##0" sourceLinked="1"/>
        <c:tickLblPos val="nextTo"/>
        <c:crossAx val="18199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108217.28036474508</c:v>
                </c:pt>
                <c:pt idx="1">
                  <c:v>18600.679787999248</c:v>
                </c:pt>
                <c:pt idx="2">
                  <c:v>598.16700000000003</c:v>
                </c:pt>
                <c:pt idx="3">
                  <c:v>3775.48714707524</c:v>
                </c:pt>
                <c:pt idx="4">
                  <c:v>2580.2767094468013</c:v>
                </c:pt>
                <c:pt idx="5">
                  <c:v>114297.52745136805</c:v>
                </c:pt>
                <c:pt idx="6">
                  <c:v>2286.9819882259699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23525.733964189127</c:v>
                </c:pt>
                <c:pt idx="2">
                  <c:v>3685.8651602889327</c:v>
                </c:pt>
                <c:pt idx="3">
                  <c:v>119.12416981723989</c:v>
                </c:pt>
                <c:pt idx="4">
                  <c:v>940.12390250148655</c:v>
                </c:pt>
                <c:pt idx="5">
                  <c:v>515.09020939821119</c:v>
                </c:pt>
                <c:pt idx="6">
                  <c:v>28643.562789631695</c:v>
                </c:pt>
                <c:pt idx="7">
                  <c:v>577.6807421612142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23525.733964189127</c:v>
                </c:pt>
                <c:pt idx="2">
                  <c:v>3685.8651602889327</c:v>
                </c:pt>
                <c:pt idx="3">
                  <c:v>119.12416981723989</c:v>
                </c:pt>
                <c:pt idx="4">
                  <c:v>940.12390250148655</c:v>
                </c:pt>
                <c:pt idx="5">
                  <c:v>515.09020939821119</c:v>
                </c:pt>
                <c:pt idx="6">
                  <c:v>28643.562789631695</c:v>
                </c:pt>
                <c:pt idx="7">
                  <c:v>577.6807421612142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24135</v>
      </c>
      <c r="B6" s="416"/>
      <c r="C6" s="417"/>
    </row>
    <row r="7" spans="1:7" s="414" customFormat="1" ht="15.75" customHeight="1">
      <c r="A7" s="418" t="str">
        <f>txtMunicipality</f>
        <v>TIELT-WINGE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0.1991486822530161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0.1991486822530161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24135</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4327</v>
      </c>
      <c r="C9" s="342">
        <v>4553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2058</v>
      </c>
    </row>
    <row r="15" spans="1:6">
      <c r="A15" s="348" t="s">
        <v>184</v>
      </c>
      <c r="B15" s="334">
        <v>9</v>
      </c>
    </row>
    <row r="16" spans="1:6">
      <c r="A16" s="348" t="s">
        <v>6</v>
      </c>
      <c r="B16" s="334">
        <v>270</v>
      </c>
    </row>
    <row r="17" spans="1:6">
      <c r="A17" s="348" t="s">
        <v>7</v>
      </c>
      <c r="B17" s="334">
        <v>389</v>
      </c>
    </row>
    <row r="18" spans="1:6">
      <c r="A18" s="348" t="s">
        <v>8</v>
      </c>
      <c r="B18" s="334">
        <v>517</v>
      </c>
    </row>
    <row r="19" spans="1:6">
      <c r="A19" s="348" t="s">
        <v>9</v>
      </c>
      <c r="B19" s="334">
        <v>418</v>
      </c>
    </row>
    <row r="20" spans="1:6">
      <c r="A20" s="348" t="s">
        <v>10</v>
      </c>
      <c r="B20" s="334">
        <v>228</v>
      </c>
    </row>
    <row r="21" spans="1:6">
      <c r="A21" s="348" t="s">
        <v>11</v>
      </c>
      <c r="B21" s="334">
        <v>1515</v>
      </c>
    </row>
    <row r="22" spans="1:6">
      <c r="A22" s="348" t="s">
        <v>12</v>
      </c>
      <c r="B22" s="334">
        <v>4133</v>
      </c>
    </row>
    <row r="23" spans="1:6">
      <c r="A23" s="348" t="s">
        <v>13</v>
      </c>
      <c r="B23" s="334">
        <v>5</v>
      </c>
    </row>
    <row r="24" spans="1:6">
      <c r="A24" s="348" t="s">
        <v>14</v>
      </c>
      <c r="B24" s="334">
        <v>2</v>
      </c>
    </row>
    <row r="25" spans="1:6">
      <c r="A25" s="348" t="s">
        <v>15</v>
      </c>
      <c r="B25" s="334">
        <v>113</v>
      </c>
    </row>
    <row r="26" spans="1:6">
      <c r="A26" s="348" t="s">
        <v>16</v>
      </c>
      <c r="B26" s="334">
        <v>719</v>
      </c>
    </row>
    <row r="27" spans="1:6">
      <c r="A27" s="348" t="s">
        <v>17</v>
      </c>
      <c r="B27" s="334">
        <v>6</v>
      </c>
    </row>
    <row r="28" spans="1:6" s="356" customFormat="1">
      <c r="A28" s="355" t="s">
        <v>18</v>
      </c>
      <c r="B28" s="355">
        <v>87073</v>
      </c>
    </row>
    <row r="29" spans="1:6">
      <c r="A29" s="355" t="s">
        <v>901</v>
      </c>
      <c r="B29" s="355">
        <v>63</v>
      </c>
      <c r="C29" s="356"/>
      <c r="D29" s="356"/>
      <c r="E29" s="356"/>
      <c r="F29" s="356"/>
    </row>
    <row r="30" spans="1:6">
      <c r="A30" s="341" t="s">
        <v>902</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28030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1158</v>
      </c>
      <c r="D39" s="334">
        <v>20895526</v>
      </c>
      <c r="E39" s="334">
        <v>4164</v>
      </c>
      <c r="F39" s="334">
        <v>17023278</v>
      </c>
    </row>
    <row r="40" spans="1:6">
      <c r="A40" s="348" t="s">
        <v>30</v>
      </c>
      <c r="B40" s="348" t="s">
        <v>29</v>
      </c>
      <c r="C40" s="334">
        <v>0</v>
      </c>
      <c r="D40" s="334">
        <v>0</v>
      </c>
      <c r="E40" s="334">
        <v>0</v>
      </c>
      <c r="F40" s="334">
        <v>0</v>
      </c>
    </row>
    <row r="41" spans="1:6">
      <c r="A41" s="348" t="s">
        <v>32</v>
      </c>
      <c r="B41" s="348" t="s">
        <v>33</v>
      </c>
      <c r="C41" s="334">
        <v>22</v>
      </c>
      <c r="D41" s="334">
        <v>351434</v>
      </c>
      <c r="E41" s="334">
        <v>68</v>
      </c>
      <c r="F41" s="334">
        <v>385609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118085</v>
      </c>
      <c r="E44" s="334">
        <v>14</v>
      </c>
      <c r="F44" s="334">
        <v>83140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23587</v>
      </c>
    </row>
    <row r="48" spans="1:6">
      <c r="A48" s="348" t="s">
        <v>32</v>
      </c>
      <c r="B48" s="348" t="s">
        <v>29</v>
      </c>
      <c r="C48" s="334">
        <v>3</v>
      </c>
      <c r="D48" s="334">
        <v>343126</v>
      </c>
      <c r="E48" s="334">
        <v>4</v>
      </c>
      <c r="F48" s="334">
        <v>164407</v>
      </c>
    </row>
    <row r="49" spans="1:6">
      <c r="A49" s="348" t="s">
        <v>32</v>
      </c>
      <c r="B49" s="348" t="s">
        <v>40</v>
      </c>
      <c r="C49" s="334">
        <v>0</v>
      </c>
      <c r="D49" s="334">
        <v>0</v>
      </c>
      <c r="E49" s="334">
        <v>0</v>
      </c>
      <c r="F49" s="334">
        <v>0</v>
      </c>
    </row>
    <row r="50" spans="1:6">
      <c r="A50" s="348" t="s">
        <v>32</v>
      </c>
      <c r="B50" s="348" t="s">
        <v>41</v>
      </c>
      <c r="C50" s="334">
        <v>0</v>
      </c>
      <c r="D50" s="334">
        <v>0</v>
      </c>
      <c r="E50" s="334">
        <v>6</v>
      </c>
      <c r="F50" s="334">
        <v>155822</v>
      </c>
    </row>
    <row r="51" spans="1:6">
      <c r="A51" s="348" t="s">
        <v>42</v>
      </c>
      <c r="B51" s="348" t="s">
        <v>43</v>
      </c>
      <c r="C51" s="334">
        <v>5</v>
      </c>
      <c r="D51" s="334">
        <v>263520</v>
      </c>
      <c r="E51" s="334">
        <v>90</v>
      </c>
      <c r="F51" s="334">
        <v>956221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15</v>
      </c>
      <c r="F54" s="334">
        <v>598167</v>
      </c>
    </row>
    <row r="55" spans="1:6">
      <c r="A55" s="348" t="s">
        <v>46</v>
      </c>
      <c r="B55" s="348" t="s">
        <v>29</v>
      </c>
      <c r="C55" s="334">
        <v>0</v>
      </c>
      <c r="D55" s="334">
        <v>0</v>
      </c>
      <c r="E55" s="334">
        <v>0</v>
      </c>
      <c r="F55" s="334">
        <v>0</v>
      </c>
    </row>
    <row r="56" spans="1:6">
      <c r="A56" s="348" t="s">
        <v>48</v>
      </c>
      <c r="B56" s="348" t="s">
        <v>29</v>
      </c>
      <c r="C56" s="334">
        <v>33</v>
      </c>
      <c r="D56" s="334">
        <v>1136735</v>
      </c>
      <c r="E56" s="334">
        <v>111</v>
      </c>
      <c r="F56" s="334">
        <v>877010</v>
      </c>
    </row>
    <row r="57" spans="1:6">
      <c r="A57" s="348" t="s">
        <v>49</v>
      </c>
      <c r="B57" s="348" t="s">
        <v>50</v>
      </c>
      <c r="C57" s="334">
        <v>10</v>
      </c>
      <c r="D57" s="334">
        <v>383819</v>
      </c>
      <c r="E57" s="334">
        <v>45</v>
      </c>
      <c r="F57" s="334">
        <v>904222</v>
      </c>
    </row>
    <row r="58" spans="1:6">
      <c r="A58" s="348" t="s">
        <v>49</v>
      </c>
      <c r="B58" s="348" t="s">
        <v>51</v>
      </c>
      <c r="C58" s="334">
        <v>9</v>
      </c>
      <c r="D58" s="334">
        <v>333764</v>
      </c>
      <c r="E58" s="334">
        <v>19</v>
      </c>
      <c r="F58" s="334">
        <v>315455</v>
      </c>
    </row>
    <row r="59" spans="1:6">
      <c r="A59" s="348" t="s">
        <v>49</v>
      </c>
      <c r="B59" s="348" t="s">
        <v>52</v>
      </c>
      <c r="C59" s="334">
        <v>33</v>
      </c>
      <c r="D59" s="334">
        <v>1706897</v>
      </c>
      <c r="E59" s="334">
        <v>173</v>
      </c>
      <c r="F59" s="334">
        <v>6418757</v>
      </c>
    </row>
    <row r="60" spans="1:6">
      <c r="A60" s="348" t="s">
        <v>49</v>
      </c>
      <c r="B60" s="348" t="s">
        <v>53</v>
      </c>
      <c r="C60" s="334">
        <v>12</v>
      </c>
      <c r="D60" s="334">
        <v>607946</v>
      </c>
      <c r="E60" s="334">
        <v>37</v>
      </c>
      <c r="F60" s="334">
        <v>850935</v>
      </c>
    </row>
    <row r="61" spans="1:6">
      <c r="A61" s="348" t="s">
        <v>49</v>
      </c>
      <c r="B61" s="348" t="s">
        <v>54</v>
      </c>
      <c r="C61" s="334">
        <v>51</v>
      </c>
      <c r="D61" s="334">
        <v>1891107</v>
      </c>
      <c r="E61" s="334">
        <v>197</v>
      </c>
      <c r="F61" s="334">
        <v>2300094</v>
      </c>
    </row>
    <row r="62" spans="1:6">
      <c r="A62" s="348" t="s">
        <v>49</v>
      </c>
      <c r="B62" s="348" t="s">
        <v>55</v>
      </c>
      <c r="C62" s="334">
        <v>5</v>
      </c>
      <c r="D62" s="334">
        <v>866351</v>
      </c>
      <c r="E62" s="334">
        <v>12</v>
      </c>
      <c r="F62" s="334">
        <v>192541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94051</v>
      </c>
      <c r="E68" s="334">
        <v>6</v>
      </c>
      <c r="F68" s="334">
        <v>111677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64389651</v>
      </c>
      <c r="E73" s="476">
        <v>45763084.212742135</v>
      </c>
    </row>
    <row r="74" spans="1:6">
      <c r="A74" s="348" t="s">
        <v>64</v>
      </c>
      <c r="B74" s="348" t="s">
        <v>714</v>
      </c>
      <c r="C74" s="1311" t="s">
        <v>716</v>
      </c>
      <c r="D74" s="476">
        <v>6573901.906042926</v>
      </c>
      <c r="E74" s="476">
        <v>4954312.503404879</v>
      </c>
    </row>
    <row r="75" spans="1:6">
      <c r="A75" s="348" t="s">
        <v>65</v>
      </c>
      <c r="B75" s="348" t="s">
        <v>713</v>
      </c>
      <c r="C75" s="1311" t="s">
        <v>717</v>
      </c>
      <c r="D75" s="476">
        <v>22874676</v>
      </c>
      <c r="E75" s="476">
        <v>16195074.808968825</v>
      </c>
    </row>
    <row r="76" spans="1:6">
      <c r="A76" s="348" t="s">
        <v>65</v>
      </c>
      <c r="B76" s="348" t="s">
        <v>714</v>
      </c>
      <c r="C76" s="1311" t="s">
        <v>718</v>
      </c>
      <c r="D76" s="476">
        <v>819281.90604292601</v>
      </c>
      <c r="E76" s="476">
        <v>538657.97150892753</v>
      </c>
    </row>
    <row r="77" spans="1:6">
      <c r="A77" s="348" t="s">
        <v>66</v>
      </c>
      <c r="B77" s="348" t="s">
        <v>713</v>
      </c>
      <c r="C77" s="1311" t="s">
        <v>719</v>
      </c>
      <c r="D77" s="476">
        <v>36742112</v>
      </c>
      <c r="E77" s="476">
        <v>40464523.485841855</v>
      </c>
    </row>
    <row r="78" spans="1:6">
      <c r="A78" s="341" t="s">
        <v>66</v>
      </c>
      <c r="B78" s="341" t="s">
        <v>714</v>
      </c>
      <c r="C78" s="341" t="s">
        <v>720</v>
      </c>
      <c r="D78" s="1307">
        <v>4000257</v>
      </c>
      <c r="E78" s="1307">
        <v>4099201.7059531617</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611136.18791414797</v>
      </c>
      <c r="C83" s="476">
        <v>607483.18986797659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2882.8393755974912</v>
      </c>
    </row>
    <row r="92" spans="1:6">
      <c r="A92" s="341" t="s">
        <v>69</v>
      </c>
      <c r="B92" s="342">
        <v>493.64205221358981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197</v>
      </c>
    </row>
    <row r="98" spans="1:6">
      <c r="A98" s="348" t="s">
        <v>72</v>
      </c>
      <c r="B98" s="334">
        <v>3</v>
      </c>
    </row>
    <row r="99" spans="1:6">
      <c r="A99" s="348" t="s">
        <v>73</v>
      </c>
      <c r="B99" s="334">
        <v>146</v>
      </c>
    </row>
    <row r="100" spans="1:6">
      <c r="A100" s="348" t="s">
        <v>74</v>
      </c>
      <c r="B100" s="334">
        <v>179</v>
      </c>
    </row>
    <row r="101" spans="1:6">
      <c r="A101" s="348" t="s">
        <v>75</v>
      </c>
      <c r="B101" s="334">
        <v>67</v>
      </c>
    </row>
    <row r="102" spans="1:6">
      <c r="A102" s="348" t="s">
        <v>76</v>
      </c>
      <c r="B102" s="334">
        <v>53</v>
      </c>
    </row>
    <row r="103" spans="1:6">
      <c r="A103" s="348" t="s">
        <v>77</v>
      </c>
      <c r="B103" s="334">
        <v>165</v>
      </c>
    </row>
    <row r="104" spans="1:6">
      <c r="A104" s="348" t="s">
        <v>78</v>
      </c>
      <c r="B104" s="334">
        <v>2944</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0</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34149.079894700939</v>
      </c>
      <c r="C3" s="43" t="s">
        <v>170</v>
      </c>
      <c r="D3" s="43"/>
      <c r="E3" s="154"/>
      <c r="F3" s="43"/>
      <c r="G3" s="43"/>
      <c r="H3" s="43"/>
      <c r="I3" s="43"/>
      <c r="J3" s="43"/>
      <c r="K3" s="96"/>
    </row>
    <row r="4" spans="1:11">
      <c r="A4" s="384" t="s">
        <v>171</v>
      </c>
      <c r="B4" s="49">
        <f>IF(ISERROR('SEAP template'!B78+'SEAP template'!C78),0,'SEAP template'!B78+'SEAP template'!C78)</f>
        <v>3376.4814278110812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0.1991486822530161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598.16700000000003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598.16700000000003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0.1991486822530161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119.12416981723989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17023.277999999998</v>
      </c>
      <c r="C5" s="17">
        <f>IF(ISERROR('Eigen informatie GS &amp; warmtenet'!B57),0,'Eigen informatie GS &amp; warmtenet'!B57)</f>
        <v>0</v>
      </c>
      <c r="D5" s="30">
        <f>(SUM(HH_hh_gas_kWh,HH_rest_gas_kWh)/1000)*0.902</f>
        <v>18847.764452000003</v>
      </c>
      <c r="E5" s="17">
        <f>B46*B57</f>
        <v>5423.7523487935596</v>
      </c>
      <c r="F5" s="17">
        <f>B51*B62</f>
        <v>51180.135939069085</v>
      </c>
      <c r="G5" s="18"/>
      <c r="H5" s="17"/>
      <c r="I5" s="17"/>
      <c r="J5" s="17">
        <f>B50*B61+C50*C61</f>
        <v>2423.5040165351211</v>
      </c>
      <c r="K5" s="17"/>
      <c r="L5" s="17"/>
      <c r="M5" s="17"/>
      <c r="N5" s="17">
        <f>B48*B59+C48*C59</f>
        <v>9438.8695660831454</v>
      </c>
      <c r="O5" s="17">
        <f>B69*B70*B71</f>
        <v>139.13666666666668</v>
      </c>
      <c r="P5" s="17">
        <f>B77*B78*B79/1000-B77*B78*B79/1000/B80</f>
        <v>858</v>
      </c>
    </row>
    <row r="6" spans="1:16">
      <c r="A6" s="16" t="s">
        <v>631</v>
      </c>
      <c r="B6" s="789">
        <f>kWh_PV_kleiner_dan_10kW</f>
        <v>2882.8393755974912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19906.117375597489</v>
      </c>
      <c r="C8" s="21">
        <f>C5</f>
        <v>0</v>
      </c>
      <c r="D8" s="21">
        <f>D5</f>
        <v>18847.764452000003</v>
      </c>
      <c r="E8" s="21">
        <f>E5</f>
        <v>5423.7523487935596</v>
      </c>
      <c r="F8" s="21">
        <f>F5</f>
        <v>51180.135939069085</v>
      </c>
      <c r="G8" s="21"/>
      <c r="H8" s="21"/>
      <c r="I8" s="21"/>
      <c r="J8" s="21">
        <f>J5</f>
        <v>2423.5040165351211</v>
      </c>
      <c r="K8" s="21"/>
      <c r="L8" s="21">
        <f>L5</f>
        <v>0</v>
      </c>
      <c r="M8" s="21">
        <f>M5</f>
        <v>0</v>
      </c>
      <c r="N8" s="21">
        <f>N5</f>
        <v>9438.8695660831454</v>
      </c>
      <c r="O8" s="21">
        <f>O5</f>
        <v>139.13666666666668</v>
      </c>
      <c r="P8" s="21">
        <f>P5</f>
        <v>858</v>
      </c>
    </row>
    <row r="9" spans="1:16">
      <c r="B9" s="19"/>
      <c r="C9" s="19"/>
      <c r="D9" s="258"/>
      <c r="E9" s="19"/>
      <c r="F9" s="19"/>
      <c r="G9" s="19"/>
      <c r="H9" s="19"/>
      <c r="I9" s="19"/>
      <c r="J9" s="19"/>
      <c r="K9" s="19"/>
      <c r="L9" s="19"/>
      <c r="M9" s="19"/>
      <c r="N9" s="19"/>
      <c r="O9" s="19"/>
      <c r="P9" s="19"/>
    </row>
    <row r="10" spans="1:16">
      <c r="A10" s="24" t="s">
        <v>214</v>
      </c>
      <c r="B10" s="25">
        <f ca="1">'EF ele_warmte'!B12</f>
        <v>0.1991486822530161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3964.2770441241069</v>
      </c>
      <c r="C12" s="23">
        <f ca="1">C10*C8</f>
        <v>0</v>
      </c>
      <c r="D12" s="23">
        <f>D8*D10</f>
        <v>3807.2484193040009</v>
      </c>
      <c r="E12" s="23">
        <f>E10*E8</f>
        <v>1231.191783176138</v>
      </c>
      <c r="F12" s="23">
        <f>F10*F8</f>
        <v>13665.096295731446</v>
      </c>
      <c r="G12" s="23"/>
      <c r="H12" s="23"/>
      <c r="I12" s="23"/>
      <c r="J12" s="23">
        <f>J10*J8</f>
        <v>857.9204218534328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197</v>
      </c>
      <c r="C18" s="166" t="s">
        <v>111</v>
      </c>
      <c r="D18" s="228"/>
      <c r="E18" s="15"/>
    </row>
    <row r="19" spans="1:7">
      <c r="A19" s="171" t="s">
        <v>72</v>
      </c>
      <c r="B19" s="37">
        <f>aantalw2001_ander</f>
        <v>3</v>
      </c>
      <c r="C19" s="166" t="s">
        <v>111</v>
      </c>
      <c r="D19" s="229"/>
      <c r="E19" s="15"/>
    </row>
    <row r="20" spans="1:7">
      <c r="A20" s="171" t="s">
        <v>73</v>
      </c>
      <c r="B20" s="37">
        <f>aantalw2001_propaan</f>
        <v>146</v>
      </c>
      <c r="C20" s="167">
        <f>IF(ISERROR(B20/SUM($B$20,$B$21,$B$22)*100),0,B20/SUM($B$20,$B$21,$B$22)*100)</f>
        <v>37.244897959183675</v>
      </c>
      <c r="D20" s="229"/>
      <c r="E20" s="15"/>
    </row>
    <row r="21" spans="1:7">
      <c r="A21" s="171" t="s">
        <v>74</v>
      </c>
      <c r="B21" s="37">
        <f>aantalw2001_elektriciteit</f>
        <v>179</v>
      </c>
      <c r="C21" s="167">
        <f>IF(ISERROR(B21/SUM($B$20,$B$21,$B$22)*100),0,B21/SUM($B$20,$B$21,$B$22)*100)</f>
        <v>45.663265306122447</v>
      </c>
      <c r="D21" s="229"/>
      <c r="E21" s="15"/>
    </row>
    <row r="22" spans="1:7">
      <c r="A22" s="171" t="s">
        <v>75</v>
      </c>
      <c r="B22" s="37">
        <f>aantalw2001_hout</f>
        <v>67</v>
      </c>
      <c r="C22" s="167">
        <f>IF(ISERROR(B22/SUM($B$20,$B$21,$B$22)*100),0,B22/SUM($B$20,$B$21,$B$22)*100)</f>
        <v>17.091836734693878</v>
      </c>
      <c r="D22" s="229"/>
      <c r="E22" s="15"/>
    </row>
    <row r="23" spans="1:7">
      <c r="A23" s="171" t="s">
        <v>76</v>
      </c>
      <c r="B23" s="37">
        <f>aantalw2001_niet_gespec</f>
        <v>53</v>
      </c>
      <c r="C23" s="166" t="s">
        <v>111</v>
      </c>
      <c r="D23" s="228"/>
      <c r="E23" s="15"/>
    </row>
    <row r="24" spans="1:7">
      <c r="A24" s="171" t="s">
        <v>77</v>
      </c>
      <c r="B24" s="37">
        <f>aantalw2001_steenkool</f>
        <v>165</v>
      </c>
      <c r="C24" s="166" t="s">
        <v>111</v>
      </c>
      <c r="D24" s="229"/>
      <c r="E24" s="15"/>
    </row>
    <row r="25" spans="1:7">
      <c r="A25" s="171" t="s">
        <v>78</v>
      </c>
      <c r="B25" s="37">
        <f>aantalw2001_stookolie</f>
        <v>2944</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4327</v>
      </c>
      <c r="C28" s="36"/>
      <c r="D28" s="228"/>
    </row>
    <row r="29" spans="1:7" s="15" customFormat="1">
      <c r="A29" s="230" t="s">
        <v>741</v>
      </c>
      <c r="B29" s="37">
        <f>SUM(HH_hh_gas_aantal,HH_rest_gas_aantal)</f>
        <v>1158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1158</v>
      </c>
      <c r="C32" s="167">
        <f>IF(ISERROR(B32/SUM($B$32,$B$34,$B$35,$B$36,$B$38,$B$39)*100),0,B32/SUM($B$32,$B$34,$B$35,$B$36,$B$38,$B$39)*100)</f>
        <v>27.043437645959834</v>
      </c>
      <c r="D32" s="233"/>
      <c r="G32" s="15"/>
    </row>
    <row r="33" spans="1:7">
      <c r="A33" s="171" t="s">
        <v>72</v>
      </c>
      <c r="B33" s="34" t="s">
        <v>111</v>
      </c>
      <c r="C33" s="167"/>
      <c r="D33" s="233"/>
      <c r="G33" s="15"/>
    </row>
    <row r="34" spans="1:7">
      <c r="A34" s="171" t="s">
        <v>73</v>
      </c>
      <c r="B34" s="33">
        <f>IF((($B$28-$B$32-$B$39-$B$77-$B$38)*C20/100)&lt;0,0,($B$28-$B$32-$B$39-$B$77-$B$38)*C20/100)</f>
        <v>363.51020408163271</v>
      </c>
      <c r="C34" s="167">
        <f>IF(ISERROR(B34/SUM($B$32,$B$34,$B$35,$B$36,$B$38,$B$39)*100),0,B34/SUM($B$32,$B$34,$B$35,$B$36,$B$38,$B$39)*100)</f>
        <v>8.4892621224108531</v>
      </c>
      <c r="D34" s="233"/>
      <c r="G34" s="15"/>
    </row>
    <row r="35" spans="1:7">
      <c r="A35" s="171" t="s">
        <v>74</v>
      </c>
      <c r="B35" s="33">
        <f>IF((($B$28-$B$32-$B$39-$B$77-$B$38)*C21/100)&lt;0,0,($B$28-$B$32-$B$39-$B$77-$B$38)*C21/100)</f>
        <v>445.67346938775512</v>
      </c>
      <c r="C35" s="167">
        <f>IF(ISERROR(B35/SUM($B$32,$B$34,$B$35,$B$36,$B$38,$B$39)*100),0,B35/SUM($B$32,$B$34,$B$35,$B$36,$B$38,$B$39)*100)</f>
        <v>10.408067944599605</v>
      </c>
      <c r="D35" s="233"/>
      <c r="G35" s="15"/>
    </row>
    <row r="36" spans="1:7">
      <c r="A36" s="171" t="s">
        <v>75</v>
      </c>
      <c r="B36" s="33">
        <f>IF((($B$28-$B$32-$B$39-$B$77-$B$38)*C22/100)&lt;0,0,($B$28-$B$32-$B$39-$B$77-$B$38)*C22/100)</f>
        <v>166.81632653061229</v>
      </c>
      <c r="C36" s="167">
        <f>IF(ISERROR(B36/SUM($B$32,$B$34,$B$35,$B$36,$B$38,$B$39)*100),0,B36/SUM($B$32,$B$34,$B$35,$B$36,$B$38,$B$39)*100)</f>
        <v>3.8957572753529255</v>
      </c>
      <c r="D36" s="233"/>
      <c r="G36" s="15"/>
    </row>
    <row r="37" spans="1:7">
      <c r="A37" s="171" t="s">
        <v>76</v>
      </c>
      <c r="B37" s="34" t="s">
        <v>111</v>
      </c>
      <c r="C37" s="167"/>
      <c r="D37" s="173"/>
      <c r="G37" s="15"/>
    </row>
    <row r="38" spans="1:7">
      <c r="A38" s="171" t="s">
        <v>77</v>
      </c>
      <c r="B38" s="33">
        <f>IF((B24-(B29-B18)*0.1)&lt;0,0,B24-(B29-B18)*0.1)</f>
        <v>68.899999999999991</v>
      </c>
      <c r="C38" s="167">
        <f>IF(ISERROR(B38/SUM($B$32,$B$34,$B$35,$B$36,$B$38,$B$39)*100),0,B38/SUM($B$32,$B$34,$B$35,$B$36,$B$38,$B$39)*100)</f>
        <v>1.6090611863615132</v>
      </c>
      <c r="D38" s="234"/>
      <c r="G38" s="15"/>
    </row>
    <row r="39" spans="1:7">
      <c r="A39" s="171" t="s">
        <v>78</v>
      </c>
      <c r="B39" s="33">
        <f>IF((B25-(B29-B18))&lt;0,0,B25-(B29-B18)*0.9)</f>
        <v>2079.1</v>
      </c>
      <c r="C39" s="167">
        <f>IF(ISERROR(B39/SUM($B$32,$B$34,$B$35,$B$36,$B$38,$B$39)*100),0,B39/SUM($B$32,$B$34,$B$35,$B$36,$B$38,$B$39)*100)</f>
        <v>48.554413825315272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1158</v>
      </c>
      <c r="C44" s="34" t="s">
        <v>111</v>
      </c>
      <c r="D44" s="174"/>
    </row>
    <row r="45" spans="1:7">
      <c r="A45" s="171" t="s">
        <v>72</v>
      </c>
      <c r="B45" s="33" t="str">
        <f t="shared" si="0"/>
        <v>-</v>
      </c>
      <c r="C45" s="34" t="s">
        <v>111</v>
      </c>
      <c r="D45" s="174"/>
    </row>
    <row r="46" spans="1:7">
      <c r="A46" s="171" t="s">
        <v>73</v>
      </c>
      <c r="B46" s="33">
        <f t="shared" si="0"/>
        <v>363.51020408163271</v>
      </c>
      <c r="C46" s="34" t="s">
        <v>111</v>
      </c>
      <c r="D46" s="174"/>
    </row>
    <row r="47" spans="1:7">
      <c r="A47" s="171" t="s">
        <v>74</v>
      </c>
      <c r="B47" s="33">
        <f t="shared" si="0"/>
        <v>445.67346938775512</v>
      </c>
      <c r="C47" s="34" t="s">
        <v>111</v>
      </c>
      <c r="D47" s="174"/>
    </row>
    <row r="48" spans="1:7">
      <c r="A48" s="171" t="s">
        <v>75</v>
      </c>
      <c r="B48" s="33">
        <f t="shared" si="0"/>
        <v>166.81632653061229</v>
      </c>
      <c r="C48" s="33">
        <f>B48*10</f>
        <v>1668.1632653061229</v>
      </c>
      <c r="D48" s="234"/>
    </row>
    <row r="49" spans="1:6">
      <c r="A49" s="171" t="s">
        <v>76</v>
      </c>
      <c r="B49" s="33" t="str">
        <f t="shared" si="0"/>
        <v>-</v>
      </c>
      <c r="C49" s="34" t="s">
        <v>111</v>
      </c>
      <c r="D49" s="234"/>
    </row>
    <row r="50" spans="1:6">
      <c r="A50" s="171" t="s">
        <v>77</v>
      </c>
      <c r="B50" s="33">
        <f t="shared" si="0"/>
        <v>68.899999999999991</v>
      </c>
      <c r="C50" s="33">
        <f>B50*2</f>
        <v>137.79999999999998</v>
      </c>
      <c r="D50" s="234"/>
    </row>
    <row r="51" spans="1:6">
      <c r="A51" s="171" t="s">
        <v>78</v>
      </c>
      <c r="B51" s="33">
        <f t="shared" si="0"/>
        <v>2079.1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10982.003999999999</v>
      </c>
      <c r="C5" s="17">
        <f>IF(ISERROR('Eigen informatie GS &amp; warmtenet'!B58),0,'Eigen informatie GS &amp; warmtenet'!B58)</f>
        <v>0</v>
      </c>
      <c r="D5" s="30">
        <f>SUM(D6:D12)</f>
        <v>5222.4753680000003</v>
      </c>
      <c r="E5" s="17">
        <f>SUM(E6:E12)</f>
        <v>114.80941252615123</v>
      </c>
      <c r="F5" s="17">
        <f>SUM(F6:F12)</f>
        <v>1564.8381056634644</v>
      </c>
      <c r="G5" s="18"/>
      <c r="H5" s="17"/>
      <c r="I5" s="17"/>
      <c r="J5" s="17">
        <f>SUM(J6:J12)</f>
        <v>0</v>
      </c>
      <c r="K5" s="17"/>
      <c r="L5" s="17"/>
      <c r="M5" s="17"/>
      <c r="N5" s="17">
        <f>SUM(N6:N12)</f>
        <v>714.98956847629972</v>
      </c>
      <c r="O5" s="17">
        <f>B38*B39*B40</f>
        <v>1.5633333333333335</v>
      </c>
      <c r="P5" s="17">
        <f>B46*B47*B48/1000-B46*B47*B48/1000/B49</f>
        <v>0</v>
      </c>
      <c r="R5" s="32"/>
    </row>
    <row r="6" spans="1:18">
      <c r="A6" s="32" t="s">
        <v>54</v>
      </c>
      <c r="B6" s="37">
        <f>B26</f>
        <v>2300.0940000000001</v>
      </c>
      <c r="C6" s="33"/>
      <c r="D6" s="37">
        <f>IF(ISERROR(TER_kantoor_gas_kWh/1000),0,TER_kantoor_gas_kWh/1000)*0.902</f>
        <v>1705.7785140000001</v>
      </c>
      <c r="E6" s="33">
        <f>$C$26*'E Balans VL '!I12/100/3.6*1000000</f>
        <v>6.6637097896407793</v>
      </c>
      <c r="F6" s="33">
        <f>$C$26*('E Balans VL '!L12+'E Balans VL '!N12)/100/3.6*1000000</f>
        <v>260.31996580022843</v>
      </c>
      <c r="G6" s="34"/>
      <c r="H6" s="33"/>
      <c r="I6" s="33"/>
      <c r="J6" s="33">
        <f>$C$26*('E Balans VL '!D12+'E Balans VL '!E12)/100/3.6*1000000</f>
        <v>0</v>
      </c>
      <c r="K6" s="33"/>
      <c r="L6" s="33"/>
      <c r="M6" s="33"/>
      <c r="N6" s="33">
        <f>$C$26*'E Balans VL '!Y12/100/3.6*1000000</f>
        <v>23.022246155070739</v>
      </c>
      <c r="O6" s="33"/>
      <c r="P6" s="33"/>
      <c r="R6" s="32"/>
    </row>
    <row r="7" spans="1:18">
      <c r="A7" s="32" t="s">
        <v>53</v>
      </c>
      <c r="B7" s="37">
        <f t="shared" ref="B7:B12" si="0">B27</f>
        <v>850.93499999999995</v>
      </c>
      <c r="C7" s="33"/>
      <c r="D7" s="37">
        <f>IF(ISERROR(TER_horeca_gas_kWh/1000),0,TER_horeca_gas_kWh/1000)*0.902</f>
        <v>548.36729200000002</v>
      </c>
      <c r="E7" s="33">
        <f>$C$27*'E Balans VL '!I9/100/3.6*1000000</f>
        <v>35.719873834597827</v>
      </c>
      <c r="F7" s="33">
        <f>$C$27*('E Balans VL '!L9+'E Balans VL '!N9)/100/3.6*1000000</f>
        <v>182.84083481567359</v>
      </c>
      <c r="G7" s="34"/>
      <c r="H7" s="33"/>
      <c r="I7" s="33"/>
      <c r="J7" s="33">
        <f>$C$27*('E Balans VL '!D9+'E Balans VL '!E9)/100/3.6*1000000</f>
        <v>0</v>
      </c>
      <c r="K7" s="33"/>
      <c r="L7" s="33"/>
      <c r="M7" s="33"/>
      <c r="N7" s="33">
        <f>$C$27*'E Balans VL '!Y9/100/3.6*1000000</f>
        <v>0.21927850780346023</v>
      </c>
      <c r="O7" s="33"/>
      <c r="P7" s="33"/>
      <c r="R7" s="32"/>
    </row>
    <row r="8" spans="1:18">
      <c r="A8" s="6" t="s">
        <v>52</v>
      </c>
      <c r="B8" s="37">
        <f t="shared" si="0"/>
        <v>6418.7569999999996</v>
      </c>
      <c r="C8" s="33"/>
      <c r="D8" s="37">
        <f>IF(ISERROR(TER_handel_gas_kWh/1000),0,TER_handel_gas_kWh/1000)*0.902</f>
        <v>1539.6210940000001</v>
      </c>
      <c r="E8" s="33">
        <f>$C$28*'E Balans VL '!I13/100/3.6*1000000</f>
        <v>68.942792359591138</v>
      </c>
      <c r="F8" s="33">
        <f>$C$28*('E Balans VL '!L13+'E Balans VL '!N13)/100/3.6*1000000</f>
        <v>830.96109865261872</v>
      </c>
      <c r="G8" s="34"/>
      <c r="H8" s="33"/>
      <c r="I8" s="33"/>
      <c r="J8" s="33">
        <f>$C$28*('E Balans VL '!D13+'E Balans VL '!E13)/100/3.6*1000000</f>
        <v>0</v>
      </c>
      <c r="K8" s="33"/>
      <c r="L8" s="33"/>
      <c r="M8" s="33"/>
      <c r="N8" s="33">
        <f>$C$28*'E Balans VL '!Y13/100/3.6*1000000</f>
        <v>52.069307263370881</v>
      </c>
      <c r="O8" s="33"/>
      <c r="P8" s="33"/>
      <c r="R8" s="32"/>
    </row>
    <row r="9" spans="1:18">
      <c r="A9" s="32" t="s">
        <v>51</v>
      </c>
      <c r="B9" s="37">
        <f t="shared" si="0"/>
        <v>315.45499999999998</v>
      </c>
      <c r="C9" s="33"/>
      <c r="D9" s="37">
        <f>IF(ISERROR(TER_gezond_gas_kWh/1000),0,TER_gezond_gas_kWh/1000)*0.902</f>
        <v>301.05512800000002</v>
      </c>
      <c r="E9" s="33">
        <f>$C$29*'E Balans VL '!I10/100/3.6*1000000</f>
        <v>0.25112258308278529</v>
      </c>
      <c r="F9" s="33">
        <f>$C$29*('E Balans VL '!L10+'E Balans VL '!N10)/100/3.6*1000000</f>
        <v>38.348113985357138</v>
      </c>
      <c r="G9" s="34"/>
      <c r="H9" s="33"/>
      <c r="I9" s="33"/>
      <c r="J9" s="33">
        <f>$C$29*('E Balans VL '!D10+'E Balans VL '!E10)/100/3.6*1000000</f>
        <v>0</v>
      </c>
      <c r="K9" s="33"/>
      <c r="L9" s="33"/>
      <c r="M9" s="33"/>
      <c r="N9" s="33">
        <f>$C$29*'E Balans VL '!Y10/100/3.6*1000000</f>
        <v>2.5481619156888917</v>
      </c>
      <c r="O9" s="33"/>
      <c r="P9" s="33"/>
      <c r="R9" s="32"/>
    </row>
    <row r="10" spans="1:18">
      <c r="A10" s="32" t="s">
        <v>50</v>
      </c>
      <c r="B10" s="37">
        <f t="shared" si="0"/>
        <v>904.22199999999998</v>
      </c>
      <c r="C10" s="33"/>
      <c r="D10" s="37">
        <f>IF(ISERROR(TER_ander_gas_kWh/1000),0,TER_ander_gas_kWh/1000)*0.902</f>
        <v>346.20473800000002</v>
      </c>
      <c r="E10" s="33">
        <f>$C$30*'E Balans VL '!I14/100/3.6*1000000</f>
        <v>3.0988162957348244</v>
      </c>
      <c r="F10" s="33">
        <f>$C$30*('E Balans VL '!L14+'E Balans VL '!N14)/100/3.6*1000000</f>
        <v>201.96645154614674</v>
      </c>
      <c r="G10" s="34"/>
      <c r="H10" s="33"/>
      <c r="I10" s="33"/>
      <c r="J10" s="33">
        <f>$C$30*('E Balans VL '!D14+'E Balans VL '!E14)/100/3.6*1000000</f>
        <v>0</v>
      </c>
      <c r="K10" s="33"/>
      <c r="L10" s="33"/>
      <c r="M10" s="33"/>
      <c r="N10" s="33">
        <f>$C$30*'E Balans VL '!Y14/100/3.6*1000000</f>
        <v>636.93891646822885</v>
      </c>
      <c r="O10" s="33"/>
      <c r="P10" s="33"/>
      <c r="R10" s="32"/>
    </row>
    <row r="11" spans="1:18">
      <c r="A11" s="32" t="s">
        <v>55</v>
      </c>
      <c r="B11" s="37">
        <f t="shared" si="0"/>
        <v>192.541</v>
      </c>
      <c r="C11" s="33"/>
      <c r="D11" s="37">
        <f>IF(ISERROR(TER_onderwijs_gas_kWh/1000),0,TER_onderwijs_gas_kWh/1000)*0.902</f>
        <v>781.44860200000005</v>
      </c>
      <c r="E11" s="33">
        <f>$C$31*'E Balans VL '!I11/100/3.6*1000000</f>
        <v>0.13309766350388233</v>
      </c>
      <c r="F11" s="33">
        <f>$C$31*('E Balans VL '!L11+'E Balans VL '!N11)/100/3.6*1000000</f>
        <v>50.401640863439866</v>
      </c>
      <c r="G11" s="34"/>
      <c r="H11" s="33"/>
      <c r="I11" s="33"/>
      <c r="J11" s="33">
        <f>$C$31*('E Balans VL '!D11+'E Balans VL '!E11)/100/3.6*1000000</f>
        <v>0</v>
      </c>
      <c r="K11" s="33"/>
      <c r="L11" s="33"/>
      <c r="M11" s="33"/>
      <c r="N11" s="33">
        <f>$C$31*'E Balans VL '!Y11/100/3.6*1000000</f>
        <v>0.19165816613690584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10982.003999999999</v>
      </c>
      <c r="C16" s="21">
        <f t="shared" ca="1" si="1"/>
        <v>0</v>
      </c>
      <c r="D16" s="21">
        <f t="shared" ca="1" si="1"/>
        <v>5222.4753680000003</v>
      </c>
      <c r="E16" s="21">
        <f t="shared" si="1"/>
        <v>114.80941252615123</v>
      </c>
      <c r="F16" s="21">
        <f t="shared" ca="1" si="1"/>
        <v>1564.8381056634644</v>
      </c>
      <c r="G16" s="21">
        <f t="shared" si="1"/>
        <v>0</v>
      </c>
      <c r="H16" s="21">
        <f t="shared" si="1"/>
        <v>0</v>
      </c>
      <c r="I16" s="21">
        <f t="shared" si="1"/>
        <v>0</v>
      </c>
      <c r="J16" s="21">
        <f t="shared" si="1"/>
        <v>0</v>
      </c>
      <c r="K16" s="21">
        <f t="shared" si="1"/>
        <v>0</v>
      </c>
      <c r="L16" s="21">
        <f t="shared" ca="1" si="1"/>
        <v>0</v>
      </c>
      <c r="M16" s="21">
        <f t="shared" si="1"/>
        <v>0</v>
      </c>
      <c r="N16" s="21">
        <f t="shared" ca="1" si="1"/>
        <v>714.98956847629972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0.1991486822530161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2187.0516250973515</v>
      </c>
      <c r="C20" s="23">
        <f t="shared" ref="C20:P20" ca="1" si="2">C16*C18</f>
        <v>0</v>
      </c>
      <c r="D20" s="23">
        <f t="shared" ca="1" si="2"/>
        <v>1054.9400243360001</v>
      </c>
      <c r="E20" s="23">
        <f t="shared" si="2"/>
        <v>26.06173664343633</v>
      </c>
      <c r="F20" s="23">
        <f t="shared" ca="1" si="2"/>
        <v>417.811774212145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2300.0940000000001</v>
      </c>
      <c r="C26" s="39">
        <f>IF(ISERROR(B26*3.6/1000000/'E Balans VL '!Z12*100),0,B26*3.6/1000000/'E Balans VL '!Z12*100)</f>
        <v>5.0524223884946443E-2</v>
      </c>
      <c r="D26" s="237" t="s">
        <v>692</v>
      </c>
      <c r="F26" s="6"/>
    </row>
    <row r="27" spans="1:18">
      <c r="A27" s="231" t="s">
        <v>53</v>
      </c>
      <c r="B27" s="33">
        <f>IF(ISERROR(TER_horeca_ele_kWh/1000),0,TER_horeca_ele_kWh/1000)</f>
        <v>850.93499999999995</v>
      </c>
      <c r="C27" s="39">
        <f>IF(ISERROR(B27*3.6/1000000/'E Balans VL '!Z9*100),0,B27*3.6/1000000/'E Balans VL '!Z9*100)</f>
        <v>6.838110947026417E-2</v>
      </c>
      <c r="D27" s="237" t="s">
        <v>692</v>
      </c>
      <c r="F27" s="6"/>
    </row>
    <row r="28" spans="1:18">
      <c r="A28" s="171" t="s">
        <v>52</v>
      </c>
      <c r="B28" s="33">
        <f>IF(ISERROR(TER_handel_ele_kWh/1000),0,TER_handel_ele_kWh/1000)</f>
        <v>6418.7569999999996</v>
      </c>
      <c r="C28" s="39">
        <f>IF(ISERROR(B28*3.6/1000000/'E Balans VL '!Z13*100),0,B28*3.6/1000000/'E Balans VL '!Z13*100)</f>
        <v>0.18979816025220617</v>
      </c>
      <c r="D28" s="237" t="s">
        <v>692</v>
      </c>
      <c r="F28" s="6"/>
    </row>
    <row r="29" spans="1:18">
      <c r="A29" s="231" t="s">
        <v>51</v>
      </c>
      <c r="B29" s="33">
        <f>IF(ISERROR(TER_gezond_ele_kWh/1000),0,TER_gezond_ele_kWh/1000)</f>
        <v>315.45499999999998</v>
      </c>
      <c r="C29" s="39">
        <f>IF(ISERROR(B29*3.6/1000000/'E Balans VL '!Z10*100),0,B29*3.6/1000000/'E Balans VL '!Z10*100)</f>
        <v>3.554363416982452E-2</v>
      </c>
      <c r="D29" s="237" t="s">
        <v>692</v>
      </c>
      <c r="F29" s="6"/>
    </row>
    <row r="30" spans="1:18">
      <c r="A30" s="231" t="s">
        <v>50</v>
      </c>
      <c r="B30" s="33">
        <f>IF(ISERROR(TER_ander_ele_kWh/1000),0,TER_ander_ele_kWh/1000)</f>
        <v>904.22199999999998</v>
      </c>
      <c r="C30" s="39">
        <f>IF(ISERROR(B30*3.6/1000000/'E Balans VL '!Z14*100),0,B30*3.6/1000000/'E Balans VL '!Z14*100)</f>
        <v>6.8384764162310263E-2</v>
      </c>
      <c r="D30" s="237" t="s">
        <v>692</v>
      </c>
      <c r="F30" s="6"/>
    </row>
    <row r="31" spans="1:18">
      <c r="A31" s="231" t="s">
        <v>55</v>
      </c>
      <c r="B31" s="33">
        <f>IF(ISERROR(TER_onderwijs_ele_kWh/1000),0,TER_onderwijs_ele_kWh/1000)</f>
        <v>192.541</v>
      </c>
      <c r="C31" s="39">
        <f>IF(ISERROR(B31*3.6/1000000/'E Balans VL '!Z11*100),0,B31*3.6/1000000/'E Balans VL '!Z11*100)</f>
        <v>3.9967041952568866E-2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812.56499999999994</v>
      </c>
      <c r="C5" s="17">
        <f>IF(ISERROR('Eigen informatie GS &amp; warmtenet'!B59),0,'Eigen informatie GS &amp; warmtenet'!B59)</f>
        <v>0</v>
      </c>
      <c r="D5" s="30">
        <f>SUM(D6:D15)</f>
        <v>733.00578999999993</v>
      </c>
      <c r="E5" s="17">
        <f>SUM(E6:E15)</f>
        <v>118.10862761099392</v>
      </c>
      <c r="F5" s="17">
        <f>SUM(F6:F15)</f>
        <v>662.27258753163244</v>
      </c>
      <c r="G5" s="18"/>
      <c r="H5" s="17"/>
      <c r="I5" s="17"/>
      <c r="J5" s="17">
        <f>SUM(J6:J15)</f>
        <v>4.419071990530119</v>
      </c>
      <c r="K5" s="17"/>
      <c r="L5" s="17"/>
      <c r="M5" s="17"/>
      <c r="N5" s="17">
        <f>SUM(N6:N15)</f>
        <v>249.90563231364524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83.14</v>
      </c>
      <c r="C8" s="33"/>
      <c r="D8" s="37">
        <f>IF( ISERROR(IND_metaal_Gas_kWH/1000),0,IND_metaal_Gas_kWH/1000)*0.902</f>
        <v>106.51267</v>
      </c>
      <c r="E8" s="33">
        <f>C30*'E Balans VL '!I18/100/3.6*1000000</f>
        <v>2.0807032162339207</v>
      </c>
      <c r="F8" s="33">
        <f>C30*'E Balans VL '!L18/100/3.6*1000000+C30*'E Balans VL '!N18/100/3.6*1000000</f>
        <v>26.056489559628531</v>
      </c>
      <c r="G8" s="34"/>
      <c r="H8" s="33"/>
      <c r="I8" s="33"/>
      <c r="J8" s="40">
        <f>C30*'E Balans VL '!D18/100/3.6*1000000+C30*'E Balans VL '!E18/100/3.6*1000000</f>
        <v>0</v>
      </c>
      <c r="K8" s="33"/>
      <c r="L8" s="33"/>
      <c r="M8" s="33"/>
      <c r="N8" s="33">
        <f>C30*'E Balans VL '!Y18/100/3.6*1000000</f>
        <v>2.0886925671150376</v>
      </c>
      <c r="O8" s="33"/>
      <c r="P8" s="33"/>
      <c r="R8" s="32"/>
    </row>
    <row r="9" spans="1:18">
      <c r="A9" s="6" t="s">
        <v>33</v>
      </c>
      <c r="B9" s="37">
        <f t="shared" si="0"/>
        <v>385.60899999999998</v>
      </c>
      <c r="C9" s="33"/>
      <c r="D9" s="37">
        <f>IF( ISERROR(IND_andere_gas_kWh/1000),0,IND_andere_gas_kWh/1000)*0.902</f>
        <v>316.99346800000001</v>
      </c>
      <c r="E9" s="33">
        <f>C31*'E Balans VL '!I19/100/3.6*1000000</f>
        <v>106.02665922542737</v>
      </c>
      <c r="F9" s="33">
        <f>C31*'E Balans VL '!L19/100/3.6*1000000+C31*'E Balans VL '!N19/100/3.6*1000000</f>
        <v>303.92699278369935</v>
      </c>
      <c r="G9" s="34"/>
      <c r="H9" s="33"/>
      <c r="I9" s="33"/>
      <c r="J9" s="40">
        <f>C31*'E Balans VL '!D19/100/3.6*1000000+C31*'E Balans VL '!E19/100/3.6*1000000</f>
        <v>0</v>
      </c>
      <c r="K9" s="33"/>
      <c r="L9" s="33"/>
      <c r="M9" s="33"/>
      <c r="N9" s="33">
        <f>C31*'E Balans VL '!Y19/100/3.6*1000000</f>
        <v>124.8318116743595</v>
      </c>
      <c r="O9" s="33"/>
      <c r="P9" s="33"/>
      <c r="R9" s="32"/>
    </row>
    <row r="10" spans="1:18">
      <c r="A10" s="6" t="s">
        <v>41</v>
      </c>
      <c r="B10" s="37">
        <f t="shared" si="0"/>
        <v>155.822</v>
      </c>
      <c r="C10" s="33"/>
      <c r="D10" s="37">
        <f>IF( ISERROR(IND_voed_gas_kWh/1000),0,IND_voed_gas_kWh/1000)*0.902</f>
        <v>0</v>
      </c>
      <c r="E10" s="33">
        <f>C32*'E Balans VL '!I20/100/3.6*1000000</f>
        <v>1.5885194471703785</v>
      </c>
      <c r="F10" s="33">
        <f>C32*'E Balans VL '!L20/100/3.6*1000000+C32*'E Balans VL '!N20/100/3.6*1000000</f>
        <v>294.34678342746651</v>
      </c>
      <c r="G10" s="34"/>
      <c r="H10" s="33"/>
      <c r="I10" s="33"/>
      <c r="J10" s="40">
        <f>C32*'E Balans VL '!D20/100/3.6*1000000+C32*'E Balans VL '!E20/100/3.6*1000000</f>
        <v>3.7293303118923022</v>
      </c>
      <c r="K10" s="33"/>
      <c r="L10" s="33"/>
      <c r="M10" s="33"/>
      <c r="N10" s="33">
        <f>C32*'E Balans VL '!Y20/100/3.6*1000000</f>
        <v>82.136142493491718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23.587</v>
      </c>
      <c r="C13" s="33"/>
      <c r="D13" s="37">
        <f>IF( ISERROR(IND_papier_gas_kWh/1000),0,IND_papier_gas_kWh/1000)*0.902</f>
        <v>0</v>
      </c>
      <c r="E13" s="33">
        <f>C35*'E Balans VL '!I23/100/3.6*1000000</f>
        <v>4.8850269084163289E-2</v>
      </c>
      <c r="F13" s="33">
        <f>C35*'E Balans VL '!L23/100/3.6*1000000+C35*'E Balans VL '!N23/100/3.6*1000000</f>
        <v>0.4677807765089344</v>
      </c>
      <c r="G13" s="34"/>
      <c r="H13" s="33"/>
      <c r="I13" s="33"/>
      <c r="J13" s="40">
        <f>C35*'E Balans VL '!D23/100/3.6*1000000+C35*'E Balans VL '!E23/100/3.6*1000000</f>
        <v>0</v>
      </c>
      <c r="K13" s="33"/>
      <c r="L13" s="33"/>
      <c r="M13" s="33"/>
      <c r="N13" s="33">
        <f>C35*'E Balans VL '!Y23/100/3.6*1000000</f>
        <v>9.9595604809198601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164.40700000000001</v>
      </c>
      <c r="C15" s="33"/>
      <c r="D15" s="37">
        <f>IF( ISERROR(IND_rest_gas_kWh/1000),0,IND_rest_gas_kWh/1000)*0.902</f>
        <v>309.49965199999997</v>
      </c>
      <c r="E15" s="33">
        <f>C37*'E Balans VL '!I15/100/3.6*1000000</f>
        <v>8.3638954530780882</v>
      </c>
      <c r="F15" s="33">
        <f>C37*'E Balans VL '!L15/100/3.6*1000000+C37*'E Balans VL '!N15/100/3.6*1000000</f>
        <v>37.474540984329224</v>
      </c>
      <c r="G15" s="34"/>
      <c r="H15" s="33"/>
      <c r="I15" s="33"/>
      <c r="J15" s="40">
        <f>C37*'E Balans VL '!D15/100/3.6*1000000+C37*'E Balans VL '!E15/100/3.6*1000000</f>
        <v>0.68974167863781677</v>
      </c>
      <c r="K15" s="33"/>
      <c r="L15" s="33"/>
      <c r="M15" s="33"/>
      <c r="N15" s="33">
        <f>C37*'E Balans VL '!Y15/100/3.6*1000000</f>
        <v>30.889425097759126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812.56499999999994</v>
      </c>
      <c r="C18" s="21">
        <f>C5+C16</f>
        <v>0</v>
      </c>
      <c r="D18" s="21">
        <f>MAX((D5+D16),0)</f>
        <v>733.00578999999993</v>
      </c>
      <c r="E18" s="21">
        <f>MAX((E5+E16),0)</f>
        <v>118.10862761099392</v>
      </c>
      <c r="F18" s="21">
        <f>MAX((F5+F16),0)</f>
        <v>662.27258753163244</v>
      </c>
      <c r="G18" s="21"/>
      <c r="H18" s="21"/>
      <c r="I18" s="21"/>
      <c r="J18" s="21">
        <f>MAX((J5+J16),0)</f>
        <v>4.419071990530119</v>
      </c>
      <c r="K18" s="21"/>
      <c r="L18" s="21">
        <f>MAX((L5+L16),0)</f>
        <v>0</v>
      </c>
      <c r="M18" s="21"/>
      <c r="N18" s="21">
        <f>MAX((N5+N16),0)</f>
        <v>249.90563231364524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0.1991486822530161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161.82124899492203</v>
      </c>
      <c r="C22" s="23">
        <f ca="1">C18*C20</f>
        <v>0</v>
      </c>
      <c r="D22" s="23">
        <f>D18*D20</f>
        <v>148.06716957999998</v>
      </c>
      <c r="E22" s="23">
        <f>E18*E20</f>
        <v>26.810658467695621</v>
      </c>
      <c r="F22" s="23">
        <f>F18*F20</f>
        <v>176.82678087094587</v>
      </c>
      <c r="G22" s="23"/>
      <c r="H22" s="23"/>
      <c r="I22" s="23"/>
      <c r="J22" s="23">
        <f>J18*J20</f>
        <v>1.564351484647662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83.14</v>
      </c>
      <c r="C30" s="39">
        <f>IF(ISERROR(B30*3.6/1000000/'E Balans VL '!Z18*100),0,B30*3.6/1000000/'E Balans VL '!Z18*100)</f>
        <v>1.1636829328891551E-2</v>
      </c>
      <c r="D30" s="237" t="s">
        <v>692</v>
      </c>
    </row>
    <row r="31" spans="1:18">
      <c r="A31" s="6" t="s">
        <v>33</v>
      </c>
      <c r="B31" s="37">
        <f>IF( ISERROR(IND_ander_ele_kWh/1000),0,IND_ander_ele_kWh/1000)</f>
        <v>385.60899999999998</v>
      </c>
      <c r="C31" s="39">
        <f>IF(ISERROR(B31*3.6/1000000/'E Balans VL '!Z19*100),0,B31*3.6/1000000/'E Balans VL '!Z19*100)</f>
        <v>1.6878043375332785E-2</v>
      </c>
      <c r="D31" s="237" t="s">
        <v>692</v>
      </c>
    </row>
    <row r="32" spans="1:18">
      <c r="A32" s="171" t="s">
        <v>41</v>
      </c>
      <c r="B32" s="37">
        <f>IF( ISERROR(IND_voed_ele_kWh/1000),0,IND_voed_ele_kWh/1000)</f>
        <v>155.822</v>
      </c>
      <c r="C32" s="39">
        <f>IF(ISERROR(B32*3.6/1000000/'E Balans VL '!Z20*100),0,B32*3.6/1000000/'E Balans VL '!Z20*100)</f>
        <v>3.8576352606619305E-2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23.587</v>
      </c>
      <c r="C35" s="39">
        <f>IF(ISERROR(B35*3.6/1000000/'E Balans VL '!Z22*100),0,B35*3.6/1000000/'E Balans VL '!Z22*100)</f>
        <v>6.6930283021181757E-4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164.40700000000001</v>
      </c>
      <c r="C37" s="39">
        <f>IF(ISERROR(B37*3.6/1000000/'E Balans VL '!Z15*100),0,B37*3.6/1000000/'E Balans VL '!Z15*100)</f>
        <v>1.2190497573304909E-3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956.221</v>
      </c>
      <c r="C5" s="17">
        <f>'Eigen informatie GS &amp; warmtenet'!B60</f>
        <v>0</v>
      </c>
      <c r="D5" s="30">
        <f>IF(ISERROR(SUM(LB_lb_gas_kWh,LB_rest_gas_kWh)/1000),0,SUM(LB_lb_gas_kWh,LB_rest_gas_kWh)/1000)*0.902</f>
        <v>237.69503999999998</v>
      </c>
      <c r="E5" s="17">
        <f>B17*'E Balans VL '!I25/3.6*1000000/100</f>
        <v>8.8569194041697301</v>
      </c>
      <c r="F5" s="17">
        <f>B17*('E Balans VL '!L25/3.6*1000000+'E Balans VL '!N25/3.6*1000000)/100</f>
        <v>2426.1148369135644</v>
      </c>
      <c r="G5" s="18"/>
      <c r="H5" s="17"/>
      <c r="I5" s="17"/>
      <c r="J5" s="17">
        <f>('E Balans VL '!D25+'E Balans VL '!E25)/3.6*1000000*landbouw!B17/100</f>
        <v>146.5993507575057</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956.221</v>
      </c>
      <c r="C8" s="21">
        <f>C5+C6</f>
        <v>0</v>
      </c>
      <c r="D8" s="21">
        <f>MAX((D5+D6),0)</f>
        <v>237.69503999999998</v>
      </c>
      <c r="E8" s="21">
        <f>MAX((E5+E6),0)</f>
        <v>8.8569194041697301</v>
      </c>
      <c r="F8" s="21">
        <f>MAX((F5+F6),0)</f>
        <v>2426.1148369135644</v>
      </c>
      <c r="G8" s="21"/>
      <c r="H8" s="21"/>
      <c r="I8" s="21"/>
      <c r="J8" s="21">
        <f>MAX((J5+J6),0)</f>
        <v>146.5993507575057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0.1991486822530161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190.4301520926613</v>
      </c>
      <c r="C12" s="23">
        <f ca="1">C8*C10</f>
        <v>0</v>
      </c>
      <c r="D12" s="23">
        <f>D8*D10</f>
        <v>48.014398079999999</v>
      </c>
      <c r="E12" s="23">
        <f>E8*E10</f>
        <v>2.0105207047465288</v>
      </c>
      <c r="F12" s="23">
        <f>F8*F10</f>
        <v>647.77266145592171</v>
      </c>
      <c r="G12" s="23"/>
      <c r="H12" s="23"/>
      <c r="I12" s="23"/>
      <c r="J12" s="23">
        <f>J8*J10</f>
        <v>51.896170168157013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0.13595435081021776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137.55258702998287</v>
      </c>
      <c r="C26" s="247">
        <f>B26*'GWP N2O_CH4'!B5</f>
        <v>2888.6043276296405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42.567485955717977</v>
      </c>
      <c r="C27" s="247">
        <f>B27*'GWP N2O_CH4'!B5</f>
        <v>893.91720507007756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1.9376736779394703</v>
      </c>
      <c r="C28" s="247">
        <f>B28*'GWP N2O_CH4'!B4</f>
        <v>600.67884016123583</v>
      </c>
      <c r="D28" s="50"/>
    </row>
    <row r="29" spans="1:4">
      <c r="A29" s="41" t="s">
        <v>277</v>
      </c>
      <c r="B29" s="247">
        <f>B34*'ha_N2O bodem landbouw'!B4</f>
        <v>13.623521949738938</v>
      </c>
      <c r="C29" s="247">
        <f>B29*'GWP N2O_CH4'!B4</f>
        <v>4223.291804419071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3.0555159635119724E-3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6.1183868772425961E-5</v>
      </c>
      <c r="C5" s="464" t="s">
        <v>211</v>
      </c>
      <c r="D5" s="449">
        <f>SUM(D6:D11)</f>
        <v>1.6362695878031807E-4</v>
      </c>
      <c r="E5" s="449">
        <f>SUM(E6:E11)</f>
        <v>1.1128969817953277E-3</v>
      </c>
      <c r="F5" s="462" t="s">
        <v>211</v>
      </c>
      <c r="G5" s="449">
        <f>SUM(G6:G11)</f>
        <v>0.32675889642215006</v>
      </c>
      <c r="H5" s="449">
        <f>SUM(H6:H11)</f>
        <v>6.2547533134850203E-2</v>
      </c>
      <c r="I5" s="464" t="s">
        <v>211</v>
      </c>
      <c r="J5" s="464" t="s">
        <v>211</v>
      </c>
      <c r="K5" s="464" t="s">
        <v>211</v>
      </c>
      <c r="L5" s="464" t="s">
        <v>211</v>
      </c>
      <c r="M5" s="449">
        <f>SUM(M6:M11)</f>
        <v>2.0826961458576643E-2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3.1769382209953682E-5</v>
      </c>
      <c r="C6" s="450"/>
      <c r="D6" s="893">
        <f>vkm_2011_GW_PW*SUMIFS(TableVerdeelsleutelVkm[CNG],TableVerdeelsleutelVkm[Voertuigtype],"Lichte voertuigen")*SUMIFS(TableECFTransport[EnergieConsumptieFactor (PJ per km)],TableECFTransport[Index],CONCATENATE($A6,"_CNG_CNG"))</f>
        <v>7.3486078715714523E-5</v>
      </c>
      <c r="E6" s="893">
        <f>vkm_2011_GW_PW*SUMIFS(TableVerdeelsleutelVkm[LPG],TableVerdeelsleutelVkm[Voertuigtype],"Lichte voertuigen")*SUMIFS(TableECFTransport[EnergieConsumptieFactor (PJ per km)],TableECFTransport[Index],CONCATENATE($A6,"_LPG_LPG"))</f>
        <v>4.784969675968269E-4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9.9404204968522591E-2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2.8019991131355407E-2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6.6126552192409859E-3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6.1326908441067106E-2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2.0972688938306704E-5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3.5481092700080869E-3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1.1286197602979002E-5</v>
      </c>
      <c r="C8" s="450"/>
      <c r="D8" s="452">
        <f>vkm_2011_NGW_PW*SUMIFS(TableVerdeelsleutelVkm[CNG],TableVerdeelsleutelVkm[Voertuigtype],"Lichte voertuigen")*SUMIFS(TableECFTransport[EnergieConsumptieFactor (PJ per km)],TableECFTransport[Index],CONCATENATE($A8,"_CNG_CNG"))</f>
        <v>4.6174269576146354E-5</v>
      </c>
      <c r="E8" s="452">
        <f>vkm_2011_NGW_PW*SUMIFS(TableVerdeelsleutelVkm[LPG],TableVerdeelsleutelVkm[Voertuigtype],"Lichte voertuigen")*SUMIFS(TableECFTransport[EnergieConsumptieFactor (PJ per km)],TableECFTransport[Index],CONCATENATE($A8,"_LPG_LPG"))</f>
        <v>2.7747693979073593E-4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5.3885614075832429E-2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1.7023847918311984E-2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3.6411059033197172E-3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9.7503993976217444E-3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3.1551156657418743E-6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5.6411035176227116E-4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1.8128288959493282E-5</v>
      </c>
      <c r="C10" s="450"/>
      <c r="D10" s="452">
        <f>vkm_2011_SW_PW*SUMIFS(TableVerdeelsleutelVkm[CNG],TableVerdeelsleutelVkm[Voertuigtype],"Lichte voertuigen")*SUMIFS(TableECFTransport[EnergieConsumptieFactor (PJ per km)],TableECFTransport[Index],CONCATENATE($A10,"_CNG_CNG"))</f>
        <v>4.3966610488457196E-5</v>
      </c>
      <c r="E10" s="452">
        <f>vkm_2011_SW_PW*SUMIFS(TableVerdeelsleutelVkm[LPG],TableVerdeelsleutelVkm[Voertuigtype],"Lichte voertuigen")*SUMIFS(TableECFTransport[EnergieConsumptieFactor (PJ per km)],TableECFTransport[Index],CONCATENATE($A10,"_LPG_LPG"))</f>
        <v>3.5692307440776487E-4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6.6754863062639391E-2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1.7466431861693187E-2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4.3991545141953787E-3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3.5636906476466765E-2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1.3134418885573983E-5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2.0618262000502013E-3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16.995519103451656</v>
      </c>
      <c r="C14" s="21"/>
      <c r="D14" s="21">
        <f t="shared" ref="D14:M14" si="0">((D5)*10^9/3600)+D12</f>
        <v>45.451932994532797</v>
      </c>
      <c r="E14" s="21">
        <f t="shared" si="0"/>
        <v>309.13805049870217</v>
      </c>
      <c r="F14" s="21"/>
      <c r="G14" s="21">
        <f t="shared" si="0"/>
        <v>90766.360117263903</v>
      </c>
      <c r="H14" s="21">
        <f t="shared" si="0"/>
        <v>17374.314759680612</v>
      </c>
      <c r="I14" s="21"/>
      <c r="J14" s="21"/>
      <c r="K14" s="21"/>
      <c r="L14" s="21"/>
      <c r="M14" s="21">
        <f t="shared" si="0"/>
        <v>5785.2670718268446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0.1991486822530161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3.3846352336583587</v>
      </c>
      <c r="C18" s="23"/>
      <c r="D18" s="23">
        <f t="shared" ref="D18:M18" si="1">D14*D16</f>
        <v>9.1812904648956248</v>
      </c>
      <c r="E18" s="23">
        <f t="shared" si="1"/>
        <v>70.17433746320539</v>
      </c>
      <c r="F18" s="23"/>
      <c r="G18" s="23">
        <f t="shared" si="1"/>
        <v>24234.618151309463</v>
      </c>
      <c r="H18" s="23">
        <f t="shared" si="1"/>
        <v>4326.2043751604724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7.7889538268927751E-3</v>
      </c>
      <c r="H50" s="321">
        <f t="shared" si="2"/>
        <v>0</v>
      </c>
      <c r="I50" s="321">
        <f t="shared" si="2"/>
        <v>0</v>
      </c>
      <c r="J50" s="321">
        <f t="shared" si="2"/>
        <v>0</v>
      </c>
      <c r="K50" s="321">
        <f t="shared" si="2"/>
        <v>0</v>
      </c>
      <c r="L50" s="321">
        <f t="shared" si="2"/>
        <v>0</v>
      </c>
      <c r="M50" s="321">
        <f t="shared" si="2"/>
        <v>4.4418133072071577E-4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7.7889538268927751E-3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4.4418133072071577E-4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2163.5982852479933</v>
      </c>
      <c r="H54" s="21">
        <f t="shared" si="3"/>
        <v>0</v>
      </c>
      <c r="I54" s="21">
        <f t="shared" si="3"/>
        <v>0</v>
      </c>
      <c r="J54" s="21">
        <f t="shared" si="3"/>
        <v>0</v>
      </c>
      <c r="K54" s="21">
        <f t="shared" si="3"/>
        <v>0</v>
      </c>
      <c r="L54" s="21">
        <f t="shared" si="3"/>
        <v>0</v>
      </c>
      <c r="M54" s="21">
        <f t="shared" si="3"/>
        <v>123.3837029779766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0.1991486822530161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577.6807421612142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11580.170999999998</v>
      </c>
      <c r="D10" s="1025">
        <f ca="1">tertiair!C16</f>
        <v>0</v>
      </c>
      <c r="E10" s="1025">
        <f ca="1">tertiair!D16</f>
        <v>5222.4753680000003</v>
      </c>
      <c r="F10" s="1025">
        <f>tertiair!E16</f>
        <v>114.80941252615123</v>
      </c>
      <c r="G10" s="1025">
        <f ca="1">tertiair!F16</f>
        <v>1564.8381056634644</v>
      </c>
      <c r="H10" s="1025">
        <f>tertiair!G16</f>
        <v>0</v>
      </c>
      <c r="I10" s="1025">
        <f>tertiair!H16</f>
        <v>0</v>
      </c>
      <c r="J10" s="1025">
        <f>tertiair!I16</f>
        <v>0</v>
      </c>
      <c r="K10" s="1025">
        <f>tertiair!J16</f>
        <v>0</v>
      </c>
      <c r="L10" s="1025">
        <f>tertiair!K16</f>
        <v>0</v>
      </c>
      <c r="M10" s="1025">
        <f ca="1">tertiair!L16</f>
        <v>0</v>
      </c>
      <c r="N10" s="1025">
        <f>tertiair!M16</f>
        <v>0</v>
      </c>
      <c r="O10" s="1025">
        <f ca="1">tertiair!N16</f>
        <v>714.98956847629972</v>
      </c>
      <c r="P10" s="1025">
        <f>tertiair!O16</f>
        <v>1.5633333333333335</v>
      </c>
      <c r="Q10" s="1026">
        <f>tertiair!P16</f>
        <v>0</v>
      </c>
      <c r="R10" s="701">
        <f ca="1">SUM(C10:Q10)</f>
        <v>19198.846787999246</v>
      </c>
      <c r="S10" s="67"/>
    </row>
    <row r="11" spans="1:19" s="474" customFormat="1">
      <c r="A11" s="810" t="s">
        <v>225</v>
      </c>
      <c r="B11" s="815"/>
      <c r="C11" s="1025">
        <f>huishoudens!B8</f>
        <v>19906.117375597489</v>
      </c>
      <c r="D11" s="1025">
        <f>huishoudens!C8</f>
        <v>0</v>
      </c>
      <c r="E11" s="1025">
        <f>huishoudens!D8</f>
        <v>18847.764452000003</v>
      </c>
      <c r="F11" s="1025">
        <f>huishoudens!E8</f>
        <v>5423.7523487935596</v>
      </c>
      <c r="G11" s="1025">
        <f>huishoudens!F8</f>
        <v>51180.135939069085</v>
      </c>
      <c r="H11" s="1025">
        <f>huishoudens!G8</f>
        <v>0</v>
      </c>
      <c r="I11" s="1025">
        <f>huishoudens!H8</f>
        <v>0</v>
      </c>
      <c r="J11" s="1025">
        <f>huishoudens!I8</f>
        <v>0</v>
      </c>
      <c r="K11" s="1025">
        <f>huishoudens!J8</f>
        <v>2423.5040165351211</v>
      </c>
      <c r="L11" s="1025">
        <f>huishoudens!K8</f>
        <v>0</v>
      </c>
      <c r="M11" s="1025">
        <f>huishoudens!L8</f>
        <v>0</v>
      </c>
      <c r="N11" s="1025">
        <f>huishoudens!M8</f>
        <v>0</v>
      </c>
      <c r="O11" s="1025">
        <f>huishoudens!N8</f>
        <v>9438.8695660831454</v>
      </c>
      <c r="P11" s="1025">
        <f>huishoudens!O8</f>
        <v>139.13666666666668</v>
      </c>
      <c r="Q11" s="1026">
        <f>huishoudens!P8</f>
        <v>858</v>
      </c>
      <c r="R11" s="701">
        <f>SUM(C11:Q11)</f>
        <v>108217.28036474508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812.56499999999994</v>
      </c>
      <c r="D13" s="1025">
        <f>industrie!C18</f>
        <v>0</v>
      </c>
      <c r="E13" s="1025">
        <f>industrie!D18</f>
        <v>733.00578999999993</v>
      </c>
      <c r="F13" s="1025">
        <f>industrie!E18</f>
        <v>118.10862761099392</v>
      </c>
      <c r="G13" s="1025">
        <f>industrie!F18</f>
        <v>662.27258753163244</v>
      </c>
      <c r="H13" s="1025">
        <f>industrie!G18</f>
        <v>0</v>
      </c>
      <c r="I13" s="1025">
        <f>industrie!H18</f>
        <v>0</v>
      </c>
      <c r="J13" s="1025">
        <f>industrie!I18</f>
        <v>0</v>
      </c>
      <c r="K13" s="1025">
        <f>industrie!J18</f>
        <v>4.419071990530119</v>
      </c>
      <c r="L13" s="1025">
        <f>industrie!K18</f>
        <v>0</v>
      </c>
      <c r="M13" s="1025">
        <f>industrie!L18</f>
        <v>0</v>
      </c>
      <c r="N13" s="1025">
        <f>industrie!M18</f>
        <v>0</v>
      </c>
      <c r="O13" s="1025">
        <f>industrie!N18</f>
        <v>249.90563231364524</v>
      </c>
      <c r="P13" s="1025">
        <f>industrie!O18</f>
        <v>0</v>
      </c>
      <c r="Q13" s="1026">
        <f>industrie!P18</f>
        <v>0</v>
      </c>
      <c r="R13" s="701">
        <f>SUM(C13:Q13)</f>
        <v>2580.2767094468013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32298.853375597486</v>
      </c>
      <c r="D16" s="733">
        <f t="shared" ref="D16:R16" ca="1" si="0">SUM(D9:D15)</f>
        <v>0</v>
      </c>
      <c r="E16" s="733">
        <f t="shared" ca="1" si="0"/>
        <v>24803.245610000002</v>
      </c>
      <c r="F16" s="733">
        <f t="shared" si="0"/>
        <v>5656.6703889307046</v>
      </c>
      <c r="G16" s="733">
        <f t="shared" ca="1" si="0"/>
        <v>53407.246632264178</v>
      </c>
      <c r="H16" s="733">
        <f t="shared" si="0"/>
        <v>0</v>
      </c>
      <c r="I16" s="733">
        <f t="shared" si="0"/>
        <v>0</v>
      </c>
      <c r="J16" s="733">
        <f t="shared" si="0"/>
        <v>0</v>
      </c>
      <c r="K16" s="733">
        <f t="shared" si="0"/>
        <v>2427.9230885256511</v>
      </c>
      <c r="L16" s="733">
        <f t="shared" si="0"/>
        <v>0</v>
      </c>
      <c r="M16" s="733">
        <f t="shared" ca="1" si="0"/>
        <v>0</v>
      </c>
      <c r="N16" s="733">
        <f t="shared" si="0"/>
        <v>0</v>
      </c>
      <c r="O16" s="733">
        <f t="shared" ca="1" si="0"/>
        <v>10403.76476687309</v>
      </c>
      <c r="P16" s="733">
        <f t="shared" si="0"/>
        <v>140.70000000000002</v>
      </c>
      <c r="Q16" s="733">
        <f t="shared" si="0"/>
        <v>858</v>
      </c>
      <c r="R16" s="733">
        <f t="shared" ca="1" si="0"/>
        <v>129996.40386219113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2163.5982852479933</v>
      </c>
      <c r="I19" s="1025">
        <f>transport!H54</f>
        <v>0</v>
      </c>
      <c r="J19" s="1025">
        <f>transport!I54</f>
        <v>0</v>
      </c>
      <c r="K19" s="1025">
        <f>transport!J54</f>
        <v>0</v>
      </c>
      <c r="L19" s="1025">
        <f>transport!K54</f>
        <v>0</v>
      </c>
      <c r="M19" s="1025">
        <f>transport!L54</f>
        <v>0</v>
      </c>
      <c r="N19" s="1025">
        <f>transport!M54</f>
        <v>123.3837029779766</v>
      </c>
      <c r="O19" s="1025">
        <f>transport!N54</f>
        <v>0</v>
      </c>
      <c r="P19" s="1025">
        <f>transport!O54</f>
        <v>0</v>
      </c>
      <c r="Q19" s="1026">
        <f>transport!P54</f>
        <v>0</v>
      </c>
      <c r="R19" s="701">
        <f>SUM(C19:Q19)</f>
        <v>2286.9819882259699</v>
      </c>
      <c r="S19" s="67"/>
    </row>
    <row r="20" spans="1:19" s="474" customFormat="1">
      <c r="A20" s="810" t="s">
        <v>307</v>
      </c>
      <c r="B20" s="815"/>
      <c r="C20" s="1025">
        <f>transport!B14</f>
        <v>16.995519103451656</v>
      </c>
      <c r="D20" s="1025">
        <f>transport!C14</f>
        <v>0</v>
      </c>
      <c r="E20" s="1025">
        <f>transport!D14</f>
        <v>45.451932994532797</v>
      </c>
      <c r="F20" s="1025">
        <f>transport!E14</f>
        <v>309.13805049870217</v>
      </c>
      <c r="G20" s="1025">
        <f>transport!F14</f>
        <v>0</v>
      </c>
      <c r="H20" s="1025">
        <f>transport!G14</f>
        <v>90766.360117263903</v>
      </c>
      <c r="I20" s="1025">
        <f>transport!H14</f>
        <v>17374.314759680612</v>
      </c>
      <c r="J20" s="1025">
        <f>transport!I14</f>
        <v>0</v>
      </c>
      <c r="K20" s="1025">
        <f>transport!J14</f>
        <v>0</v>
      </c>
      <c r="L20" s="1025">
        <f>transport!K14</f>
        <v>0</v>
      </c>
      <c r="M20" s="1025">
        <f>transport!L14</f>
        <v>0</v>
      </c>
      <c r="N20" s="1025">
        <f>transport!M14</f>
        <v>5785.2670718268446</v>
      </c>
      <c r="O20" s="1025">
        <f>transport!N14</f>
        <v>0</v>
      </c>
      <c r="P20" s="1025">
        <f>transport!O14</f>
        <v>0</v>
      </c>
      <c r="Q20" s="1026">
        <f>transport!P14</f>
        <v>0</v>
      </c>
      <c r="R20" s="701">
        <f>SUM(C20:Q20)</f>
        <v>114297.52745136805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16.995519103451656</v>
      </c>
      <c r="D22" s="813">
        <f t="shared" ref="D22:R22" si="1">SUM(D18:D21)</f>
        <v>0</v>
      </c>
      <c r="E22" s="813">
        <f t="shared" si="1"/>
        <v>45.451932994532797</v>
      </c>
      <c r="F22" s="813">
        <f t="shared" si="1"/>
        <v>309.13805049870217</v>
      </c>
      <c r="G22" s="813">
        <f t="shared" si="1"/>
        <v>0</v>
      </c>
      <c r="H22" s="813">
        <f t="shared" si="1"/>
        <v>92929.958402511897</v>
      </c>
      <c r="I22" s="813">
        <f t="shared" si="1"/>
        <v>17374.314759680612</v>
      </c>
      <c r="J22" s="813">
        <f t="shared" si="1"/>
        <v>0</v>
      </c>
      <c r="K22" s="813">
        <f t="shared" si="1"/>
        <v>0</v>
      </c>
      <c r="L22" s="813">
        <f t="shared" si="1"/>
        <v>0</v>
      </c>
      <c r="M22" s="813">
        <f t="shared" si="1"/>
        <v>0</v>
      </c>
      <c r="N22" s="813">
        <f t="shared" si="1"/>
        <v>5908.6507748048216</v>
      </c>
      <c r="O22" s="813">
        <f t="shared" si="1"/>
        <v>0</v>
      </c>
      <c r="P22" s="813">
        <f t="shared" si="1"/>
        <v>0</v>
      </c>
      <c r="Q22" s="813">
        <f t="shared" si="1"/>
        <v>0</v>
      </c>
      <c r="R22" s="813">
        <f t="shared" si="1"/>
        <v>116584.50943959403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956.221</v>
      </c>
      <c r="D24" s="1025">
        <f>+landbouw!C8</f>
        <v>0</v>
      </c>
      <c r="E24" s="1025">
        <f>+landbouw!D8</f>
        <v>237.69503999999998</v>
      </c>
      <c r="F24" s="1025">
        <f>+landbouw!E8</f>
        <v>8.8569194041697301</v>
      </c>
      <c r="G24" s="1025">
        <f>+landbouw!F8</f>
        <v>2426.1148369135644</v>
      </c>
      <c r="H24" s="1025">
        <f>+landbouw!G8</f>
        <v>0</v>
      </c>
      <c r="I24" s="1025">
        <f>+landbouw!H8</f>
        <v>0</v>
      </c>
      <c r="J24" s="1025">
        <f>+landbouw!I8</f>
        <v>0</v>
      </c>
      <c r="K24" s="1025">
        <f>+landbouw!J8</f>
        <v>146.5993507575057</v>
      </c>
      <c r="L24" s="1025">
        <f>+landbouw!K8</f>
        <v>0</v>
      </c>
      <c r="M24" s="1025">
        <f>+landbouw!L8</f>
        <v>0</v>
      </c>
      <c r="N24" s="1025">
        <f>+landbouw!M8</f>
        <v>0</v>
      </c>
      <c r="O24" s="1025">
        <f>+landbouw!N8</f>
        <v>0</v>
      </c>
      <c r="P24" s="1025">
        <f>+landbouw!O8</f>
        <v>0</v>
      </c>
      <c r="Q24" s="1026">
        <f>+landbouw!P8</f>
        <v>0</v>
      </c>
      <c r="R24" s="701">
        <f>SUM(C24:Q24)</f>
        <v>3775.48714707524</v>
      </c>
      <c r="S24" s="67"/>
    </row>
    <row r="25" spans="1:19" s="474" customFormat="1" ht="15" thickBot="1">
      <c r="A25" s="832" t="s">
        <v>864</v>
      </c>
      <c r="B25" s="1028"/>
      <c r="C25" s="1029">
        <f>IF(Onbekend_ele_kWh="---",0,Onbekend_ele_kWh)/1000+IF(REST_rest_ele_kWh="---",0,REST_rest_ele_kWh)/1000</f>
        <v>877.01</v>
      </c>
      <c r="D25" s="1029"/>
      <c r="E25" s="1029">
        <f>IF(onbekend_gas_kWh="---",0,onbekend_gas_kWh)/1000+IF(REST_rest_gas_kWh="---",0,REST_rest_gas_kWh)/1000</f>
        <v>1136.7349999999999</v>
      </c>
      <c r="F25" s="1029"/>
      <c r="G25" s="1029"/>
      <c r="H25" s="1029"/>
      <c r="I25" s="1029"/>
      <c r="J25" s="1029"/>
      <c r="K25" s="1029"/>
      <c r="L25" s="1029"/>
      <c r="M25" s="1029"/>
      <c r="N25" s="1029"/>
      <c r="O25" s="1029"/>
      <c r="P25" s="1029"/>
      <c r="Q25" s="1030"/>
      <c r="R25" s="701">
        <f>SUM(C25:Q25)</f>
        <v>2013.7449999999999</v>
      </c>
      <c r="S25" s="67"/>
    </row>
    <row r="26" spans="1:19" s="474" customFormat="1" ht="15.75" thickBot="1">
      <c r="A26" s="706" t="s">
        <v>865</v>
      </c>
      <c r="B26" s="818"/>
      <c r="C26" s="813">
        <f>SUM(C24:C25)</f>
        <v>1833.231</v>
      </c>
      <c r="D26" s="813">
        <f t="shared" ref="D26:R26" si="2">SUM(D24:D25)</f>
        <v>0</v>
      </c>
      <c r="E26" s="813">
        <f t="shared" si="2"/>
        <v>1374.43004</v>
      </c>
      <c r="F26" s="813">
        <f t="shared" si="2"/>
        <v>8.8569194041697301</v>
      </c>
      <c r="G26" s="813">
        <f t="shared" si="2"/>
        <v>2426.1148369135644</v>
      </c>
      <c r="H26" s="813">
        <f t="shared" si="2"/>
        <v>0</v>
      </c>
      <c r="I26" s="813">
        <f t="shared" si="2"/>
        <v>0</v>
      </c>
      <c r="J26" s="813">
        <f t="shared" si="2"/>
        <v>0</v>
      </c>
      <c r="K26" s="813">
        <f t="shared" si="2"/>
        <v>146.5993507575057</v>
      </c>
      <c r="L26" s="813">
        <f t="shared" si="2"/>
        <v>0</v>
      </c>
      <c r="M26" s="813">
        <f t="shared" si="2"/>
        <v>0</v>
      </c>
      <c r="N26" s="813">
        <f t="shared" si="2"/>
        <v>0</v>
      </c>
      <c r="O26" s="813">
        <f t="shared" si="2"/>
        <v>0</v>
      </c>
      <c r="P26" s="813">
        <f t="shared" si="2"/>
        <v>0</v>
      </c>
      <c r="Q26" s="813">
        <f t="shared" si="2"/>
        <v>0</v>
      </c>
      <c r="R26" s="813">
        <f t="shared" si="2"/>
        <v>5789.2321470752395</v>
      </c>
      <c r="S26" s="67"/>
    </row>
    <row r="27" spans="1:19" s="474" customFormat="1" ht="17.25" thickTop="1" thickBot="1">
      <c r="A27" s="707" t="s">
        <v>116</v>
      </c>
      <c r="B27" s="806"/>
      <c r="C27" s="708">
        <f ca="1">C22+C16+C26</f>
        <v>34149.079894700939</v>
      </c>
      <c r="D27" s="708">
        <f t="shared" ref="D27:R27" ca="1" si="3">D22+D16+D26</f>
        <v>0</v>
      </c>
      <c r="E27" s="708">
        <f t="shared" ca="1" si="3"/>
        <v>26223.127582994533</v>
      </c>
      <c r="F27" s="708">
        <f t="shared" si="3"/>
        <v>5974.6653588335757</v>
      </c>
      <c r="G27" s="708">
        <f t="shared" ca="1" si="3"/>
        <v>55833.36146917774</v>
      </c>
      <c r="H27" s="708">
        <f t="shared" si="3"/>
        <v>92929.958402511897</v>
      </c>
      <c r="I27" s="708">
        <f t="shared" si="3"/>
        <v>17374.314759680612</v>
      </c>
      <c r="J27" s="708">
        <f t="shared" si="3"/>
        <v>0</v>
      </c>
      <c r="K27" s="708">
        <f t="shared" si="3"/>
        <v>2574.5224392831569</v>
      </c>
      <c r="L27" s="708">
        <f t="shared" si="3"/>
        <v>0</v>
      </c>
      <c r="M27" s="708">
        <f t="shared" ca="1" si="3"/>
        <v>0</v>
      </c>
      <c r="N27" s="708">
        <f t="shared" si="3"/>
        <v>5908.6507748048216</v>
      </c>
      <c r="O27" s="708">
        <f t="shared" ca="1" si="3"/>
        <v>10403.76476687309</v>
      </c>
      <c r="P27" s="708">
        <f t="shared" si="3"/>
        <v>140.70000000000002</v>
      </c>
      <c r="Q27" s="708">
        <f t="shared" si="3"/>
        <v>858</v>
      </c>
      <c r="R27" s="708">
        <f t="shared" ca="1" si="3"/>
        <v>252370.14544886039</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2306.1757949145913</v>
      </c>
      <c r="D40" s="1025">
        <f ca="1">tertiair!C20</f>
        <v>0</v>
      </c>
      <c r="E40" s="1025">
        <f ca="1">tertiair!D20</f>
        <v>1054.9400243360001</v>
      </c>
      <c r="F40" s="1025">
        <f>tertiair!E20</f>
        <v>26.06173664343633</v>
      </c>
      <c r="G40" s="1025">
        <f ca="1">tertiair!F20</f>
        <v>417.811774212145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3804.9893301061725</v>
      </c>
    </row>
    <row r="41" spans="1:18">
      <c r="A41" s="823" t="s">
        <v>225</v>
      </c>
      <c r="B41" s="830"/>
      <c r="C41" s="1025">
        <f ca="1">huishoudens!B12</f>
        <v>3964.2770441241069</v>
      </c>
      <c r="D41" s="1025">
        <f ca="1">huishoudens!C12</f>
        <v>0</v>
      </c>
      <c r="E41" s="1025">
        <f>huishoudens!D12</f>
        <v>3807.2484193040009</v>
      </c>
      <c r="F41" s="1025">
        <f>huishoudens!E12</f>
        <v>1231.191783176138</v>
      </c>
      <c r="G41" s="1025">
        <f>huishoudens!F12</f>
        <v>13665.096295731446</v>
      </c>
      <c r="H41" s="1025">
        <f>huishoudens!G12</f>
        <v>0</v>
      </c>
      <c r="I41" s="1025">
        <f>huishoudens!H12</f>
        <v>0</v>
      </c>
      <c r="J41" s="1025">
        <f>huishoudens!I12</f>
        <v>0</v>
      </c>
      <c r="K41" s="1025">
        <f>huishoudens!J12</f>
        <v>857.9204218534328</v>
      </c>
      <c r="L41" s="1025">
        <f>huishoudens!K12</f>
        <v>0</v>
      </c>
      <c r="M41" s="1025">
        <f>huishoudens!L12</f>
        <v>0</v>
      </c>
      <c r="N41" s="1025">
        <f>huishoudens!M12</f>
        <v>0</v>
      </c>
      <c r="O41" s="1025">
        <f>huishoudens!N12</f>
        <v>0</v>
      </c>
      <c r="P41" s="1025">
        <f>huishoudens!O12</f>
        <v>0</v>
      </c>
      <c r="Q41" s="775">
        <f>huishoudens!P12</f>
        <v>0</v>
      </c>
      <c r="R41" s="851">
        <f t="shared" ca="1" si="4"/>
        <v>23525.733964189127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161.82124899492203</v>
      </c>
      <c r="D43" s="1025">
        <f ca="1">industrie!C22</f>
        <v>0</v>
      </c>
      <c r="E43" s="1025">
        <f>industrie!D22</f>
        <v>148.06716957999998</v>
      </c>
      <c r="F43" s="1025">
        <f>industrie!E22</f>
        <v>26.810658467695621</v>
      </c>
      <c r="G43" s="1025">
        <f>industrie!F22</f>
        <v>176.82678087094587</v>
      </c>
      <c r="H43" s="1025">
        <f>industrie!G22</f>
        <v>0</v>
      </c>
      <c r="I43" s="1025">
        <f>industrie!H22</f>
        <v>0</v>
      </c>
      <c r="J43" s="1025">
        <f>industrie!I22</f>
        <v>0</v>
      </c>
      <c r="K43" s="1025">
        <f>industrie!J22</f>
        <v>1.564351484647662</v>
      </c>
      <c r="L43" s="1025">
        <f>industrie!K22</f>
        <v>0</v>
      </c>
      <c r="M43" s="1025">
        <f>industrie!L22</f>
        <v>0</v>
      </c>
      <c r="N43" s="1025">
        <f>industrie!M22</f>
        <v>0</v>
      </c>
      <c r="O43" s="1025">
        <f>industrie!N22</f>
        <v>0</v>
      </c>
      <c r="P43" s="1025">
        <f>industrie!O22</f>
        <v>0</v>
      </c>
      <c r="Q43" s="775">
        <f>industrie!P22</f>
        <v>0</v>
      </c>
      <c r="R43" s="850">
        <f t="shared" ca="1" si="4"/>
        <v>515.09020939821119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6432.2740880336205</v>
      </c>
      <c r="D46" s="733">
        <f t="shared" ref="D46:Q46" ca="1" si="5">SUM(D39:D45)</f>
        <v>0</v>
      </c>
      <c r="E46" s="733">
        <f t="shared" ca="1" si="5"/>
        <v>5010.2556132200016</v>
      </c>
      <c r="F46" s="733">
        <f t="shared" si="5"/>
        <v>1284.0641782872699</v>
      </c>
      <c r="G46" s="733">
        <f t="shared" ca="1" si="5"/>
        <v>14259.734850814537</v>
      </c>
      <c r="H46" s="733">
        <f t="shared" si="5"/>
        <v>0</v>
      </c>
      <c r="I46" s="733">
        <f t="shared" si="5"/>
        <v>0</v>
      </c>
      <c r="J46" s="733">
        <f t="shared" si="5"/>
        <v>0</v>
      </c>
      <c r="K46" s="733">
        <f t="shared" si="5"/>
        <v>859.48477333808046</v>
      </c>
      <c r="L46" s="733">
        <f t="shared" si="5"/>
        <v>0</v>
      </c>
      <c r="M46" s="733">
        <f t="shared" ca="1" si="5"/>
        <v>0</v>
      </c>
      <c r="N46" s="733">
        <f t="shared" si="5"/>
        <v>0</v>
      </c>
      <c r="O46" s="733">
        <f t="shared" ca="1" si="5"/>
        <v>0</v>
      </c>
      <c r="P46" s="733">
        <f t="shared" si="5"/>
        <v>0</v>
      </c>
      <c r="Q46" s="733">
        <f t="shared" si="5"/>
        <v>0</v>
      </c>
      <c r="R46" s="733">
        <f ca="1">SUM(R39:R45)</f>
        <v>27845.813503693509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577.6807421612142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577.6807421612142</v>
      </c>
    </row>
    <row r="50" spans="1:18">
      <c r="A50" s="826" t="s">
        <v>307</v>
      </c>
      <c r="B50" s="836"/>
      <c r="C50" s="704">
        <f ca="1">transport!B18</f>
        <v>3.3846352336583587</v>
      </c>
      <c r="D50" s="704">
        <f>transport!C18</f>
        <v>0</v>
      </c>
      <c r="E50" s="704">
        <f>transport!D18</f>
        <v>9.1812904648956248</v>
      </c>
      <c r="F50" s="704">
        <f>transport!E18</f>
        <v>70.17433746320539</v>
      </c>
      <c r="G50" s="704">
        <f>transport!F18</f>
        <v>0</v>
      </c>
      <c r="H50" s="704">
        <f>transport!G18</f>
        <v>24234.618151309463</v>
      </c>
      <c r="I50" s="704">
        <f>transport!H18</f>
        <v>4326.2043751604724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28643.562789631695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3.3846352336583587</v>
      </c>
      <c r="D52" s="733">
        <f t="shared" ref="D52:Q52" ca="1" si="6">SUM(D48:D51)</f>
        <v>0</v>
      </c>
      <c r="E52" s="733">
        <f t="shared" si="6"/>
        <v>9.1812904648956248</v>
      </c>
      <c r="F52" s="733">
        <f t="shared" si="6"/>
        <v>70.17433746320539</v>
      </c>
      <c r="G52" s="733">
        <f t="shared" si="6"/>
        <v>0</v>
      </c>
      <c r="H52" s="733">
        <f t="shared" si="6"/>
        <v>24812.298893470677</v>
      </c>
      <c r="I52" s="733">
        <f t="shared" si="6"/>
        <v>4326.2043751604724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29221.243531792908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190.4301520926613</v>
      </c>
      <c r="D54" s="704">
        <f ca="1">+landbouw!C12</f>
        <v>0</v>
      </c>
      <c r="E54" s="704">
        <f>+landbouw!D12</f>
        <v>48.014398079999999</v>
      </c>
      <c r="F54" s="704">
        <f>+landbouw!E12</f>
        <v>2.0105207047465288</v>
      </c>
      <c r="G54" s="704">
        <f>+landbouw!F12</f>
        <v>647.77266145592171</v>
      </c>
      <c r="H54" s="704">
        <f>+landbouw!G12</f>
        <v>0</v>
      </c>
      <c r="I54" s="704">
        <f>+landbouw!H12</f>
        <v>0</v>
      </c>
      <c r="J54" s="704">
        <f>+landbouw!I12</f>
        <v>0</v>
      </c>
      <c r="K54" s="704">
        <f>+landbouw!J12</f>
        <v>51.896170168157013</v>
      </c>
      <c r="L54" s="704">
        <f>+landbouw!K12</f>
        <v>0</v>
      </c>
      <c r="M54" s="704">
        <f>+landbouw!L12</f>
        <v>0</v>
      </c>
      <c r="N54" s="704">
        <f>+landbouw!M12</f>
        <v>0</v>
      </c>
      <c r="O54" s="704">
        <f>+landbouw!N12</f>
        <v>0</v>
      </c>
      <c r="P54" s="704">
        <f>+landbouw!O12</f>
        <v>0</v>
      </c>
      <c r="Q54" s="705">
        <f>+landbouw!P12</f>
        <v>0</v>
      </c>
      <c r="R54" s="732">
        <f ca="1">SUM(C54:Q54)</f>
        <v>940.12390250148655</v>
      </c>
    </row>
    <row r="55" spans="1:18" ht="15" thickBot="1">
      <c r="A55" s="826" t="s">
        <v>864</v>
      </c>
      <c r="B55" s="836"/>
      <c r="C55" s="704">
        <f ca="1">C25*'EF ele_warmte'!B12</f>
        <v>174.65538582271765</v>
      </c>
      <c r="D55" s="704"/>
      <c r="E55" s="704">
        <f>E25*EF_CO2_aardgas</f>
        <v>229.62046999999998</v>
      </c>
      <c r="F55" s="704"/>
      <c r="G55" s="704"/>
      <c r="H55" s="704"/>
      <c r="I55" s="704"/>
      <c r="J55" s="704"/>
      <c r="K55" s="704"/>
      <c r="L55" s="704"/>
      <c r="M55" s="704"/>
      <c r="N55" s="704"/>
      <c r="O55" s="704"/>
      <c r="P55" s="704"/>
      <c r="Q55" s="705"/>
      <c r="R55" s="732">
        <f ca="1">SUM(C55:Q55)</f>
        <v>404.27585582271763</v>
      </c>
    </row>
    <row r="56" spans="1:18" ht="15.75" thickBot="1">
      <c r="A56" s="824" t="s">
        <v>865</v>
      </c>
      <c r="B56" s="837"/>
      <c r="C56" s="733">
        <f ca="1">SUM(C54:C55)</f>
        <v>365.08553791537895</v>
      </c>
      <c r="D56" s="733">
        <f t="shared" ref="D56:Q56" ca="1" si="7">SUM(D54:D55)</f>
        <v>0</v>
      </c>
      <c r="E56" s="733">
        <f t="shared" si="7"/>
        <v>277.63486807999999</v>
      </c>
      <c r="F56" s="733">
        <f t="shared" si="7"/>
        <v>2.0105207047465288</v>
      </c>
      <c r="G56" s="733">
        <f t="shared" si="7"/>
        <v>647.77266145592171</v>
      </c>
      <c r="H56" s="733">
        <f t="shared" si="7"/>
        <v>0</v>
      </c>
      <c r="I56" s="733">
        <f t="shared" si="7"/>
        <v>0</v>
      </c>
      <c r="J56" s="733">
        <f t="shared" si="7"/>
        <v>0</v>
      </c>
      <c r="K56" s="733">
        <f t="shared" si="7"/>
        <v>51.896170168157013</v>
      </c>
      <c r="L56" s="733">
        <f t="shared" si="7"/>
        <v>0</v>
      </c>
      <c r="M56" s="733">
        <f t="shared" si="7"/>
        <v>0</v>
      </c>
      <c r="N56" s="733">
        <f t="shared" si="7"/>
        <v>0</v>
      </c>
      <c r="O56" s="733">
        <f t="shared" si="7"/>
        <v>0</v>
      </c>
      <c r="P56" s="733">
        <f t="shared" si="7"/>
        <v>0</v>
      </c>
      <c r="Q56" s="734">
        <f t="shared" si="7"/>
        <v>0</v>
      </c>
      <c r="R56" s="735">
        <f ca="1">SUM(R54:R55)</f>
        <v>1344.3997583242042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6800.7442611826582</v>
      </c>
      <c r="D61" s="741">
        <f t="shared" ref="D61:Q61" ca="1" si="8">D46+D52+D56</f>
        <v>0</v>
      </c>
      <c r="E61" s="741">
        <f t="shared" ca="1" si="8"/>
        <v>5297.0717717648977</v>
      </c>
      <c r="F61" s="741">
        <f t="shared" si="8"/>
        <v>1356.2490364552218</v>
      </c>
      <c r="G61" s="741">
        <f t="shared" ca="1" si="8"/>
        <v>14907.507512270458</v>
      </c>
      <c r="H61" s="741">
        <f t="shared" si="8"/>
        <v>24812.298893470677</v>
      </c>
      <c r="I61" s="741">
        <f t="shared" si="8"/>
        <v>4326.2043751604724</v>
      </c>
      <c r="J61" s="741">
        <f t="shared" si="8"/>
        <v>0</v>
      </c>
      <c r="K61" s="741">
        <f t="shared" si="8"/>
        <v>911.38094350623749</v>
      </c>
      <c r="L61" s="741">
        <f t="shared" si="8"/>
        <v>0</v>
      </c>
      <c r="M61" s="741">
        <f t="shared" ca="1" si="8"/>
        <v>0</v>
      </c>
      <c r="N61" s="741">
        <f t="shared" si="8"/>
        <v>0</v>
      </c>
      <c r="O61" s="741">
        <f t="shared" ca="1" si="8"/>
        <v>0</v>
      </c>
      <c r="P61" s="741">
        <f t="shared" si="8"/>
        <v>0</v>
      </c>
      <c r="Q61" s="741">
        <f t="shared" si="8"/>
        <v>0</v>
      </c>
      <c r="R61" s="741">
        <f ca="1">R46+R52+R56</f>
        <v>58411.456793810619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0.1991486822530161</v>
      </c>
      <c r="D63" s="782">
        <f t="shared" ca="1" si="9"/>
        <v>0</v>
      </c>
      <c r="E63" s="1036">
        <f t="shared" ca="1" si="9"/>
        <v>0.20200000000000007</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3376.4814278110812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3376.4814278110812</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3376.4814278110812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3376.4814278110812</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19906.117375597489</v>
      </c>
      <c r="C4" s="478">
        <f>huishoudens!C8</f>
        <v>0</v>
      </c>
      <c r="D4" s="478">
        <f>huishoudens!D8</f>
        <v>18847.764452000003</v>
      </c>
      <c r="E4" s="478">
        <f>huishoudens!E8</f>
        <v>5423.7523487935596</v>
      </c>
      <c r="F4" s="478">
        <f>huishoudens!F8</f>
        <v>51180.135939069085</v>
      </c>
      <c r="G4" s="478">
        <f>huishoudens!G8</f>
        <v>0</v>
      </c>
      <c r="H4" s="478">
        <f>huishoudens!H8</f>
        <v>0</v>
      </c>
      <c r="I4" s="478">
        <f>huishoudens!I8</f>
        <v>0</v>
      </c>
      <c r="J4" s="478">
        <f>huishoudens!J8</f>
        <v>2423.5040165351211</v>
      </c>
      <c r="K4" s="478">
        <f>huishoudens!K8</f>
        <v>0</v>
      </c>
      <c r="L4" s="478">
        <f>huishoudens!L8</f>
        <v>0</v>
      </c>
      <c r="M4" s="478">
        <f>huishoudens!M8</f>
        <v>0</v>
      </c>
      <c r="N4" s="478">
        <f>huishoudens!N8</f>
        <v>9438.8695660831454</v>
      </c>
      <c r="O4" s="478">
        <f>huishoudens!O8</f>
        <v>139.13666666666668</v>
      </c>
      <c r="P4" s="479">
        <f>huishoudens!P8</f>
        <v>858</v>
      </c>
      <c r="Q4" s="480">
        <f>SUM(B4:P4)</f>
        <v>108217.28036474508</v>
      </c>
    </row>
    <row r="5" spans="1:17">
      <c r="A5" s="477" t="s">
        <v>156</v>
      </c>
      <c r="B5" s="478">
        <f ca="1">tertiair!B16</f>
        <v>10982.003999999999</v>
      </c>
      <c r="C5" s="478">
        <f ca="1">tertiair!C16</f>
        <v>0</v>
      </c>
      <c r="D5" s="478">
        <f ca="1">tertiair!D16</f>
        <v>5222.4753680000003</v>
      </c>
      <c r="E5" s="478">
        <f>tertiair!E16</f>
        <v>114.80941252615123</v>
      </c>
      <c r="F5" s="478">
        <f ca="1">tertiair!F16</f>
        <v>1564.8381056634644</v>
      </c>
      <c r="G5" s="478">
        <f>tertiair!G16</f>
        <v>0</v>
      </c>
      <c r="H5" s="478">
        <f>tertiair!H16</f>
        <v>0</v>
      </c>
      <c r="I5" s="478">
        <f>tertiair!I16</f>
        <v>0</v>
      </c>
      <c r="J5" s="478">
        <f>tertiair!J16</f>
        <v>0</v>
      </c>
      <c r="K5" s="478">
        <f>tertiair!K16</f>
        <v>0</v>
      </c>
      <c r="L5" s="478">
        <f ca="1">tertiair!L16</f>
        <v>0</v>
      </c>
      <c r="M5" s="478">
        <f>tertiair!M16</f>
        <v>0</v>
      </c>
      <c r="N5" s="478">
        <f ca="1">tertiair!N16</f>
        <v>714.98956847629972</v>
      </c>
      <c r="O5" s="478">
        <f>tertiair!O16</f>
        <v>1.5633333333333335</v>
      </c>
      <c r="P5" s="479">
        <f>tertiair!P16</f>
        <v>0</v>
      </c>
      <c r="Q5" s="477">
        <f t="shared" ref="Q5:Q14" ca="1" si="0">SUM(B5:P5)</f>
        <v>18600.679787999248</v>
      </c>
    </row>
    <row r="6" spans="1:17">
      <c r="A6" s="477" t="s">
        <v>194</v>
      </c>
      <c r="B6" s="478">
        <f>'openbare verlichting'!B8</f>
        <v>598.16700000000003</v>
      </c>
      <c r="C6" s="478"/>
      <c r="D6" s="478"/>
      <c r="E6" s="478"/>
      <c r="F6" s="478"/>
      <c r="G6" s="478"/>
      <c r="H6" s="478"/>
      <c r="I6" s="478"/>
      <c r="J6" s="478"/>
      <c r="K6" s="478"/>
      <c r="L6" s="478"/>
      <c r="M6" s="478"/>
      <c r="N6" s="478"/>
      <c r="O6" s="478"/>
      <c r="P6" s="479"/>
      <c r="Q6" s="477">
        <f t="shared" si="0"/>
        <v>598.16700000000003</v>
      </c>
    </row>
    <row r="7" spans="1:17">
      <c r="A7" s="477" t="s">
        <v>112</v>
      </c>
      <c r="B7" s="478">
        <f>landbouw!B8</f>
        <v>956.221</v>
      </c>
      <c r="C7" s="478">
        <f>landbouw!C8</f>
        <v>0</v>
      </c>
      <c r="D7" s="478">
        <f>landbouw!D8</f>
        <v>237.69503999999998</v>
      </c>
      <c r="E7" s="478">
        <f>landbouw!E8</f>
        <v>8.8569194041697301</v>
      </c>
      <c r="F7" s="478">
        <f>landbouw!F8</f>
        <v>2426.1148369135644</v>
      </c>
      <c r="G7" s="478">
        <f>landbouw!G8</f>
        <v>0</v>
      </c>
      <c r="H7" s="478">
        <f>landbouw!H8</f>
        <v>0</v>
      </c>
      <c r="I7" s="478">
        <f>landbouw!I8</f>
        <v>0</v>
      </c>
      <c r="J7" s="478">
        <f>landbouw!J8</f>
        <v>146.5993507575057</v>
      </c>
      <c r="K7" s="478">
        <f>landbouw!K8</f>
        <v>0</v>
      </c>
      <c r="L7" s="478">
        <f>landbouw!L8</f>
        <v>0</v>
      </c>
      <c r="M7" s="478">
        <f>landbouw!M8</f>
        <v>0</v>
      </c>
      <c r="N7" s="478">
        <f>landbouw!N8</f>
        <v>0</v>
      </c>
      <c r="O7" s="478">
        <f>landbouw!O8</f>
        <v>0</v>
      </c>
      <c r="P7" s="479">
        <f>landbouw!P8</f>
        <v>0</v>
      </c>
      <c r="Q7" s="477">
        <f t="shared" si="0"/>
        <v>3775.48714707524</v>
      </c>
    </row>
    <row r="8" spans="1:17">
      <c r="A8" s="477" t="s">
        <v>650</v>
      </c>
      <c r="B8" s="478">
        <f>industrie!B18</f>
        <v>812.56499999999994</v>
      </c>
      <c r="C8" s="478">
        <f>industrie!C18</f>
        <v>0</v>
      </c>
      <c r="D8" s="478">
        <f>industrie!D18</f>
        <v>733.00578999999993</v>
      </c>
      <c r="E8" s="478">
        <f>industrie!E18</f>
        <v>118.10862761099392</v>
      </c>
      <c r="F8" s="478">
        <f>industrie!F18</f>
        <v>662.27258753163244</v>
      </c>
      <c r="G8" s="478">
        <f>industrie!G18</f>
        <v>0</v>
      </c>
      <c r="H8" s="478">
        <f>industrie!H18</f>
        <v>0</v>
      </c>
      <c r="I8" s="478">
        <f>industrie!I18</f>
        <v>0</v>
      </c>
      <c r="J8" s="478">
        <f>industrie!J18</f>
        <v>4.419071990530119</v>
      </c>
      <c r="K8" s="478">
        <f>industrie!K18</f>
        <v>0</v>
      </c>
      <c r="L8" s="478">
        <f>industrie!L18</f>
        <v>0</v>
      </c>
      <c r="M8" s="478">
        <f>industrie!M18</f>
        <v>0</v>
      </c>
      <c r="N8" s="478">
        <f>industrie!N18</f>
        <v>249.90563231364524</v>
      </c>
      <c r="O8" s="478">
        <f>industrie!O18</f>
        <v>0</v>
      </c>
      <c r="P8" s="479">
        <f>industrie!P18</f>
        <v>0</v>
      </c>
      <c r="Q8" s="477">
        <f t="shared" si="0"/>
        <v>2580.2767094468013</v>
      </c>
    </row>
    <row r="9" spans="1:17" s="483" customFormat="1">
      <c r="A9" s="481" t="s">
        <v>571</v>
      </c>
      <c r="B9" s="482">
        <f>transport!B14</f>
        <v>16.995519103451656</v>
      </c>
      <c r="C9" s="482">
        <f>transport!C14</f>
        <v>0</v>
      </c>
      <c r="D9" s="482">
        <f>transport!D14</f>
        <v>45.451932994532797</v>
      </c>
      <c r="E9" s="482">
        <f>transport!E14</f>
        <v>309.13805049870217</v>
      </c>
      <c r="F9" s="482">
        <f>transport!F14</f>
        <v>0</v>
      </c>
      <c r="G9" s="482">
        <f>transport!G14</f>
        <v>90766.360117263903</v>
      </c>
      <c r="H9" s="482">
        <f>transport!H14</f>
        <v>17374.314759680612</v>
      </c>
      <c r="I9" s="482">
        <f>transport!I14</f>
        <v>0</v>
      </c>
      <c r="J9" s="482">
        <f>transport!J14</f>
        <v>0</v>
      </c>
      <c r="K9" s="482">
        <f>transport!K14</f>
        <v>0</v>
      </c>
      <c r="L9" s="482">
        <f>transport!L14</f>
        <v>0</v>
      </c>
      <c r="M9" s="482">
        <f>transport!M14</f>
        <v>5785.2670718268446</v>
      </c>
      <c r="N9" s="482">
        <f>transport!N14</f>
        <v>0</v>
      </c>
      <c r="O9" s="482">
        <f>transport!O14</f>
        <v>0</v>
      </c>
      <c r="P9" s="482">
        <f>transport!P14</f>
        <v>0</v>
      </c>
      <c r="Q9" s="481">
        <f>SUM(B9:P9)</f>
        <v>114297.52745136805</v>
      </c>
    </row>
    <row r="10" spans="1:17">
      <c r="A10" s="477" t="s">
        <v>561</v>
      </c>
      <c r="B10" s="478">
        <f>transport!B54</f>
        <v>0</v>
      </c>
      <c r="C10" s="478">
        <f>transport!C54</f>
        <v>0</v>
      </c>
      <c r="D10" s="478">
        <f>transport!D54</f>
        <v>0</v>
      </c>
      <c r="E10" s="478">
        <f>transport!E54</f>
        <v>0</v>
      </c>
      <c r="F10" s="478">
        <f>transport!F54</f>
        <v>0</v>
      </c>
      <c r="G10" s="478">
        <f>transport!G54</f>
        <v>2163.5982852479933</v>
      </c>
      <c r="H10" s="478">
        <f>transport!H54</f>
        <v>0</v>
      </c>
      <c r="I10" s="478">
        <f>transport!I54</f>
        <v>0</v>
      </c>
      <c r="J10" s="478">
        <f>transport!J54</f>
        <v>0</v>
      </c>
      <c r="K10" s="478">
        <f>transport!K54</f>
        <v>0</v>
      </c>
      <c r="L10" s="478">
        <f>transport!L54</f>
        <v>0</v>
      </c>
      <c r="M10" s="478">
        <f>transport!M54</f>
        <v>123.3837029779766</v>
      </c>
      <c r="N10" s="478">
        <f>transport!N54</f>
        <v>0</v>
      </c>
      <c r="O10" s="478">
        <f>transport!O54</f>
        <v>0</v>
      </c>
      <c r="P10" s="479">
        <f>transport!P54</f>
        <v>0</v>
      </c>
      <c r="Q10" s="477">
        <f t="shared" si="0"/>
        <v>2286.9819882259699</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877.01</v>
      </c>
      <c r="C14" s="485"/>
      <c r="D14" s="485">
        <f>'SEAP template'!E25</f>
        <v>1136.7349999999999</v>
      </c>
      <c r="E14" s="485"/>
      <c r="F14" s="485"/>
      <c r="G14" s="485"/>
      <c r="H14" s="485"/>
      <c r="I14" s="485"/>
      <c r="J14" s="485"/>
      <c r="K14" s="485"/>
      <c r="L14" s="485"/>
      <c r="M14" s="485"/>
      <c r="N14" s="485"/>
      <c r="O14" s="485"/>
      <c r="P14" s="486"/>
      <c r="Q14" s="477">
        <f t="shared" si="0"/>
        <v>2013.7449999999999</v>
      </c>
    </row>
    <row r="15" spans="1:17" s="487" customFormat="1">
      <c r="A15" s="1051" t="s">
        <v>565</v>
      </c>
      <c r="B15" s="991">
        <f ca="1">SUM(B4:B14)</f>
        <v>34149.079894700946</v>
      </c>
      <c r="C15" s="991">
        <f t="shared" ref="C15:Q15" ca="1" si="1">SUM(C4:C14)</f>
        <v>0</v>
      </c>
      <c r="D15" s="991">
        <f t="shared" ca="1" si="1"/>
        <v>26223.127582994533</v>
      </c>
      <c r="E15" s="991">
        <f t="shared" si="1"/>
        <v>5974.6653588335757</v>
      </c>
      <c r="F15" s="991">
        <f t="shared" ca="1" si="1"/>
        <v>55833.36146917774</v>
      </c>
      <c r="G15" s="991">
        <f t="shared" si="1"/>
        <v>92929.958402511897</v>
      </c>
      <c r="H15" s="991">
        <f t="shared" si="1"/>
        <v>17374.314759680612</v>
      </c>
      <c r="I15" s="991">
        <f t="shared" si="1"/>
        <v>0</v>
      </c>
      <c r="J15" s="991">
        <f t="shared" si="1"/>
        <v>2574.5224392831569</v>
      </c>
      <c r="K15" s="991">
        <f t="shared" si="1"/>
        <v>0</v>
      </c>
      <c r="L15" s="991">
        <f t="shared" ca="1" si="1"/>
        <v>0</v>
      </c>
      <c r="M15" s="991">
        <f t="shared" si="1"/>
        <v>5908.6507748048216</v>
      </c>
      <c r="N15" s="991">
        <f t="shared" ca="1" si="1"/>
        <v>10403.76476687309</v>
      </c>
      <c r="O15" s="991">
        <f t="shared" si="1"/>
        <v>140.70000000000002</v>
      </c>
      <c r="P15" s="991">
        <f t="shared" si="1"/>
        <v>858</v>
      </c>
      <c r="Q15" s="991">
        <f t="shared" ca="1" si="1"/>
        <v>252370.14544886039</v>
      </c>
    </row>
    <row r="17" spans="1:17">
      <c r="A17" s="488" t="s">
        <v>566</v>
      </c>
      <c r="B17" s="787">
        <f ca="1">huishoudens!B10</f>
        <v>0.1991486822530161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3964.2770441241069</v>
      </c>
      <c r="C22" s="478">
        <f t="shared" ref="C22:C32" ca="1" si="3">C4*$C$17</f>
        <v>0</v>
      </c>
      <c r="D22" s="478">
        <f t="shared" ref="D22:D32" si="4">D4*$D$17</f>
        <v>3807.2484193040009</v>
      </c>
      <c r="E22" s="478">
        <f t="shared" ref="E22:E32" si="5">E4*$E$17</f>
        <v>1231.191783176138</v>
      </c>
      <c r="F22" s="478">
        <f t="shared" ref="F22:F32" si="6">F4*$F$17</f>
        <v>13665.096295731446</v>
      </c>
      <c r="G22" s="478">
        <f t="shared" ref="G22:G32" si="7">G4*$G$17</f>
        <v>0</v>
      </c>
      <c r="H22" s="478">
        <f t="shared" ref="H22:H32" si="8">H4*$H$17</f>
        <v>0</v>
      </c>
      <c r="I22" s="478">
        <f t="shared" ref="I22:I32" si="9">I4*$I$17</f>
        <v>0</v>
      </c>
      <c r="J22" s="478">
        <f t="shared" ref="J22:J32" si="10">J4*$J$17</f>
        <v>857.9204218534328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23525.733964189127</v>
      </c>
    </row>
    <row r="23" spans="1:17">
      <c r="A23" s="477" t="s">
        <v>156</v>
      </c>
      <c r="B23" s="478">
        <f t="shared" ca="1" si="2"/>
        <v>2187.0516250973515</v>
      </c>
      <c r="C23" s="478">
        <f t="shared" ca="1" si="3"/>
        <v>0</v>
      </c>
      <c r="D23" s="478">
        <f t="shared" ca="1" si="4"/>
        <v>1054.9400243360001</v>
      </c>
      <c r="E23" s="478">
        <f t="shared" si="5"/>
        <v>26.06173664343633</v>
      </c>
      <c r="F23" s="478">
        <f t="shared" ca="1" si="6"/>
        <v>417.811774212145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3685.8651602889327</v>
      </c>
    </row>
    <row r="24" spans="1:17">
      <c r="A24" s="477" t="s">
        <v>194</v>
      </c>
      <c r="B24" s="478">
        <f t="shared" ca="1" si="2"/>
        <v>119.12416981723989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119.12416981723989</v>
      </c>
    </row>
    <row r="25" spans="1:17">
      <c r="A25" s="477" t="s">
        <v>112</v>
      </c>
      <c r="B25" s="478">
        <f t="shared" ca="1" si="2"/>
        <v>190.4301520926613</v>
      </c>
      <c r="C25" s="478">
        <f t="shared" ca="1" si="3"/>
        <v>0</v>
      </c>
      <c r="D25" s="478">
        <f t="shared" si="4"/>
        <v>48.014398079999999</v>
      </c>
      <c r="E25" s="478">
        <f t="shared" si="5"/>
        <v>2.0105207047465288</v>
      </c>
      <c r="F25" s="478">
        <f t="shared" si="6"/>
        <v>647.77266145592171</v>
      </c>
      <c r="G25" s="478">
        <f t="shared" si="7"/>
        <v>0</v>
      </c>
      <c r="H25" s="478">
        <f t="shared" si="8"/>
        <v>0</v>
      </c>
      <c r="I25" s="478">
        <f t="shared" si="9"/>
        <v>0</v>
      </c>
      <c r="J25" s="478">
        <f t="shared" si="10"/>
        <v>51.896170168157013</v>
      </c>
      <c r="K25" s="478">
        <f t="shared" si="11"/>
        <v>0</v>
      </c>
      <c r="L25" s="478">
        <f t="shared" si="12"/>
        <v>0</v>
      </c>
      <c r="M25" s="478">
        <f t="shared" si="13"/>
        <v>0</v>
      </c>
      <c r="N25" s="478">
        <f t="shared" si="14"/>
        <v>0</v>
      </c>
      <c r="O25" s="478">
        <f t="shared" si="15"/>
        <v>0</v>
      </c>
      <c r="P25" s="479">
        <f t="shared" si="16"/>
        <v>0</v>
      </c>
      <c r="Q25" s="477">
        <f t="shared" ca="1" si="17"/>
        <v>940.12390250148655</v>
      </c>
    </row>
    <row r="26" spans="1:17">
      <c r="A26" s="477" t="s">
        <v>650</v>
      </c>
      <c r="B26" s="478">
        <f t="shared" ca="1" si="2"/>
        <v>161.82124899492203</v>
      </c>
      <c r="C26" s="478">
        <f t="shared" ca="1" si="3"/>
        <v>0</v>
      </c>
      <c r="D26" s="478">
        <f t="shared" si="4"/>
        <v>148.06716957999998</v>
      </c>
      <c r="E26" s="478">
        <f t="shared" si="5"/>
        <v>26.810658467695621</v>
      </c>
      <c r="F26" s="478">
        <f t="shared" si="6"/>
        <v>176.82678087094587</v>
      </c>
      <c r="G26" s="478">
        <f t="shared" si="7"/>
        <v>0</v>
      </c>
      <c r="H26" s="478">
        <f t="shared" si="8"/>
        <v>0</v>
      </c>
      <c r="I26" s="478">
        <f t="shared" si="9"/>
        <v>0</v>
      </c>
      <c r="J26" s="478">
        <f t="shared" si="10"/>
        <v>1.564351484647662</v>
      </c>
      <c r="K26" s="478">
        <f t="shared" si="11"/>
        <v>0</v>
      </c>
      <c r="L26" s="478">
        <f t="shared" si="12"/>
        <v>0</v>
      </c>
      <c r="M26" s="478">
        <f t="shared" si="13"/>
        <v>0</v>
      </c>
      <c r="N26" s="478">
        <f t="shared" si="14"/>
        <v>0</v>
      </c>
      <c r="O26" s="478">
        <f t="shared" si="15"/>
        <v>0</v>
      </c>
      <c r="P26" s="479">
        <f t="shared" si="16"/>
        <v>0</v>
      </c>
      <c r="Q26" s="477">
        <f t="shared" ca="1" si="17"/>
        <v>515.09020939821119</v>
      </c>
    </row>
    <row r="27" spans="1:17" s="483" customFormat="1">
      <c r="A27" s="481" t="s">
        <v>571</v>
      </c>
      <c r="B27" s="781">
        <f t="shared" ca="1" si="2"/>
        <v>3.3846352336583587</v>
      </c>
      <c r="C27" s="482">
        <f t="shared" ca="1" si="3"/>
        <v>0</v>
      </c>
      <c r="D27" s="482">
        <f t="shared" si="4"/>
        <v>9.1812904648956248</v>
      </c>
      <c r="E27" s="482">
        <f t="shared" si="5"/>
        <v>70.17433746320539</v>
      </c>
      <c r="F27" s="482">
        <f t="shared" si="6"/>
        <v>0</v>
      </c>
      <c r="G27" s="482">
        <f t="shared" si="7"/>
        <v>24234.618151309463</v>
      </c>
      <c r="H27" s="482">
        <f t="shared" si="8"/>
        <v>4326.2043751604724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28643.562789631695</v>
      </c>
    </row>
    <row r="28" spans="1:17">
      <c r="A28" s="477" t="s">
        <v>561</v>
      </c>
      <c r="B28" s="478">
        <f t="shared" ca="1" si="2"/>
        <v>0</v>
      </c>
      <c r="C28" s="478">
        <f t="shared" ca="1" si="3"/>
        <v>0</v>
      </c>
      <c r="D28" s="478">
        <f t="shared" si="4"/>
        <v>0</v>
      </c>
      <c r="E28" s="478">
        <f t="shared" si="5"/>
        <v>0</v>
      </c>
      <c r="F28" s="478">
        <f t="shared" si="6"/>
        <v>0</v>
      </c>
      <c r="G28" s="478">
        <f t="shared" si="7"/>
        <v>577.6807421612142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577.6807421612142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174.65538582271765</v>
      </c>
      <c r="C32" s="478">
        <f t="shared" ca="1" si="3"/>
        <v>0</v>
      </c>
      <c r="D32" s="478">
        <f t="shared" si="4"/>
        <v>229.62046999999998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404.27585582271763</v>
      </c>
    </row>
    <row r="33" spans="1:17" s="487" customFormat="1">
      <c r="A33" s="1051" t="s">
        <v>565</v>
      </c>
      <c r="B33" s="991">
        <f ca="1">SUM(B22:B32)</f>
        <v>6800.7442611826582</v>
      </c>
      <c r="C33" s="991">
        <f t="shared" ref="C33:Q33" ca="1" si="18">SUM(C22:C32)</f>
        <v>0</v>
      </c>
      <c r="D33" s="991">
        <f t="shared" ca="1" si="18"/>
        <v>5297.0717717648977</v>
      </c>
      <c r="E33" s="991">
        <f t="shared" si="18"/>
        <v>1356.2490364552218</v>
      </c>
      <c r="F33" s="991">
        <f t="shared" ca="1" si="18"/>
        <v>14907.507512270458</v>
      </c>
      <c r="G33" s="991">
        <f t="shared" si="18"/>
        <v>24812.298893470677</v>
      </c>
      <c r="H33" s="991">
        <f t="shared" si="18"/>
        <v>4326.2043751604724</v>
      </c>
      <c r="I33" s="991">
        <f t="shared" si="18"/>
        <v>0</v>
      </c>
      <c r="J33" s="991">
        <f t="shared" si="18"/>
        <v>911.38094350623749</v>
      </c>
      <c r="K33" s="991">
        <f t="shared" si="18"/>
        <v>0</v>
      </c>
      <c r="L33" s="991">
        <f t="shared" ca="1" si="18"/>
        <v>0</v>
      </c>
      <c r="M33" s="991">
        <f t="shared" si="18"/>
        <v>0</v>
      </c>
      <c r="N33" s="991">
        <f t="shared" ca="1" si="18"/>
        <v>0</v>
      </c>
      <c r="O33" s="991">
        <f t="shared" si="18"/>
        <v>0</v>
      </c>
      <c r="P33" s="991">
        <f t="shared" si="18"/>
        <v>0</v>
      </c>
      <c r="Q33" s="991">
        <f t="shared" ca="1" si="18"/>
        <v>58411.456793810627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3376.4814278110812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3376.4814278110812</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0.1991486822530161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0.1991486822530161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2019-08-12T08:08:13Z</dcterms:modified>
</cp:coreProperties>
</file>