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7"/>
  <c r="K30"/>
  <c r="K31"/>
  <c r="K24"/>
  <c r="K29"/>
  <c r="K26"/>
  <c r="K22"/>
  <c r="B7"/>
  <c r="C24" i="14"/>
  <c r="C26" s="1"/>
  <c r="J24" i="48"/>
  <c r="J32"/>
  <c r="J30"/>
  <c r="J27"/>
  <c r="J31"/>
  <c r="J29"/>
  <c r="J28"/>
  <c r="Q11" i="14"/>
  <c r="P4" i="48"/>
  <c r="P11" i="14"/>
  <c r="O4" i="48"/>
  <c r="I32"/>
  <c r="I28"/>
  <c r="I22"/>
  <c r="I26"/>
  <c r="I30"/>
  <c r="I29"/>
  <c r="I24"/>
  <c r="I25"/>
  <c r="I27"/>
  <c r="I31"/>
  <c r="D4"/>
  <c r="D22" s="1"/>
  <c r="E11" i="14"/>
  <c r="H32" i="48"/>
  <c r="H29"/>
  <c r="H28"/>
  <c r="H26"/>
  <c r="H24"/>
  <c r="H25"/>
  <c r="H22"/>
  <c r="H30"/>
  <c r="H23"/>
  <c r="D11" i="14"/>
  <c r="C4" i="48"/>
  <c r="G32"/>
  <c r="G22"/>
  <c r="G26"/>
  <c r="G30"/>
  <c r="G25"/>
  <c r="G24"/>
  <c r="G29"/>
  <c r="G23"/>
  <c r="C11" i="14"/>
  <c r="B4" i="48"/>
  <c r="F24"/>
  <c r="F32"/>
  <c r="F29"/>
  <c r="F30"/>
  <c r="F31"/>
  <c r="F28"/>
  <c r="F27"/>
  <c r="N31"/>
  <c r="N24"/>
  <c r="N32"/>
  <c r="N30"/>
  <c r="N29"/>
  <c r="N28"/>
  <c r="N27"/>
  <c r="C19" i="14"/>
  <c r="B10" i="48"/>
  <c r="E32"/>
  <c r="E29"/>
  <c r="E30"/>
  <c r="E31"/>
  <c r="E24"/>
  <c r="E28"/>
  <c r="M26"/>
  <c r="M25"/>
  <c r="M32"/>
  <c r="M22"/>
  <c r="M29"/>
  <c r="M24"/>
  <c r="M30"/>
  <c r="M23"/>
  <c r="L10" i="14"/>
  <c r="L16" s="1"/>
  <c r="L27" s="1"/>
  <c r="K5" i="48"/>
  <c r="D30"/>
  <c r="D29"/>
  <c r="D28"/>
  <c r="D31"/>
  <c r="D24"/>
  <c r="D32"/>
  <c r="L32"/>
  <c r="L27"/>
  <c r="L28"/>
  <c r="L24"/>
  <c r="L31"/>
  <c r="L22"/>
  <c r="L30"/>
  <c r="L29"/>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F20"/>
  <c r="F22" s="1"/>
  <c r="E9" i="48"/>
  <c r="E27" s="1"/>
  <c r="P22"/>
  <c r="P33" s="1"/>
  <c r="P15"/>
  <c r="E20" i="14"/>
  <c r="E22" s="1"/>
  <c r="D9" i="48"/>
  <c r="D27" s="1"/>
  <c r="P10" i="14"/>
  <c r="O5" i="48"/>
  <c r="O23" s="1"/>
  <c r="J7"/>
  <c r="J25" s="1"/>
  <c r="K24" i="14"/>
  <c r="K26" s="1"/>
  <c r="C20"/>
  <c r="B9" i="48"/>
  <c r="O22"/>
  <c r="G11" i="14"/>
  <c r="F4" i="48"/>
  <c r="F22" s="1"/>
  <c r="J63" i="14"/>
  <c r="D10"/>
  <c r="J12" i="17"/>
  <c r="K54" i="14" s="1"/>
  <c r="K56" s="1"/>
  <c r="L46"/>
  <c r="L61" s="1"/>
  <c r="L63" s="1"/>
  <c r="Q16"/>
  <c r="Q27"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M9" i="48"/>
  <c r="G9"/>
  <c r="H20" i="14"/>
  <c r="H22" s="1"/>
  <c r="H27" s="1"/>
  <c r="N19"/>
  <c r="N22" s="1"/>
  <c r="N27" s="1"/>
  <c r="M10" i="48"/>
  <c r="M28" s="1"/>
  <c r="O22" i="16"/>
  <c r="P43" i="14" s="1"/>
  <c r="P13"/>
  <c r="O8" i="48"/>
  <c r="H19" i="14"/>
  <c r="G10" i="48"/>
  <c r="E12" i="13"/>
  <c r="F41" i="14" s="1"/>
  <c r="F11"/>
  <c r="R11" s="1"/>
  <c r="E4" i="48"/>
  <c r="I23"/>
  <c r="I33" s="1"/>
  <c r="I15"/>
  <c r="Q13"/>
  <c r="G31"/>
  <c r="K11" i="14"/>
  <c r="J4" i="48"/>
  <c r="E7"/>
  <c r="E25" s="1"/>
  <c r="F24" i="14"/>
  <c r="F26" s="1"/>
  <c r="P46"/>
  <c r="P61"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H52" l="1"/>
  <c r="H61" s="1"/>
  <c r="H63" s="1"/>
  <c r="J22" i="48"/>
  <c r="E22"/>
  <c r="Q4"/>
  <c r="J5"/>
  <c r="J23" s="1"/>
  <c r="K10" i="14"/>
  <c r="F10"/>
  <c r="E5" i="48"/>
  <c r="E23" s="1"/>
  <c r="H9"/>
  <c r="I20" i="14"/>
  <c r="I22" s="1"/>
  <c r="I27" s="1"/>
  <c r="O26" i="48"/>
  <c r="O33" s="1"/>
  <c r="O15"/>
  <c r="M27"/>
  <c r="M33" s="1"/>
  <c r="M15"/>
  <c r="G28"/>
  <c r="Q10"/>
  <c r="G27"/>
  <c r="G15"/>
  <c r="P63" i="14"/>
  <c r="R20"/>
  <c r="R19"/>
  <c r="R22" s="1"/>
  <c r="L25" i="48"/>
  <c r="Q7"/>
  <c r="M26" i="14"/>
  <c r="R24"/>
  <c r="R26" s="1"/>
  <c r="E20" i="15"/>
  <c r="F40" i="14" s="1"/>
  <c r="F18" i="16"/>
  <c r="F22" s="1"/>
  <c r="G43" i="14" s="1"/>
  <c r="J18" i="16"/>
  <c r="E18"/>
  <c r="J20" i="15"/>
  <c r="K40" i="14" s="1"/>
  <c r="N18" i="16"/>
  <c r="N22" s="1"/>
  <c r="O43" i="14" s="1"/>
  <c r="G18" i="22"/>
  <c r="H50" i="14" s="1"/>
  <c r="H18" i="22"/>
  <c r="I50" i="14" s="1"/>
  <c r="I52" s="1"/>
  <c r="I61" s="1"/>
  <c r="J22" i="16" l="1"/>
  <c r="K43" i="14" s="1"/>
  <c r="K46" s="1"/>
  <c r="K61" s="1"/>
  <c r="K63" s="1"/>
  <c r="J8" i="48"/>
  <c r="J26" s="1"/>
  <c r="K13" i="14"/>
  <c r="F13"/>
  <c r="E8" i="48"/>
  <c r="E26" s="1"/>
  <c r="H27"/>
  <c r="H33" s="1"/>
  <c r="H15"/>
  <c r="Q9"/>
  <c r="F46" i="14"/>
  <c r="F61" s="1"/>
  <c r="F63" s="1"/>
  <c r="K16"/>
  <c r="K27" s="1"/>
  <c r="F16"/>
  <c r="F27" s="1"/>
  <c r="G33" i="48"/>
  <c r="J33"/>
  <c r="I63" i="14"/>
  <c r="E33" i="48"/>
  <c r="E22" i="16"/>
  <c r="F43" i="14" s="1"/>
  <c r="E15" i="48"/>
  <c r="O13" i="14"/>
  <c r="N8" i="48"/>
  <c r="N26" s="1"/>
  <c r="F8"/>
  <c r="G13" i="14"/>
  <c r="R13" s="1"/>
  <c r="J15" i="48" l="1"/>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<sst xmlns="http://schemas.openxmlformats.org/spreadsheetml/2006/main" count="2428" uniqueCount="914">
  <si>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</si>
  <si>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</si>
  <si>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</si>
  <si>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</si>
  <si>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</si>
  <si>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</si>
  <si>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</si>
  <si>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</si>
  <si>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</si>
  <si>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</si>
  <si>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</si>
  <si>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</si>
  <si>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</si>
  <si>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</si>
  <si>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</si>
  <si>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</si>
  <si>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</si>
  <si>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</si>
  <si>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</si>
  <si>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</si>
  <si>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</si>
  <si>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</si>
  <si>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</si>
  <si>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</si>
  <si>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</si>
  <si>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</si>
  <si>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</si>
  <si>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</si>
  <si>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</si>
  <si>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</si>
  <si>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</si>
  <si>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</si>
  <si>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</si>
  <si>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</si>
  <si>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</si>
  <si>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</si>
  <si>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</si>
  <si>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</si>
  <si>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</si>
  <si>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</si>
  <si>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</si>
  <si>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</si>
  <si>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</si>
  <si>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</si>
  <si>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</si>
  <si>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</si>
  <si>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</si>
  <si>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</si>
  <si>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</si>
  <si>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</si>
  <si>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</si>
  <si>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</si>
  <si>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</si>
  <si>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</si>
  <si>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</si>
  <si>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</si>
  <si>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</si>
  <si>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</si>
  <si>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</si>
  <si>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</si>
  <si>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</si>
  <si>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</si>
  <si>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</si>
  <si>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</si>
  <si>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</si>
  <si>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</si>
  <si>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</si>
  <si>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</si>
  <si>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</si>
  <si>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</si>
  <si>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</si>
  <si>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</si>
  <si>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</si>
  <si>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</si>
  <si>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</si>
  <si>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</si>
  <si>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</si>
  <si>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</si>
  <si>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</si>
  <si>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</si>
  <si>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</si>
  <si>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</si>
  <si>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</si>
  <si>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</si>
  <si>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</si>
  <si>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</si>
  <si>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</si>
  <si>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</si>
  <si>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</si>
  <si>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</si>
  <si>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</si>
  <si>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</si>
  <si>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</si>
  <si>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</si>
  <si>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</si>
  <si>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</si>
  <si>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</si>
  <si>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</si>
  <si>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</si>
  <si>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</si>
  <si>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</si>
  <si>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</si>
  <si>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</si>
  <si>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</si>
  <si>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</si>
  <si>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</si>
  <si>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</si>
  <si>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</si>
  <si>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</si>
  <si>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</si>
  <si>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</si>
  <si>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</si>
  <si>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</si>
  <si>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</si>
  <si>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</si>
  <si>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</si>
  <si>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</si>
  <si>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</si>
  <si>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</si>
  <si>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</si>
  <si>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</si>
  <si>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</si>
  <si>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</si>
  <si>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</si>
  <si>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</si>
  <si>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</si>
  <si>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</si>
  <si>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</si>
  <si>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</si>
  <si>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</si>
  <si>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</si>
  <si>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</si>
  <si>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</si>
  <si>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</si>
  <si>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</si>
  <si>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</si>
  <si>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</si>
  <si>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</si>
  <si>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</si>
  <si>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</si>
  <si>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</si>
  <si>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</si>
  <si>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</si>
  <si>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</si>
  <si>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</si>
  <si>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</si>
  <si>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</si>
  <si>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</si>
  <si>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</si>
  <si>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</si>
  <si>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</si>
  <si>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</si>
  <si>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</si>
  <si>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</si>
  <si>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</si>
  <si>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</si>
  <si>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</si>
  <si>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</si>
  <si>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</si>
  <si>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</si>
  <si>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</si>
  <si>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</si>
  <si>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</si>
  <si>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</si>
  <si>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</si>
  <si>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</si>
  <si>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</si>
  <si>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</si>
  <si>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</si>
  <si>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</si>
  <si>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</si>
  <si>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</si>
  <si>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</si>
  <si>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</si>
  <si>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</si>
  <si>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</si>
  <si>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</si>
  <si>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</si>
  <si>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</si>
  <si>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</si>
  <si>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</si>
  <si>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</si>
  <si>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</si>
  <si>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</si>
  <si>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</si>
  <si>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</si>
  <si>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</si>
  <si>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</si>
  <si>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</si>
  <si>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</si>
  <si>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</si>
  <si>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</si>
  <si>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</si>
  <si>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</si>
  <si>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</si>
  <si>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</si>
  <si>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</si>
  <si>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</si>
  <si>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</si>
  <si>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</si>
  <si>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</si>
  <si>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</si>
  <si>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</si>
  <si>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</si>
  <si>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</si>
  <si>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</si>
  <si>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</si>
  <si>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</si>
  <si>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</si>
  <si>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</si>
  <si>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</si>
  <si>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</si>
  <si>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</si>
  <si>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</si>
  <si>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</si>
  <si>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</si>
  <si>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</si>
  <si>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</si>
  <si>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</si>
  <si>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</si>
  <si>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</si>
  <si>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</si>
  <si>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</si>
  <si>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</si>
  <si>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</si>
  <si>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</si>
  <si>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</si>
  <si>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</si>
  <si>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</si>
  <si>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</si>
  <si>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</si>
  <si>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</si>
  <si>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</si>
  <si>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</si>
  <si>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</si>
  <si>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</si>
  <si>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</si>
  <si>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</si>
  <si>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</si>
  <si>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</si>
  <si>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</si>
  <si>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</si>
  <si>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</si>
  <si>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</si>
  <si>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</si>
  <si>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</si>
  <si>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</si>
  <si>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</si>
  <si>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</si>
  <si>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</si>
  <si>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</si>
  <si>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</si>
  <si>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</si>
  <si>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</si>
  <si>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</si>
  <si>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</si>
  <si>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</si>
  <si>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</si>
  <si>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</si>
  <si>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</si>
  <si>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</si>
  <si>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</si>
  <si>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</si>
  <si>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</si>
  <si>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</si>
  <si>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</si>
  <si>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</si>
  <si>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</si>
  <si>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</si>
  <si>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</si>
  <si>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</si>
  <si>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</si>
  <si>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</si>
  <si>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</si>
  <si>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</si>
  <si>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</si>
  <si>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</si>
  <si>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</si>
  <si>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</si>
  <si>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</si>
  <si>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</si>
  <si>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</si>
  <si>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</si>
  <si>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</si>
  <si>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</si>
  <si>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</si>
  <si>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</si>
  <si>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</si>
  <si>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</si>
  <si>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</si>
  <si>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</si>
  <si>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</si>
  <si>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</si>
  <si>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</si>
  <si>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</si>
  <si>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</si>
  <si>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</si>
  <si>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</si>
  <si>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</si>
  <si>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</si>
  <si>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</si>
  <si>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</si>
  <si>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</si>
  <si>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</si>
  <si>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</si>
  <si>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</si>
  <si>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</si>
  <si>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</si>
  <si>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</si>
  <si>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</si>
  <si>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</si>
  <si>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</si>
  <si>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</si>
  <si>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</si>
  <si>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</si>
  <si>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</si>
  <si>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</si>
  <si>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</si>
  <si>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</si>
  <si>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</si>
  <si>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</si>
  <si>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</si>
  <si>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</si>
  <si>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</si>
  <si>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</si>
  <si>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</si>
  <si>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</si>
  <si>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</si>
  <si>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</si>
  <si>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</si>
  <si>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</si>
  <si>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</si>
  <si>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</si>
  <si>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</si>
  <si>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</si>
  <si>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</si>
  <si>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</si>
  <si>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</si>
  <si>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</si>
  <si>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</si>
  <si>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</si>
  <si>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</si>
  <si>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</si>
  <si>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</si>
  <si>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</si>
  <si>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</si>
  <si>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</si>
  <si>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</si>
  <si>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</si>
  <si>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</si>
  <si>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</si>
  <si>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</si>
  <si>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</si>
  <si>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</si>
  <si>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</si>
  <si>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</si>
  <si>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</si>
  <si>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</si>
  <si>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</si>
  <si>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</si>
  <si>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</si>
  <si>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</si>
  <si>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</si>
  <si>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</si>
  <si>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</si>
  <si>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</si>
  <si>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</si>
  <si>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</si>
  <si>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</si>
  <si>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</si>
  <si>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</si>
  <si>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</si>
  <si>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</si>
  <si>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</si>
  <si>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</si>
  <si>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</si>
  <si>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</si>
  <si>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</si>
  <si>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</si>
  <si>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</si>
  <si>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</si>
  <si>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</si>
  <si>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</si>
  <si>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</si>
  <si>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</si>
  <si>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</si>
  <si>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</si>
  <si>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</si>
  <si>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</si>
  <si>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</si>
  <si>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</si>
  <si>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</si>
  <si>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</si>
  <si>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</si>
  <si>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</si>
  <si>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</si>
  <si>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</si>
  <si>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</si>
  <si>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</si>
  <si>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</si>
  <si>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</si>
  <si>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</si>
  <si>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</si>
  <si>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</si>
  <si>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</si>
  <si>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</si>
  <si>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</si>
  <si>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</si>
  <si>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</si>
  <si>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</si>
  <si>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</si>
  <si>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</si>
  <si>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</si>
  <si>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</si>
  <si>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</si>
  <si>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</si>
  <si>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</si>
  <si>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</si>
  <si>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</si>
  <si>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</si>
  <si>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</si>
  <si>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</si>
  <si>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</si>
  <si>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</si>
  <si>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</si>
  <si>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</si>
  <si>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</si>
  <si>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</si>
  <si>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</si>
  <si>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</si>
  <si>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</si>
  <si>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</si>
  <si>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</si>
  <si>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</si>
  <si>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</si>
  <si>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</si>
  <si>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</si>
  <si>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</si>
  <si>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</si>
  <si>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</si>
  <si>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</si>
  <si>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</si>
  <si>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</si>
  <si>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</si>
  <si>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</si>
  <si>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</si>
  <si>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</si>
  <si>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</si>
  <si>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</si>
  <si>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</si>
  <si>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</si>
  <si>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</si>
  <si>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</si>
  <si>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</si>
  <si>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</si>
  <si>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</si>
  <si>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</si>
  <si>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</si>
  <si>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</si>
  <si>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</si>
  <si>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</si>
  <si>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</si>
  <si>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</si>
  <si>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</si>
  <si>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</si>
  <si>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</si>
  <si>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</si>
  <si>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</si>
  <si>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</si>
  <si>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</si>
  <si>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</si>
  <si>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</si>
  <si>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</si>
  <si>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</si>
  <si>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</si>
  <si>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</si>
  <si>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</si>
  <si>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</si>
  <si>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</si>
  <si>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</si>
  <si>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</si>
  <si>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</si>
  <si>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</si>
  <si>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</si>
  <si>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</si>
  <si>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</si>
  <si>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</si>
  <si>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</si>
  <si>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</si>
  <si>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</si>
  <si>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</si>
  <si>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</si>
  <si>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</si>
  <si>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</si>
  <si>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</si>
  <si>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</si>
  <si>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</si>
  <si>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</si>
  <si>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</si>
  <si>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</si>
  <si>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</si>
  <si>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</si>
  <si>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</si>
  <si>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</si>
  <si>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</si>
  <si>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</si>
  <si>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</si>
  <si>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</si>
  <si>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</si>
  <si>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</si>
  <si>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</si>
  <si>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</si>
  <si>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</si>
  <si>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</si>
  <si>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</si>
  <si>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</si>
  <si>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</si>
  <si>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</si>
  <si>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</si>
  <si>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</si>
  <si>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</si>
  <si>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</si>
  <si>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</si>
  <si>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</si>
  <si>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</si>
  <si>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</si>
  <si>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</si>
  <si>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</si>
  <si>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</si>
  <si>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</si>
  <si>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</si>
  <si>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</si>
  <si>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</si>
  <si>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</si>
  <si>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</si>
  <si>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</si>
  <si>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</si>
  <si>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</si>
  <si>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</si>
  <si>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</si>
  <si>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</si>
  <si>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</si>
  <si>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</si>
  <si>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</si>
  <si>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</si>
  <si>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</si>
  <si>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</si>
  <si>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</si>
  <si>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</si>
  <si>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</si>
  <si>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</si>
  <si>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</si>
  <si>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</si>
  <si>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</si>
  <si>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</si>
  <si>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</si>
  <si>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</si>
  <si>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</si>
  <si>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</si>
  <si>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</si>
  <si>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</si>
  <si>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</si>
  <si>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</si>
  <si>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</si>
  <si>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</si>
  <si>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</si>
  <si>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</si>
  <si>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</si>
  <si>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</si>
  <si>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</si>
  <si>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</si>
  <si>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</si>
  <si>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</si>
  <si>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</si>
  <si>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</si>
  <si>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</si>
  <si>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</si>
  <si>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</si>
  <si>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</si>
  <si>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</si>
  <si>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</si>
  <si>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</si>
  <si>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</si>
  <si>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</si>
  <si>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</si>
  <si>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</si>
  <si>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</si>
  <si>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</si>
  <si>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</si>
  <si>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</si>
  <si>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</si>
  <si>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</si>
  <si>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</si>
  <si>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</si>
  <si>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</si>
  <si>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</si>
  <si>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</si>
  <si>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</si>
  <si>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</si>
  <si>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</si>
  <si>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</si>
  <si>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</si>
  <si>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</si>
  <si>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</si>
  <si>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</si>
  <si>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</si>
  <si>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</si>
  <si>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</si>
  <si>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</si>
  <si>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</si>
  <si>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</si>
  <si>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</si>
  <si>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</si>
  <si>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</si>
  <si>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</si>
  <si>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</si>
  <si>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</si>
  <si>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</si>
  <si>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</si>
  <si>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</si>
  <si>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</si>
  <si>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</si>
  <si>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</si>
  <si>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</si>
  <si>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</si>
  <si>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</si>
  <si>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</si>
  <si>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</si>
  <si>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</si>
  <si>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</si>
  <si>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</si>
  <si>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</si>
  <si>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</si>
  <si>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</si>
  <si>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</si>
  <si>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</si>
  <si>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</si>
  <si>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</si>
  <si>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</si>
  <si>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</si>
  <si>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</si>
  <si>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</si>
  <si>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</si>
  <si>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</si>
  <si>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</si>
  <si>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</si>
  <si>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</si>
  <si>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</si>
  <si>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</si>
  <si>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</si>
  <si>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</si>
  <si>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</si>
  <si>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</si>
  <si>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</si>
  <si>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</si>
  <si>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</si>
  <si>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</si>
  <si>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</si>
  <si>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</si>
  <si>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</si>
  <si>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</si>
  <si>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</si>
  <si>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</si>
  <si>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</si>
  <si>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</si>
  <si>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</si>
  <si>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</si>
  <si>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</si>
  <si>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</si>
  <si>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</si>
  <si>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</si>
  <si>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</si>
  <si>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</si>
  <si>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</si>
  <si>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</si>
  <si>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</si>
  <si>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</si>
  <si>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</si>
  <si>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</si>
  <si>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</si>
  <si>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</si>
  <si>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</si>
  <si>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</si>
  <si>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</si>
  <si>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</si>
  <si>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</si>
  <si>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</si>
  <si>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</si>
  <si>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</si>
  <si>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</si>
  <si>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</si>
  <si>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</si>
  <si>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</si>
  <si>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</si>
  <si>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</si>
  <si>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</si>
  <si>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</si>
  <si>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</si>
  <si>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</si>
  <si>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</si>
  <si>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</si>
  <si>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</si>
  <si>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</si>
  <si>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</si>
  <si>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</si>
  <si>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</si>
  <si>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</si>
  <si>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</si>
  <si>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</si>
  <si>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</si>
  <si>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</si>
  <si>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</si>
  <si>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</si>
  <si>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</si>
  <si>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</si>
  <si>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</si>
  <si>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</si>
  <si>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</si>
  <si>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</si>
  <si>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</si>
  <si>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</si>
  <si>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</si>
  <si>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</si>
  <si>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</si>
  <si>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</si>
  <si>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</si>
  <si>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</si>
  <si>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</si>
  <si>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</si>
  <si>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</si>
  <si>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</si>
  <si>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</si>
  <si>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</si>
  <si>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</si>
  <si>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</si>
  <si>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</si>
  <si>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</si>
  <si>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</si>
  <si>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</si>
  <si>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</si>
  <si>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</si>
  <si>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</si>
  <si>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</si>
  <si>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</si>
  <si>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</si>
  <si>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</si>
  <si>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</si>
  <si>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</si>
  <si>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</si>
  <si>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</si>
  <si>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</si>
  <si>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</si>
  <si>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</si>
  <si>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</si>
  <si>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</si>
  <si>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</si>
  <si>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</si>
  <si>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</si>
  <si>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</si>
  <si>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</si>
  <si>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</si>
  <si>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</si>
  <si>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</si>
  <si>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</si>
  <si>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</si>
  <si>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</si>
  <si>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</si>
  <si>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</si>
  <si>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</si>
  <si>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</si>
  <si>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</si>
  <si>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</si>
  <si>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</si>
  <si>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</si>
  <si>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</si>
  <si>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</si>
  <si>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</si>
  <si>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</si>
  <si>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</si>
  <si>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</si>
  <si>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</si>
  <si>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</si>
  <si>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</si>
  <si>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</si>
  <si>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</si>
  <si>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</si>
  <si>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</si>
  <si>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</si>
  <si>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</si>
  <si>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</si>
  <si>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</si>
  <si>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</si>
  <si>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</si>
  <si>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</si>
  <si>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</si>
  <si>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</si>
  <si>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</si>
  <si>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</si>
  <si>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</si>
  <si>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</si>
  <si>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</si>
  <si>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</si>
  <si>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</si>
  <si>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</si>
  <si>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</si>
  <si>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</si>
  <si>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</si>
  <si>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</si>
  <si>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</si>
  <si>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</si>
  <si>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</si>
  <si>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</si>
  <si>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</si>
  <si>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</si>
  <si>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</si>
  <si>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</si>
  <si>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</si>
  <si>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</si>
  <si>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</si>
  <si>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</si>
  <si>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</si>
  <si>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</si>
  <si>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</si>
  <si>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</si>
  <si>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</si>
  <si>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</si>
  <si>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</si>
  <si>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</si>
  <si>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</si>
  <si>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</si>
  <si>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</si>
  <si>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</si>
  <si>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</si>
  <si>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</si>
  <si>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</si>
  <si>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</si>
  <si>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</si>
  <si>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</si>
  <si>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</si>
  <si>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</si>
  <si>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</si>
  <si>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</si>
  <si>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</si>
  <si>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</si>
  <si>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</si>
  <si>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</si>
  <si>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</si>
  <si>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</si>
  <si>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</si>
  <si>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</si>
  <si>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</si>
  <si>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</si>
  <si>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</si>
  <si>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</si>
  <si>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</si>
  <si>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</si>
  <si>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</si>
  <si>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</si>
  <si>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</si>
  <si>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</si>
  <si>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</si>
  <si>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</si>
  <si>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</si>
  <si>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</si>
  <si>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</si>
  <si>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</si>
  <si>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</si>
  <si>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</si>
  <si>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</si>
  <si>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</si>
  <si>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</si>
  <si>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</si>
  <si>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</si>
  <si>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</si>
  <si>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</si>
  <si>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</si>
  <si>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</si>
  <si>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</si>
  <si>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</si>
  <si>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</si>
  <si>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</si>
  <si>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</si>
  <si>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</si>
  <si>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</si>
  <si>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</si>
  <si>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</si>
  <si>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</si>
  <si>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</si>
  <si>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</si>
  <si>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</si>
  <si>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</si>
  <si>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</si>
  <si>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</si>
  <si>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</si>
  <si>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</si>
  <si>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</si>
  <si>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</si>
  <si>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</si>
  <si>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</si>
  <si>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24109</t>
  </si>
  <si>
    <t>TREMELO</t>
  </si>
  <si>
    <t>Paarden&amp;pony's 200 - 600 kg</t>
  </si>
  <si>
    <t>Paarden&amp;pony's &lt; 200 kg</t>
  </si>
  <si>
    <t>referentietaak LNE (2017); Jaarverslag De Lijn (2014)</t>
  </si>
  <si>
    <t>op basis van VEA (maart 2018) en Inventaris Hernieuwbare Energiebronnen (juni 2018)</t>
  </si>
  <si>
    <t>VEA (maart 2016)</t>
  </si>
  <si>
    <t>VEA (juni 2018)</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</si>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</sst>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125002.80348588043</c:v>
                </c:pt>
                <c:pt idx="1">
                  <c:v>22813.420611560723</c:v>
                </c:pt>
                <c:pt idx="2">
                  <c:v>967.36699999999996</c:v>
                </c:pt>
                <c:pt idx="3">
                  <c:v>6631.0564984889579</c:v>
                </c:pt>
                <c:pt idx="4">
                  <c:v>4166.1136238431081</c:v>
                </c:pt>
                <c:pt idx="5">
                  <c:v>39808.515490824524</c:v>
                </c:pt>
                <c:pt idx="6">
                  <c:v>858.54457602718264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125002.80348588043</c:v>
                </c:pt>
                <c:pt idx="1">
                  <c:v>22813.420611560723</c:v>
                </c:pt>
                <c:pt idx="2">
                  <c:v>967.36699999999996</c:v>
                </c:pt>
                <c:pt idx="3">
                  <c:v>6631.0564984889579</c:v>
                </c:pt>
                <c:pt idx="4">
                  <c:v>4166.1136238431081</c:v>
                </c:pt>
                <c:pt idx="5">
                  <c:v>39808.515490824524</c:v>
                </c:pt>
                <c:pt idx="6">
                  <c:v>858.54457602718264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27680.611365452442</c:v>
                </c:pt>
                <c:pt idx="2">
                  <c:v>4539.2723743569495</c:v>
                </c:pt>
                <c:pt idx="3">
                  <c:v>193.8480869066552</c:v>
                </c:pt>
                <c:pt idx="4">
                  <c:v>1673.6995016101837</c:v>
                </c:pt>
                <c:pt idx="5">
                  <c:v>840.12699744398014</c:v>
                </c:pt>
                <c:pt idx="6">
                  <c:v>9954.5035054259861</c:v>
                </c:pt>
                <c:pt idx="7">
                  <c:v>216.86426496196046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27680.611365452442</c:v>
                </c:pt>
                <c:pt idx="2">
                  <c:v>4539.2723743569495</c:v>
                </c:pt>
                <c:pt idx="3">
                  <c:v>193.8480869066552</c:v>
                </c:pt>
                <c:pt idx="4">
                  <c:v>1673.6995016101837</c:v>
                </c:pt>
                <c:pt idx="5">
                  <c:v>840.12699744398014</c:v>
                </c:pt>
                <c:pt idx="6">
                  <c:v>9954.5035054259861</c:v>
                </c:pt>
                <c:pt idx="7">
                  <c:v>216.86426496196046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24109</v>
      </c>
      <c r="B6" s="416"/>
      <c r="C6" s="417"/>
    </row>
    <row r="7" spans="1:7" s="414" customFormat="1" ht="15.75" customHeight="1">
      <c r="A7" s="418" t="str">
        <f>txtMunicipality</f>
        <v>TREMELO</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0.20038732653342031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0.20038732653342031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5923</v>
      </c>
      <c r="C9" s="342">
        <v>6281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283</v>
      </c>
    </row>
    <row r="15" spans="1:6">
      <c r="A15" s="348" t="s">
        <v>184</v>
      </c>
      <c r="B15" s="334">
        <v>0</v>
      </c>
    </row>
    <row r="16" spans="1:6">
      <c r="A16" s="348" t="s">
        <v>6</v>
      </c>
      <c r="B16" s="334">
        <v>0</v>
      </c>
    </row>
    <row r="17" spans="1:6">
      <c r="A17" s="348" t="s">
        <v>7</v>
      </c>
      <c r="B17" s="334">
        <v>45</v>
      </c>
    </row>
    <row r="18" spans="1:6">
      <c r="A18" s="348" t="s">
        <v>8</v>
      </c>
      <c r="B18" s="334">
        <v>41</v>
      </c>
    </row>
    <row r="19" spans="1:6">
      <c r="A19" s="348" t="s">
        <v>9</v>
      </c>
      <c r="B19" s="334">
        <v>29</v>
      </c>
    </row>
    <row r="20" spans="1:6">
      <c r="A20" s="348" t="s">
        <v>10</v>
      </c>
      <c r="B20" s="334">
        <v>37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60899</v>
      </c>
    </row>
    <row r="29" spans="1:6">
      <c r="A29" s="355" t="s">
        <v>901</v>
      </c>
      <c r="B29" s="355">
        <v>54</v>
      </c>
      <c r="C29" s="356"/>
      <c r="D29" s="356"/>
      <c r="E29" s="356"/>
      <c r="F29" s="356"/>
    </row>
    <row r="30" spans="1:6">
      <c r="A30" s="341" t="s">
        <v>902</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22142.78</v>
      </c>
    </row>
    <row r="39" spans="1:6">
      <c r="A39" s="348" t="s">
        <v>30</v>
      </c>
      <c r="B39" s="348" t="s">
        <v>31</v>
      </c>
      <c r="C39" s="334">
        <v>1964</v>
      </c>
      <c r="D39" s="334">
        <v>28561482.935836699</v>
      </c>
      <c r="E39" s="334">
        <v>5878</v>
      </c>
      <c r="F39" s="334">
        <v>25451316</v>
      </c>
    </row>
    <row r="40" spans="1:6">
      <c r="A40" s="348" t="s">
        <v>30</v>
      </c>
      <c r="B40" s="348" t="s">
        <v>29</v>
      </c>
      <c r="C40" s="334">
        <v>0</v>
      </c>
      <c r="D40" s="334">
        <v>0</v>
      </c>
      <c r="E40" s="334">
        <v>0</v>
      </c>
      <c r="F40" s="334">
        <v>0</v>
      </c>
    </row>
    <row r="41" spans="1:6">
      <c r="A41" s="348" t="s">
        <v>32</v>
      </c>
      <c r="B41" s="348" t="s">
        <v>33</v>
      </c>
      <c r="C41" s="334">
        <v>19</v>
      </c>
      <c r="D41" s="334">
        <v>228205.36845036899</v>
      </c>
      <c r="E41" s="334">
        <v>108</v>
      </c>
      <c r="F41" s="334">
        <v>787486.2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16331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551353.69438180397</v>
      </c>
      <c r="E48" s="334">
        <v>13</v>
      </c>
      <c r="F48" s="334">
        <v>99558.56</v>
      </c>
    </row>
    <row r="49" spans="1:6">
      <c r="A49" s="348" t="s">
        <v>32</v>
      </c>
      <c r="B49" s="348" t="s">
        <v>40</v>
      </c>
      <c r="C49" s="334">
        <v>0</v>
      </c>
      <c r="D49" s="334">
        <v>0</v>
      </c>
      <c r="E49" s="334">
        <v>0</v>
      </c>
      <c r="F49" s="334">
        <v>0</v>
      </c>
    </row>
    <row r="50" spans="1:6">
      <c r="A50" s="348" t="s">
        <v>32</v>
      </c>
      <c r="B50" s="348" t="s">
        <v>41</v>
      </c>
      <c r="C50" s="334">
        <v>0</v>
      </c>
      <c r="D50" s="334">
        <v>0</v>
      </c>
      <c r="E50" s="334">
        <v>9</v>
      </c>
      <c r="F50" s="334">
        <v>410008</v>
      </c>
    </row>
    <row r="51" spans="1:6">
      <c r="A51" s="348" t="s">
        <v>42</v>
      </c>
      <c r="B51" s="348" t="s">
        <v>43</v>
      </c>
      <c r="C51" s="334">
        <v>0</v>
      </c>
      <c r="D51" s="334">
        <v>0</v>
      </c>
      <c r="E51" s="334">
        <v>10</v>
      </c>
      <c r="F51" s="334">
        <v>235091</v>
      </c>
    </row>
    <row r="52" spans="1:6">
      <c r="A52" s="348" t="s">
        <v>42</v>
      </c>
      <c r="B52" s="348" t="s">
        <v>29</v>
      </c>
      <c r="C52" s="334">
        <v>1</v>
      </c>
      <c r="D52" s="334">
        <v>14158.0088591328</v>
      </c>
      <c r="E52" s="334">
        <v>2</v>
      </c>
      <c r="F52" s="334">
        <v>1553749</v>
      </c>
    </row>
    <row r="53" spans="1:6">
      <c r="A53" s="348" t="s">
        <v>44</v>
      </c>
      <c r="B53" s="348" t="s">
        <v>45</v>
      </c>
      <c r="C53" s="334">
        <v>55</v>
      </c>
      <c r="D53" s="334">
        <v>1293454.30572312</v>
      </c>
      <c r="E53" s="334">
        <v>148</v>
      </c>
      <c r="F53" s="334">
        <v>759798.6</v>
      </c>
    </row>
    <row r="54" spans="1:6">
      <c r="A54" s="348" t="s">
        <v>46</v>
      </c>
      <c r="B54" s="348" t="s">
        <v>47</v>
      </c>
      <c r="C54" s="334">
        <v>0</v>
      </c>
      <c r="D54" s="334">
        <v>0</v>
      </c>
      <c r="E54" s="334">
        <v>2</v>
      </c>
      <c r="F54" s="334">
        <v>967367</v>
      </c>
    </row>
    <row r="55" spans="1:6">
      <c r="A55" s="348" t="s">
        <v>46</v>
      </c>
      <c r="B55" s="348" t="s">
        <v>29</v>
      </c>
      <c r="C55" s="334">
        <v>0</v>
      </c>
      <c r="D55" s="334">
        <v>0</v>
      </c>
      <c r="E55" s="334">
        <v>0</v>
      </c>
      <c r="F55" s="334">
        <v>0</v>
      </c>
    </row>
    <row r="56" spans="1:6">
      <c r="A56" s="348" t="s">
        <v>48</v>
      </c>
      <c r="B56" s="348" t="s">
        <v>29</v>
      </c>
      <c r="C56" s="334">
        <v>0</v>
      </c>
      <c r="D56" s="334">
        <v>0</v>
      </c>
      <c r="E56" s="334">
        <v>57</v>
      </c>
      <c r="F56" s="334">
        <v>288590</v>
      </c>
    </row>
    <row r="57" spans="1:6">
      <c r="A57" s="348" t="s">
        <v>49</v>
      </c>
      <c r="B57" s="348" t="s">
        <v>50</v>
      </c>
      <c r="C57" s="334">
        <v>26</v>
      </c>
      <c r="D57" s="334">
        <v>1177513.86099202</v>
      </c>
      <c r="E57" s="334">
        <v>80</v>
      </c>
      <c r="F57" s="334">
        <v>655529.19999999995</v>
      </c>
    </row>
    <row r="58" spans="1:6">
      <c r="A58" s="348" t="s">
        <v>49</v>
      </c>
      <c r="B58" s="348" t="s">
        <v>51</v>
      </c>
      <c r="C58" s="334">
        <v>10</v>
      </c>
      <c r="D58" s="334">
        <v>4211362.0345187001</v>
      </c>
      <c r="E58" s="334">
        <v>22</v>
      </c>
      <c r="F58" s="334">
        <v>1612718</v>
      </c>
    </row>
    <row r="59" spans="1:6">
      <c r="A59" s="348" t="s">
        <v>49</v>
      </c>
      <c r="B59" s="348" t="s">
        <v>52</v>
      </c>
      <c r="C59" s="334">
        <v>24</v>
      </c>
      <c r="D59" s="334">
        <v>701141.45867810096</v>
      </c>
      <c r="E59" s="334">
        <v>146</v>
      </c>
      <c r="F59" s="334">
        <v>3894901</v>
      </c>
    </row>
    <row r="60" spans="1:6">
      <c r="A60" s="348" t="s">
        <v>49</v>
      </c>
      <c r="B60" s="348" t="s">
        <v>53</v>
      </c>
      <c r="C60" s="334">
        <v>16</v>
      </c>
      <c r="D60" s="334">
        <v>806189.30764223705</v>
      </c>
      <c r="E60" s="334">
        <v>53</v>
      </c>
      <c r="F60" s="334">
        <v>1360759.8</v>
      </c>
    </row>
    <row r="61" spans="1:6">
      <c r="A61" s="348" t="s">
        <v>49</v>
      </c>
      <c r="B61" s="348" t="s">
        <v>54</v>
      </c>
      <c r="C61" s="334">
        <v>33</v>
      </c>
      <c r="D61" s="334">
        <v>735210.12475309905</v>
      </c>
      <c r="E61" s="334">
        <v>174</v>
      </c>
      <c r="F61" s="334">
        <v>1814075</v>
      </c>
    </row>
    <row r="62" spans="1:6">
      <c r="A62" s="348" t="s">
        <v>49</v>
      </c>
      <c r="B62" s="348" t="s">
        <v>55</v>
      </c>
      <c r="C62" s="334">
        <v>3</v>
      </c>
      <c r="D62" s="334">
        <v>243073.315947303</v>
      </c>
      <c r="E62" s="334">
        <v>9</v>
      </c>
      <c r="F62" s="334">
        <v>106600.12</v>
      </c>
    </row>
    <row r="63" spans="1:6">
      <c r="A63" s="348" t="s">
        <v>49</v>
      </c>
      <c r="B63" s="348" t="s">
        <v>29</v>
      </c>
      <c r="C63" s="334">
        <v>80</v>
      </c>
      <c r="D63" s="334">
        <v>2905326.1067077001</v>
      </c>
      <c r="E63" s="334">
        <v>78</v>
      </c>
      <c r="F63" s="334">
        <v>1113122</v>
      </c>
    </row>
    <row r="64" spans="1:6">
      <c r="A64" s="348" t="s">
        <v>56</v>
      </c>
      <c r="B64" s="348" t="s">
        <v>57</v>
      </c>
      <c r="C64" s="334">
        <v>0</v>
      </c>
      <c r="D64" s="334">
        <v>0</v>
      </c>
      <c r="E64" s="334">
        <v>0</v>
      </c>
      <c r="F64" s="334">
        <v>0</v>
      </c>
    </row>
    <row r="65" spans="1:6">
      <c r="A65" s="348" t="s">
        <v>56</v>
      </c>
      <c r="B65" s="348" t="s">
        <v>29</v>
      </c>
      <c r="C65" s="334">
        <v>6</v>
      </c>
      <c r="D65" s="334">
        <v>107418.47254864201</v>
      </c>
      <c r="E65" s="334">
        <v>3</v>
      </c>
      <c r="F65" s="334">
        <v>56506.45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11</v>
      </c>
      <c r="F68" s="334">
        <v>53223.48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4236092</v>
      </c>
      <c r="E73" s="476">
        <v>4391974.9679651158</v>
      </c>
    </row>
    <row r="74" spans="1:6">
      <c r="A74" s="348" t="s">
        <v>64</v>
      </c>
      <c r="B74" s="348" t="s">
        <v>714</v>
      </c>
      <c r="C74" s="1311" t="s">
        <v>716</v>
      </c>
      <c r="D74" s="476">
        <v>260477.19596112665</v>
      </c>
      <c r="E74" s="476">
        <v>280012.05844075605</v>
      </c>
    </row>
    <row r="75" spans="1:6">
      <c r="A75" s="348" t="s">
        <v>65</v>
      </c>
      <c r="B75" s="348" t="s">
        <v>713</v>
      </c>
      <c r="C75" s="1311" t="s">
        <v>717</v>
      </c>
      <c r="D75" s="476">
        <v>35843610</v>
      </c>
      <c r="E75" s="476">
        <v>36674332.94575502</v>
      </c>
    </row>
    <row r="76" spans="1:6">
      <c r="A76" s="348" t="s">
        <v>65</v>
      </c>
      <c r="B76" s="348" t="s">
        <v>714</v>
      </c>
      <c r="C76" s="1311" t="s">
        <v>718</v>
      </c>
      <c r="D76" s="476">
        <v>1154601.1959611266</v>
      </c>
      <c r="E76" s="476">
        <v>1186909.3582512008</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229423.6080777467</v>
      </c>
      <c r="C83" s="476">
        <v>228052.25418212154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2766.8503138329602</v>
      </c>
    </row>
    <row r="92" spans="1:6">
      <c r="A92" s="341" t="s">
        <v>69</v>
      </c>
      <c r="B92" s="342">
        <v>1225.6350531781122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471</v>
      </c>
    </row>
    <row r="98" spans="1:6">
      <c r="A98" s="348" t="s">
        <v>72</v>
      </c>
      <c r="B98" s="334">
        <v>2</v>
      </c>
    </row>
    <row r="99" spans="1:6">
      <c r="A99" s="348" t="s">
        <v>73</v>
      </c>
      <c r="B99" s="334">
        <v>258</v>
      </c>
    </row>
    <row r="100" spans="1:6">
      <c r="A100" s="348" t="s">
        <v>74</v>
      </c>
      <c r="B100" s="334">
        <v>436</v>
      </c>
    </row>
    <row r="101" spans="1:6">
      <c r="A101" s="348" t="s">
        <v>75</v>
      </c>
      <c r="B101" s="334">
        <v>47</v>
      </c>
    </row>
    <row r="102" spans="1:6">
      <c r="A102" s="348" t="s">
        <v>76</v>
      </c>
      <c r="B102" s="334">
        <v>58</v>
      </c>
    </row>
    <row r="103" spans="1:6">
      <c r="A103" s="348" t="s">
        <v>77</v>
      </c>
      <c r="B103" s="334">
        <v>127</v>
      </c>
    </row>
    <row r="104" spans="1:6">
      <c r="A104" s="348" t="s">
        <v>78</v>
      </c>
      <c r="B104" s="334">
        <v>3603</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25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102</v>
      </c>
    </row>
    <row r="130" spans="1:6">
      <c r="A130" s="348" t="s">
        <v>295</v>
      </c>
      <c r="B130" s="334">
        <v>0</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44011.84385811651</v>
      </c>
      <c r="C3" s="43" t="s">
        <v>170</v>
      </c>
      <c r="D3" s="43"/>
      <c r="E3" s="154"/>
      <c r="F3" s="43"/>
      <c r="G3" s="43"/>
      <c r="H3" s="43"/>
      <c r="I3" s="43"/>
      <c r="J3" s="43"/>
      <c r="K3" s="96"/>
    </row>
    <row r="4" spans="1:11">
      <c r="A4" s="384" t="s">
        <v>171</v>
      </c>
      <c r="B4" s="49">
        <f>IF(ISERROR('SEAP template'!B78+'SEAP template'!C78),0,'SEAP template'!B78+'SEAP template'!C78)</f>
        <v>4104.9853670110724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0.20038732653342031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126.5625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967.36699999999996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967.36699999999996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0.20038732653342031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193.8480869066552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25451.315999999999</v>
      </c>
      <c r="C5" s="17">
        <f>IF(ISERROR('Eigen informatie GS &amp; warmtenet'!B57),0,'Eigen informatie GS &amp; warmtenet'!B57)</f>
        <v>0</v>
      </c>
      <c r="D5" s="30">
        <f>(SUM(HH_hh_gas_kWh,HH_rest_gas_kWh)/1000)*0.902</f>
        <v>25762.457608124703</v>
      </c>
      <c r="E5" s="17">
        <f>B46*B57</f>
        <v>8689.6603103914204</v>
      </c>
      <c r="F5" s="17">
        <f>B51*B62</f>
        <v>55616.026707295852</v>
      </c>
      <c r="G5" s="18"/>
      <c r="H5" s="17"/>
      <c r="I5" s="17"/>
      <c r="J5" s="17">
        <f>B50*B61+C50*C61</f>
        <v>0</v>
      </c>
      <c r="K5" s="17"/>
      <c r="L5" s="17"/>
      <c r="M5" s="17"/>
      <c r="N5" s="17">
        <f>B48*B59+C48*C59</f>
        <v>6003.1492129021526</v>
      </c>
      <c r="O5" s="17">
        <f>B69*B70*B71</f>
        <v>198.54333333333332</v>
      </c>
      <c r="P5" s="17">
        <f>B77*B78*B79/1000-B77*B78*B79/1000/B80</f>
        <v>514.79999999999995</v>
      </c>
    </row>
    <row r="6" spans="1:16">
      <c r="A6" s="16" t="s">
        <v>631</v>
      </c>
      <c r="B6" s="789">
        <f>kWh_PV_kleiner_dan_10kW</f>
        <v>2766.8503138329602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28218.16631383296</v>
      </c>
      <c r="C8" s="21">
        <f>C5</f>
        <v>0</v>
      </c>
      <c r="D8" s="21">
        <f>D5</f>
        <v>25762.457608124703</v>
      </c>
      <c r="E8" s="21">
        <f>E5</f>
        <v>8689.6603103914204</v>
      </c>
      <c r="F8" s="21">
        <f>F5</f>
        <v>55616.026707295852</v>
      </c>
      <c r="G8" s="21"/>
      <c r="H8" s="21"/>
      <c r="I8" s="21"/>
      <c r="J8" s="21">
        <f>J5</f>
        <v>0</v>
      </c>
      <c r="K8" s="21"/>
      <c r="L8" s="21">
        <f>L5</f>
        <v>0</v>
      </c>
      <c r="M8" s="21">
        <f>M5</f>
        <v>0</v>
      </c>
      <c r="N8" s="21">
        <f>N5</f>
        <v>6003.1492129021526</v>
      </c>
      <c r="O8" s="21">
        <f>O5</f>
        <v>198.54333333333332</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0.20038732653342031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5654.5629073044065</v>
      </c>
      <c r="C12" s="23">
        <f ca="1">C10*C8</f>
        <v>0</v>
      </c>
      <c r="D12" s="23">
        <f>D8*D10</f>
        <v>5204.0164368411906</v>
      </c>
      <c r="E12" s="23">
        <f>E10*E8</f>
        <v>1972.5528904588525</v>
      </c>
      <c r="F12" s="23">
        <f>F10*F8</f>
        <v>14849.479130847993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471</v>
      </c>
      <c r="C18" s="166" t="s">
        <v>111</v>
      </c>
      <c r="D18" s="228"/>
      <c r="E18" s="15"/>
    </row>
    <row r="19" spans="1:7">
      <c r="A19" s="171" t="s">
        <v>72</v>
      </c>
      <c r="B19" s="37">
        <f>aantalw2001_ander</f>
        <v>2</v>
      </c>
      <c r="C19" s="166" t="s">
        <v>111</v>
      </c>
      <c r="D19" s="229"/>
      <c r="E19" s="15"/>
    </row>
    <row r="20" spans="1:7">
      <c r="A20" s="171" t="s">
        <v>73</v>
      </c>
      <c r="B20" s="37">
        <f>aantalw2001_propaan</f>
        <v>258</v>
      </c>
      <c r="C20" s="167">
        <f>IF(ISERROR(B20/SUM($B$20,$B$21,$B$22)*100),0,B20/SUM($B$20,$B$21,$B$22)*100)</f>
        <v>34.817813765182187</v>
      </c>
      <c r="D20" s="229"/>
      <c r="E20" s="15"/>
    </row>
    <row r="21" spans="1:7">
      <c r="A21" s="171" t="s">
        <v>74</v>
      </c>
      <c r="B21" s="37">
        <f>aantalw2001_elektriciteit</f>
        <v>436</v>
      </c>
      <c r="C21" s="167">
        <f>IF(ISERROR(B21/SUM($B$20,$B$21,$B$22)*100),0,B21/SUM($B$20,$B$21,$B$22)*100)</f>
        <v>58.83940620782726</v>
      </c>
      <c r="D21" s="229"/>
      <c r="E21" s="15"/>
    </row>
    <row r="22" spans="1:7">
      <c r="A22" s="171" t="s">
        <v>75</v>
      </c>
      <c r="B22" s="37">
        <f>aantalw2001_hout</f>
        <v>47</v>
      </c>
      <c r="C22" s="167">
        <f>IF(ISERROR(B22/SUM($B$20,$B$21,$B$22)*100),0,B22/SUM($B$20,$B$21,$B$22)*100)</f>
        <v>6.3427800269905532</v>
      </c>
      <c r="D22" s="229"/>
      <c r="E22" s="15"/>
    </row>
    <row r="23" spans="1:7">
      <c r="A23" s="171" t="s">
        <v>76</v>
      </c>
      <c r="B23" s="37">
        <f>aantalw2001_niet_gespec</f>
        <v>58</v>
      </c>
      <c r="C23" s="166" t="s">
        <v>111</v>
      </c>
      <c r="D23" s="228"/>
      <c r="E23" s="15"/>
    </row>
    <row r="24" spans="1:7">
      <c r="A24" s="171" t="s">
        <v>77</v>
      </c>
      <c r="B24" s="37">
        <f>aantalw2001_steenkool</f>
        <v>127</v>
      </c>
      <c r="C24" s="166" t="s">
        <v>111</v>
      </c>
      <c r="D24" s="229"/>
      <c r="E24" s="15"/>
    </row>
    <row r="25" spans="1:7">
      <c r="A25" s="171" t="s">
        <v>78</v>
      </c>
      <c r="B25" s="37">
        <f>aantalw2001_stookolie</f>
        <v>3603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5923</v>
      </c>
      <c r="C28" s="36"/>
      <c r="D28" s="228"/>
    </row>
    <row r="29" spans="1:7" s="15" customFormat="1">
      <c r="A29" s="230" t="s">
        <v>741</v>
      </c>
      <c r="B29" s="37">
        <f>SUM(HH_hh_gas_aantal,HH_rest_gas_aantal)</f>
        <v>1964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1964</v>
      </c>
      <c r="C32" s="167">
        <f>IF(ISERROR(B32/SUM($B$32,$B$34,$B$35,$B$36,$B$38,$B$39)*100),0,B32/SUM($B$32,$B$34,$B$35,$B$36,$B$38,$B$39)*100)</f>
        <v>33.310719131614654</v>
      </c>
      <c r="D32" s="233"/>
      <c r="G32" s="15"/>
    </row>
    <row r="33" spans="1:7">
      <c r="A33" s="171" t="s">
        <v>72</v>
      </c>
      <c r="B33" s="34" t="s">
        <v>111</v>
      </c>
      <c r="C33" s="167"/>
      <c r="D33" s="233"/>
      <c r="G33" s="15"/>
    </row>
    <row r="34" spans="1:7">
      <c r="A34" s="171" t="s">
        <v>73</v>
      </c>
      <c r="B34" s="33">
        <f>IF((($B$28-$B$32-$B$39-$B$77-$B$38)*C20/100)&lt;0,0,($B$28-$B$32-$B$39-$B$77-$B$38)*C20/100)</f>
        <v>582.39757085020244</v>
      </c>
      <c r="C34" s="167">
        <f>IF(ISERROR(B34/SUM($B$32,$B$34,$B$35,$B$36,$B$38,$B$39)*100),0,B34/SUM($B$32,$B$34,$B$35,$B$36,$B$38,$B$39)*100)</f>
        <v>9.877842110756486</v>
      </c>
      <c r="D34" s="233"/>
      <c r="G34" s="15"/>
    </row>
    <row r="35" spans="1:7">
      <c r="A35" s="171" t="s">
        <v>74</v>
      </c>
      <c r="B35" s="33">
        <f>IF((($B$28-$B$32-$B$39-$B$77-$B$38)*C21/100)&lt;0,0,($B$28-$B$32-$B$39-$B$77-$B$38)*C21/100)</f>
        <v>984.20674763832653</v>
      </c>
      <c r="C35" s="167">
        <f>IF(ISERROR(B35/SUM($B$32,$B$34,$B$35,$B$36,$B$38,$B$39)*100),0,B35/SUM($B$32,$B$34,$B$35,$B$36,$B$38,$B$39)*100)</f>
        <v>16.692787442983828</v>
      </c>
      <c r="D35" s="233"/>
      <c r="G35" s="15"/>
    </row>
    <row r="36" spans="1:7">
      <c r="A36" s="171" t="s">
        <v>75</v>
      </c>
      <c r="B36" s="33">
        <f>IF((($B$28-$B$32-$B$39-$B$77-$B$38)*C22/100)&lt;0,0,($B$28-$B$32-$B$39-$B$77-$B$38)*C22/100)</f>
        <v>106.09568151147097</v>
      </c>
      <c r="C36" s="167">
        <f>IF(ISERROR(B36/SUM($B$32,$B$34,$B$35,$B$36,$B$38,$B$39)*100),0,B36/SUM($B$32,$B$34,$B$35,$B$36,$B$38,$B$39)*100)</f>
        <v>1.7994518573858711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2259.3000000000002</v>
      </c>
      <c r="C39" s="167">
        <f>IF(ISERROR(B39/SUM($B$32,$B$34,$B$35,$B$36,$B$38,$B$39)*100),0,B39/SUM($B$32,$B$34,$B$35,$B$36,$B$38,$B$39)*100)</f>
        <v>38.31919945725916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1964</v>
      </c>
      <c r="C44" s="34" t="s">
        <v>111</v>
      </c>
      <c r="D44" s="174"/>
    </row>
    <row r="45" spans="1:7">
      <c r="A45" s="171" t="s">
        <v>72</v>
      </c>
      <c r="B45" s="33" t="str">
        <f t="shared" si="0"/>
        <v>-</v>
      </c>
      <c r="C45" s="34" t="s">
        <v>111</v>
      </c>
      <c r="D45" s="174"/>
    </row>
    <row r="46" spans="1:7">
      <c r="A46" s="171" t="s">
        <v>73</v>
      </c>
      <c r="B46" s="33">
        <f t="shared" si="0"/>
        <v>582.39757085020244</v>
      </c>
      <c r="C46" s="34" t="s">
        <v>111</v>
      </c>
      <c r="D46" s="174"/>
    </row>
    <row r="47" spans="1:7">
      <c r="A47" s="171" t="s">
        <v>74</v>
      </c>
      <c r="B47" s="33">
        <f t="shared" si="0"/>
        <v>984.20674763832653</v>
      </c>
      <c r="C47" s="34" t="s">
        <v>111</v>
      </c>
      <c r="D47" s="174"/>
    </row>
    <row r="48" spans="1:7">
      <c r="A48" s="171" t="s">
        <v>75</v>
      </c>
      <c r="B48" s="33">
        <f t="shared" si="0"/>
        <v>106.09568151147097</v>
      </c>
      <c r="C48" s="33">
        <f>B48*10</f>
        <v>1060.9568151147098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2259.3000000000002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10557.705119999999</v>
      </c>
      <c r="C5" s="17">
        <f>IF(ISERROR('Eigen informatie GS &amp; warmtenet'!B58),0,'Eigen informatie GS &amp; warmtenet'!B58)</f>
        <v>0</v>
      </c>
      <c r="D5" s="30">
        <f>SUM(D6:D12)</f>
        <v>9723.3942207337222</v>
      </c>
      <c r="E5" s="17">
        <f>SUM(E6:E12)</f>
        <v>117.87896789707492</v>
      </c>
      <c r="F5" s="17">
        <f>SUM(F6:F12)</f>
        <v>1536.3832902475247</v>
      </c>
      <c r="G5" s="18"/>
      <c r="H5" s="17"/>
      <c r="I5" s="17"/>
      <c r="J5" s="17">
        <f>SUM(J6:J12)</f>
        <v>0</v>
      </c>
      <c r="K5" s="17"/>
      <c r="L5" s="17"/>
      <c r="M5" s="17"/>
      <c r="N5" s="17">
        <f>SUM(N6:N12)</f>
        <v>619.92984601573505</v>
      </c>
      <c r="O5" s="17">
        <f>B38*B39*B40</f>
        <v>0</v>
      </c>
      <c r="P5" s="17">
        <f>B46*B47*B48/1000-B46*B47*B48/1000/B49</f>
        <v>19.066666666666666</v>
      </c>
      <c r="R5" s="32"/>
    </row>
    <row r="6" spans="1:18">
      <c r="A6" s="32" t="s">
        <v>54</v>
      </c>
      <c r="B6" s="37">
        <f>B26</f>
        <v>1814.075</v>
      </c>
      <c r="C6" s="33"/>
      <c r="D6" s="37">
        <f>IF(ISERROR(TER_kantoor_gas_kWh/1000),0,TER_kantoor_gas_kWh/1000)*0.902</f>
        <v>663.15953252729537</v>
      </c>
      <c r="E6" s="33">
        <f>$C$26*'E Balans VL '!I12/100/3.6*1000000</f>
        <v>5.2556414375423772</v>
      </c>
      <c r="F6" s="33">
        <f>$C$26*('E Balans VL '!L12+'E Balans VL '!N12)/100/3.6*1000000</f>
        <v>205.31332282900152</v>
      </c>
      <c r="G6" s="34"/>
      <c r="H6" s="33"/>
      <c r="I6" s="33"/>
      <c r="J6" s="33">
        <f>$C$26*('E Balans VL '!D12+'E Balans VL '!E12)/100/3.6*1000000</f>
        <v>0</v>
      </c>
      <c r="K6" s="33"/>
      <c r="L6" s="33"/>
      <c r="M6" s="33"/>
      <c r="N6" s="33">
        <f>$C$26*'E Balans VL '!Y12/100/3.6*1000000</f>
        <v>18.15755407985932</v>
      </c>
      <c r="O6" s="33"/>
      <c r="P6" s="33"/>
      <c r="R6" s="32"/>
    </row>
    <row r="7" spans="1:18">
      <c r="A7" s="32" t="s">
        <v>53</v>
      </c>
      <c r="B7" s="37">
        <f t="shared" ref="B7:B12" si="0">B27</f>
        <v>1360.7598</v>
      </c>
      <c r="C7" s="33"/>
      <c r="D7" s="37">
        <f>IF(ISERROR(TER_horeca_gas_kWh/1000),0,TER_horeca_gas_kWh/1000)*0.902</f>
        <v>727.1827554932978</v>
      </c>
      <c r="E7" s="33">
        <f>$C$27*'E Balans VL '!I9/100/3.6*1000000</f>
        <v>57.120894516258666</v>
      </c>
      <c r="F7" s="33">
        <f>$C$27*('E Balans VL '!L9+'E Balans VL '!N9)/100/3.6*1000000</f>
        <v>292.38714803787497</v>
      </c>
      <c r="G7" s="34"/>
      <c r="H7" s="33"/>
      <c r="I7" s="33"/>
      <c r="J7" s="33">
        <f>$C$27*('E Balans VL '!D9+'E Balans VL '!E9)/100/3.6*1000000</f>
        <v>0</v>
      </c>
      <c r="K7" s="33"/>
      <c r="L7" s="33"/>
      <c r="M7" s="33"/>
      <c r="N7" s="33">
        <f>$C$27*'E Balans VL '!Y9/100/3.6*1000000</f>
        <v>0.35065590018383896</v>
      </c>
      <c r="O7" s="33"/>
      <c r="P7" s="33"/>
      <c r="R7" s="32"/>
    </row>
    <row r="8" spans="1:18">
      <c r="A8" s="6" t="s">
        <v>52</v>
      </c>
      <c r="B8" s="37">
        <f t="shared" si="0"/>
        <v>3894.9009999999998</v>
      </c>
      <c r="C8" s="33"/>
      <c r="D8" s="37">
        <f>IF(ISERROR(TER_handel_gas_kWh/1000),0,TER_handel_gas_kWh/1000)*0.902</f>
        <v>632.4295957276471</v>
      </c>
      <c r="E8" s="33">
        <f>$C$28*'E Balans VL '!I13/100/3.6*1000000</f>
        <v>41.834478373953701</v>
      </c>
      <c r="F8" s="33">
        <f>$C$28*('E Balans VL '!L13+'E Balans VL '!N13)/100/3.6*1000000</f>
        <v>504.22709787941562</v>
      </c>
      <c r="G8" s="34"/>
      <c r="H8" s="33"/>
      <c r="I8" s="33"/>
      <c r="J8" s="33">
        <f>$C$28*('E Balans VL '!D13+'E Balans VL '!E13)/100/3.6*1000000</f>
        <v>0</v>
      </c>
      <c r="K8" s="33"/>
      <c r="L8" s="33"/>
      <c r="M8" s="33"/>
      <c r="N8" s="33">
        <f>$C$28*'E Balans VL '!Y13/100/3.6*1000000</f>
        <v>31.595649582841425</v>
      </c>
      <c r="O8" s="33"/>
      <c r="P8" s="33"/>
      <c r="R8" s="32"/>
    </row>
    <row r="9" spans="1:18">
      <c r="A9" s="32" t="s">
        <v>51</v>
      </c>
      <c r="B9" s="37">
        <f t="shared" si="0"/>
        <v>1612.7180000000001</v>
      </c>
      <c r="C9" s="33"/>
      <c r="D9" s="37">
        <f>IF(ISERROR(TER_gezond_gas_kWh/1000),0,TER_gezond_gas_kWh/1000)*0.902</f>
        <v>3798.6485551358674</v>
      </c>
      <c r="E9" s="33">
        <f>$C$29*'E Balans VL '!I10/100/3.6*1000000</f>
        <v>1.2838278358057513</v>
      </c>
      <c r="F9" s="33">
        <f>$C$29*('E Balans VL '!L10+'E Balans VL '!N10)/100/3.6*1000000</f>
        <v>196.04917877426954</v>
      </c>
      <c r="G9" s="34"/>
      <c r="H9" s="33"/>
      <c r="I9" s="33"/>
      <c r="J9" s="33">
        <f>$C$29*('E Balans VL '!D10+'E Balans VL '!E10)/100/3.6*1000000</f>
        <v>0</v>
      </c>
      <c r="K9" s="33"/>
      <c r="L9" s="33"/>
      <c r="M9" s="33"/>
      <c r="N9" s="33">
        <f>$C$29*'E Balans VL '!Y10/100/3.6*1000000</f>
        <v>13.027108742438568</v>
      </c>
      <c r="O9" s="33"/>
      <c r="P9" s="33"/>
      <c r="R9" s="32"/>
    </row>
    <row r="10" spans="1:18">
      <c r="A10" s="32" t="s">
        <v>50</v>
      </c>
      <c r="B10" s="37">
        <f t="shared" si="0"/>
        <v>655.52919999999995</v>
      </c>
      <c r="C10" s="33"/>
      <c r="D10" s="37">
        <f>IF(ISERROR(TER_ander_gas_kWh/1000),0,TER_ander_gas_kWh/1000)*0.902</f>
        <v>1062.1175026148021</v>
      </c>
      <c r="E10" s="33">
        <f>$C$30*'E Balans VL '!I14/100/3.6*1000000</f>
        <v>2.2465330054898169</v>
      </c>
      <c r="F10" s="33">
        <f>$C$30*('E Balans VL '!L14+'E Balans VL '!N14)/100/3.6*1000000</f>
        <v>146.41858571112442</v>
      </c>
      <c r="G10" s="34"/>
      <c r="H10" s="33"/>
      <c r="I10" s="33"/>
      <c r="J10" s="33">
        <f>$C$30*('E Balans VL '!D14+'E Balans VL '!E14)/100/3.6*1000000</f>
        <v>0</v>
      </c>
      <c r="K10" s="33"/>
      <c r="L10" s="33"/>
      <c r="M10" s="33"/>
      <c r="N10" s="33">
        <f>$C$30*'E Balans VL '!Y14/100/3.6*1000000</f>
        <v>461.75834956601904</v>
      </c>
      <c r="O10" s="33"/>
      <c r="P10" s="33"/>
      <c r="R10" s="32"/>
    </row>
    <row r="11" spans="1:18">
      <c r="A11" s="32" t="s">
        <v>55</v>
      </c>
      <c r="B11" s="37">
        <f t="shared" si="0"/>
        <v>106.60011999999999</v>
      </c>
      <c r="C11" s="33"/>
      <c r="D11" s="37">
        <f>IF(ISERROR(TER_onderwijs_gas_kWh/1000),0,TER_onderwijs_gas_kWh/1000)*0.902</f>
        <v>219.2521309844673</v>
      </c>
      <c r="E11" s="33">
        <f>$C$31*'E Balans VL '!I11/100/3.6*1000000</f>
        <v>7.368937993068217E-2</v>
      </c>
      <c r="F11" s="33">
        <f>$C$31*('E Balans VL '!L11+'E Balans VL '!N11)/100/3.6*1000000</f>
        <v>27.904814892618155</v>
      </c>
      <c r="G11" s="34"/>
      <c r="H11" s="33"/>
      <c r="I11" s="33"/>
      <c r="J11" s="33">
        <f>$C$31*('E Balans VL '!D11+'E Balans VL '!E11)/100/3.6*1000000</f>
        <v>0</v>
      </c>
      <c r="K11" s="33"/>
      <c r="L11" s="33"/>
      <c r="M11" s="33"/>
      <c r="N11" s="33">
        <f>$C$31*'E Balans VL '!Y11/100/3.6*1000000</f>
        <v>0.10611133997005361</v>
      </c>
      <c r="O11" s="33"/>
      <c r="P11" s="33"/>
      <c r="R11" s="32"/>
    </row>
    <row r="12" spans="1:18">
      <c r="A12" s="32" t="s">
        <v>260</v>
      </c>
      <c r="B12" s="37">
        <f t="shared" si="0"/>
        <v>1113.1220000000001</v>
      </c>
      <c r="C12" s="33"/>
      <c r="D12" s="37">
        <f>IF(ISERROR(TER_rest_gas_kWh/1000),0,TER_rest_gas_kWh/1000)*0.902</f>
        <v>2620.6041482503456</v>
      </c>
      <c r="E12" s="33">
        <f>$C$32*'E Balans VL '!I8/100/3.6*1000000</f>
        <v>10.063903348093907</v>
      </c>
      <c r="F12" s="33">
        <f>$C$32*('E Balans VL '!L8+'E Balans VL '!N8)/100/3.6*1000000</f>
        <v>164.08314212322023</v>
      </c>
      <c r="G12" s="34"/>
      <c r="H12" s="33"/>
      <c r="I12" s="33"/>
      <c r="J12" s="33">
        <f>$C$32*('E Balans VL '!D8+'E Balans VL '!E8)/100/3.6*1000000</f>
        <v>0</v>
      </c>
      <c r="K12" s="33"/>
      <c r="L12" s="33"/>
      <c r="M12" s="33"/>
      <c r="N12" s="33">
        <f>$C$32*'E Balans VL '!Y8/100/3.6*1000000</f>
        <v>94.934416804422781</v>
      </c>
      <c r="O12" s="33"/>
      <c r="P12" s="33"/>
      <c r="R12" s="32"/>
    </row>
    <row r="13" spans="1:18">
      <c r="A13" s="16" t="s">
        <v>494</v>
      </c>
      <c r="B13" s="247">
        <f ca="1">'lokale energieproductie'!N91+'lokale energieproductie'!N60</f>
        <v>112.5</v>
      </c>
      <c r="C13" s="247">
        <f ca="1">'lokale energieproductie'!O91+'lokale energieproductie'!O60</f>
        <v>126.5625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-281.25</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10670.205119999999</v>
      </c>
      <c r="C16" s="21">
        <f t="shared" ca="1" si="1"/>
        <v>126.5625</v>
      </c>
      <c r="D16" s="21">
        <f t="shared" ca="1" si="1"/>
        <v>9723.3942207337222</v>
      </c>
      <c r="E16" s="21">
        <f t="shared" si="1"/>
        <v>117.87896789707492</v>
      </c>
      <c r="F16" s="21">
        <f t="shared" ca="1" si="1"/>
        <v>1536.3832902475247</v>
      </c>
      <c r="G16" s="21">
        <f t="shared" si="1"/>
        <v>0</v>
      </c>
      <c r="H16" s="21">
        <f t="shared" si="1"/>
        <v>0</v>
      </c>
      <c r="I16" s="21">
        <f t="shared" si="1"/>
        <v>0</v>
      </c>
      <c r="J16" s="21">
        <f t="shared" si="1"/>
        <v>0</v>
      </c>
      <c r="K16" s="21">
        <f t="shared" si="1"/>
        <v>0</v>
      </c>
      <c r="L16" s="21">
        <f t="shared" ca="1" si="1"/>
        <v>0</v>
      </c>
      <c r="M16" s="21">
        <f t="shared" si="1"/>
        <v>0</v>
      </c>
      <c r="N16" s="21">
        <f t="shared" ca="1" si="1"/>
        <v>619.92984601573505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0.20038732653342031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2138.1738775600129</v>
      </c>
      <c r="C20" s="23">
        <f t="shared" ref="C20:P20" ca="1" si="2">C16*C18</f>
        <v>0</v>
      </c>
      <c r="D20" s="23">
        <f t="shared" ca="1" si="2"/>
        <v>1964.1256325882121</v>
      </c>
      <c r="E20" s="23">
        <f t="shared" si="2"/>
        <v>26.758525712636008</v>
      </c>
      <c r="F20" s="23">
        <f t="shared" ca="1" si="2"/>
        <v>410.21433849608911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1814.075</v>
      </c>
      <c r="C26" s="39">
        <f>IF(ISERROR(B26*3.6/1000000/'E Balans VL '!Z12*100),0,B26*3.6/1000000/'E Balans VL '!Z12*100)</f>
        <v>3.9848254655715905E-2</v>
      </c>
      <c r="D26" s="237" t="s">
        <v>692</v>
      </c>
      <c r="F26" s="6"/>
    </row>
    <row r="27" spans="1:18">
      <c r="A27" s="231" t="s">
        <v>53</v>
      </c>
      <c r="B27" s="33">
        <f>IF(ISERROR(TER_horeca_ele_kWh/1000),0,TER_horeca_ele_kWh/1000)</f>
        <v>1360.7598</v>
      </c>
      <c r="C27" s="39">
        <f>IF(ISERROR(B27*3.6/1000000/'E Balans VL '!Z9*100),0,B27*3.6/1000000/'E Balans VL '!Z9*100)</f>
        <v>0.10935061414389441</v>
      </c>
      <c r="D27" s="237" t="s">
        <v>692</v>
      </c>
      <c r="F27" s="6"/>
    </row>
    <row r="28" spans="1:18">
      <c r="A28" s="171" t="s">
        <v>52</v>
      </c>
      <c r="B28" s="33">
        <f>IF(ISERROR(TER_handel_ele_kWh/1000),0,TER_handel_ele_kWh/1000)</f>
        <v>3894.9009999999998</v>
      </c>
      <c r="C28" s="39">
        <f>IF(ISERROR(B28*3.6/1000000/'E Balans VL '!Z13*100),0,B28*3.6/1000000/'E Balans VL '!Z13*100)</f>
        <v>0.115169501535029</v>
      </c>
      <c r="D28" s="237" t="s">
        <v>692</v>
      </c>
      <c r="F28" s="6"/>
    </row>
    <row r="29" spans="1:18">
      <c r="A29" s="231" t="s">
        <v>51</v>
      </c>
      <c r="B29" s="33">
        <f>IF(ISERROR(TER_gezond_ele_kWh/1000),0,TER_gezond_ele_kWh/1000)</f>
        <v>1612.7180000000001</v>
      </c>
      <c r="C29" s="39">
        <f>IF(ISERROR(B29*3.6/1000000/'E Balans VL '!Z10*100),0,B29*3.6/1000000/'E Balans VL '!Z10*100)</f>
        <v>0.18171168189152515</v>
      </c>
      <c r="D29" s="237" t="s">
        <v>692</v>
      </c>
      <c r="F29" s="6"/>
    </row>
    <row r="30" spans="1:18">
      <c r="A30" s="231" t="s">
        <v>50</v>
      </c>
      <c r="B30" s="33">
        <f>IF(ISERROR(TER_ander_ele_kWh/1000),0,TER_ander_ele_kWh/1000)</f>
        <v>655.52919999999995</v>
      </c>
      <c r="C30" s="39">
        <f>IF(ISERROR(B30*3.6/1000000/'E Balans VL '!Z14*100),0,B30*3.6/1000000/'E Balans VL '!Z14*100)</f>
        <v>4.9576552819449109E-2</v>
      </c>
      <c r="D30" s="237" t="s">
        <v>692</v>
      </c>
      <c r="F30" s="6"/>
    </row>
    <row r="31" spans="1:18">
      <c r="A31" s="231" t="s">
        <v>55</v>
      </c>
      <c r="B31" s="33">
        <f>IF(ISERROR(TER_onderwijs_ele_kWh/1000),0,TER_onderwijs_ele_kWh/1000)</f>
        <v>106.60011999999999</v>
      </c>
      <c r="C31" s="39">
        <f>IF(ISERROR(B31*3.6/1000000/'E Balans VL '!Z11*100),0,B31*3.6/1000000/'E Balans VL '!Z11*100)</f>
        <v>2.2127710296450494E-2</v>
      </c>
      <c r="D31" s="237" t="s">
        <v>692</v>
      </c>
    </row>
    <row r="32" spans="1:18">
      <c r="A32" s="231" t="s">
        <v>260</v>
      </c>
      <c r="B32" s="33">
        <f>IF(ISERROR(TER_rest_ele_kWh/1000),0,TER_rest_ele_kWh/1000)</f>
        <v>1113.1220000000001</v>
      </c>
      <c r="C32" s="39">
        <f>IF(ISERROR(B32*3.6/1000000/'E Balans VL '!Z8*100),0,B32*3.6/1000000/'E Balans VL '!Z8*100)</f>
        <v>9.3773980225029009E-3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1313.3837599999999</v>
      </c>
      <c r="C5" s="17">
        <f>IF(ISERROR('Eigen informatie GS &amp; warmtenet'!B59),0,'Eigen informatie GS &amp; warmtenet'!B59)</f>
        <v>0</v>
      </c>
      <c r="D5" s="30">
        <f>SUM(D6:D15)</f>
        <v>703.16227467461999</v>
      </c>
      <c r="E5" s="17">
        <f>SUM(E6:E15)</f>
        <v>226.17977327678094</v>
      </c>
      <c r="F5" s="17">
        <f>SUM(F6:F15)</f>
        <v>1422.9900639561949</v>
      </c>
      <c r="G5" s="18"/>
      <c r="H5" s="17"/>
      <c r="I5" s="17"/>
      <c r="J5" s="17">
        <f>SUM(J6:J15)</f>
        <v>10.230514041701186</v>
      </c>
      <c r="K5" s="17"/>
      <c r="L5" s="17"/>
      <c r="M5" s="17"/>
      <c r="N5" s="17">
        <f>SUM(N6:N15)</f>
        <v>490.16723789381069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16.331</v>
      </c>
      <c r="C8" s="33"/>
      <c r="D8" s="37">
        <f>IF( ISERROR(IND_metaal_Gas_kWH/1000),0,IND_metaal_Gas_kWH/1000)*0.902</f>
        <v>0</v>
      </c>
      <c r="E8" s="33">
        <f>C30*'E Balans VL '!I18/100/3.6*1000000</f>
        <v>0.40870777272451481</v>
      </c>
      <c r="F8" s="33">
        <f>C30*'E Balans VL '!L18/100/3.6*1000000+C30*'E Balans VL '!N18/100/3.6*1000000</f>
        <v>5.1182166345717288</v>
      </c>
      <c r="G8" s="34"/>
      <c r="H8" s="33"/>
      <c r="I8" s="33"/>
      <c r="J8" s="40">
        <f>C30*'E Balans VL '!D18/100/3.6*1000000+C30*'E Balans VL '!E18/100/3.6*1000000</f>
        <v>0</v>
      </c>
      <c r="K8" s="33"/>
      <c r="L8" s="33"/>
      <c r="M8" s="33"/>
      <c r="N8" s="33">
        <f>C30*'E Balans VL '!Y18/100/3.6*1000000</f>
        <v>0.41027710264079481</v>
      </c>
      <c r="O8" s="33"/>
      <c r="P8" s="33"/>
      <c r="R8" s="32"/>
    </row>
    <row r="9" spans="1:18">
      <c r="A9" s="6" t="s">
        <v>33</v>
      </c>
      <c r="B9" s="37">
        <f t="shared" si="0"/>
        <v>787.48619999999994</v>
      </c>
      <c r="C9" s="33"/>
      <c r="D9" s="37">
        <f>IF( ISERROR(IND_andere_gas_kWh/1000),0,IND_andere_gas_kWh/1000)*0.902</f>
        <v>205.84124234223282</v>
      </c>
      <c r="E9" s="33">
        <f>C31*'E Balans VL '!I19/100/3.6*1000000</f>
        <v>216.5264062097273</v>
      </c>
      <c r="F9" s="33">
        <f>C31*'E Balans VL '!L19/100/3.6*1000000+C31*'E Balans VL '!N19/100/3.6*1000000</f>
        <v>620.67615803744923</v>
      </c>
      <c r="G9" s="34"/>
      <c r="H9" s="33"/>
      <c r="I9" s="33"/>
      <c r="J9" s="40">
        <f>C31*'E Balans VL '!D19/100/3.6*1000000+C31*'E Balans VL '!E19/100/3.6*1000000</f>
        <v>0</v>
      </c>
      <c r="K9" s="33"/>
      <c r="L9" s="33"/>
      <c r="M9" s="33"/>
      <c r="N9" s="33">
        <f>C31*'E Balans VL '!Y19/100/3.6*1000000</f>
        <v>254.93006909734211</v>
      </c>
      <c r="O9" s="33"/>
      <c r="P9" s="33"/>
      <c r="R9" s="32"/>
    </row>
    <row r="10" spans="1:18">
      <c r="A10" s="6" t="s">
        <v>41</v>
      </c>
      <c r="B10" s="37">
        <f t="shared" si="0"/>
        <v>410.00799999999998</v>
      </c>
      <c r="C10" s="33"/>
      <c r="D10" s="37">
        <f>IF( ISERROR(IND_voed_gas_kWh/1000),0,IND_voed_gas_kWh/1000)*0.902</f>
        <v>0</v>
      </c>
      <c r="E10" s="33">
        <f>C32*'E Balans VL '!I20/100/3.6*1000000</f>
        <v>4.1798056853039531</v>
      </c>
      <c r="F10" s="33">
        <f>C32*'E Balans VL '!L20/100/3.6*1000000+C32*'E Balans VL '!N20/100/3.6*1000000</f>
        <v>774.50254764749923</v>
      </c>
      <c r="G10" s="34"/>
      <c r="H10" s="33"/>
      <c r="I10" s="33"/>
      <c r="J10" s="40">
        <f>C32*'E Balans VL '!D20/100/3.6*1000000+C32*'E Balans VL '!E20/100/3.6*1000000</f>
        <v>9.8128329922497404</v>
      </c>
      <c r="K10" s="33"/>
      <c r="L10" s="33"/>
      <c r="M10" s="33"/>
      <c r="N10" s="33">
        <f>C32*'E Balans VL '!Y20/100/3.6*1000000</f>
        <v>216.12144313044084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99.55856</v>
      </c>
      <c r="C15" s="33"/>
      <c r="D15" s="37">
        <f>IF( ISERROR(IND_rest_gas_kWh/1000),0,IND_rest_gas_kWh/1000)*0.902</f>
        <v>497.32103233238718</v>
      </c>
      <c r="E15" s="33">
        <f>C37*'E Balans VL '!I15/100/3.6*1000000</f>
        <v>5.0648536090251755</v>
      </c>
      <c r="F15" s="33">
        <f>C37*'E Balans VL '!L15/100/3.6*1000000+C37*'E Balans VL '!N15/100/3.6*1000000</f>
        <v>22.693141636674838</v>
      </c>
      <c r="G15" s="34"/>
      <c r="H15" s="33"/>
      <c r="I15" s="33"/>
      <c r="J15" s="40">
        <f>C37*'E Balans VL '!D15/100/3.6*1000000+C37*'E Balans VL '!E15/100/3.6*1000000</f>
        <v>0.41768104945144546</v>
      </c>
      <c r="K15" s="33"/>
      <c r="L15" s="33"/>
      <c r="M15" s="33"/>
      <c r="N15" s="33">
        <f>C37*'E Balans VL '!Y15/100/3.6*1000000</f>
        <v>18.705448563386945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1313.3837599999999</v>
      </c>
      <c r="C18" s="21">
        <f>C5+C16</f>
        <v>0</v>
      </c>
      <c r="D18" s="21">
        <f>MAX((D5+D16),0)</f>
        <v>703.16227467461999</v>
      </c>
      <c r="E18" s="21">
        <f>MAX((E5+E16),0)</f>
        <v>226.17977327678094</v>
      </c>
      <c r="F18" s="21">
        <f>MAX((F5+F16),0)</f>
        <v>1422.9900639561949</v>
      </c>
      <c r="G18" s="21"/>
      <c r="H18" s="21"/>
      <c r="I18" s="21"/>
      <c r="J18" s="21">
        <f>MAX((J5+J16),0)</f>
        <v>10.230514041701186</v>
      </c>
      <c r="K18" s="21"/>
      <c r="L18" s="21">
        <f>MAX((L5+L16),0)</f>
        <v>0</v>
      </c>
      <c r="M18" s="21"/>
      <c r="N18" s="21">
        <f>MAX((N5+N16),0)</f>
        <v>490.16723789381069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0.20038732653342031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263.18546037881134</v>
      </c>
      <c r="C22" s="23">
        <f ca="1">C18*C20</f>
        <v>0</v>
      </c>
      <c r="D22" s="23">
        <f>D18*D20</f>
        <v>142.03877948427325</v>
      </c>
      <c r="E22" s="23">
        <f>E18*E20</f>
        <v>51.342808533829277</v>
      </c>
      <c r="F22" s="23">
        <f>F18*F20</f>
        <v>379.93834707630407</v>
      </c>
      <c r="G22" s="23"/>
      <c r="H22" s="23"/>
      <c r="I22" s="23"/>
      <c r="J22" s="23">
        <f>J18*J20</f>
        <v>3.6216019707622196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16.331</v>
      </c>
      <c r="C30" s="39">
        <f>IF(ISERROR(B30*3.6/1000000/'E Balans VL '!Z18*100),0,B30*3.6/1000000/'E Balans VL '!Z18*100)</f>
        <v>2.2857957634126523E-3</v>
      </c>
      <c r="D30" s="237" t="s">
        <v>692</v>
      </c>
    </row>
    <row r="31" spans="1:18">
      <c r="A31" s="6" t="s">
        <v>33</v>
      </c>
      <c r="B31" s="37">
        <f>IF( ISERROR(IND_ander_ele_kWh/1000),0,IND_ander_ele_kWh/1000)</f>
        <v>787.48619999999994</v>
      </c>
      <c r="C31" s="39">
        <f>IF(ISERROR(B31*3.6/1000000/'E Balans VL '!Z19*100),0,B31*3.6/1000000/'E Balans VL '!Z19*100)</f>
        <v>3.4468143225588582E-2</v>
      </c>
      <c r="D31" s="237" t="s">
        <v>692</v>
      </c>
    </row>
    <row r="32" spans="1:18">
      <c r="A32" s="171" t="s">
        <v>41</v>
      </c>
      <c r="B32" s="37">
        <f>IF( ISERROR(IND_voed_ele_kWh/1000),0,IND_voed_ele_kWh/1000)</f>
        <v>410.00799999999998</v>
      </c>
      <c r="C32" s="39">
        <f>IF(ISERROR(B32*3.6/1000000/'E Balans VL '!Z20*100),0,B32*3.6/1000000/'E Balans VL '!Z20*100)</f>
        <v>0.10150436510592065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99.55856</v>
      </c>
      <c r="C37" s="39">
        <f>IF(ISERROR(B37*3.6/1000000/'E Balans VL '!Z15*100),0,B37*3.6/1000000/'E Balans VL '!Z15*100)</f>
        <v>7.3820967725323806E-4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1788.84</v>
      </c>
      <c r="C5" s="17">
        <f>'Eigen informatie GS &amp; warmtenet'!B60</f>
        <v>0</v>
      </c>
      <c r="D5" s="30">
        <f>IF(ISERROR(SUM(LB_lb_gas_kWh,LB_rest_gas_kWh)/1000),0,SUM(LB_lb_gas_kWh,LB_rest_gas_kWh)/1000)*0.902</f>
        <v>12.770523990937788</v>
      </c>
      <c r="E5" s="17">
        <f>B17*'E Balans VL '!I25/3.6*1000000/100</f>
        <v>16.568985315063127</v>
      </c>
      <c r="F5" s="17">
        <f>B17*('E Balans VL '!L25/3.6*1000000+'E Balans VL '!N25/3.6*1000000)/100</f>
        <v>4538.6278536702912</v>
      </c>
      <c r="G5" s="18"/>
      <c r="H5" s="17"/>
      <c r="I5" s="17"/>
      <c r="J5" s="17">
        <f>('E Balans VL '!D25+'E Balans VL '!E25)/3.6*1000000*landbouw!B17/100</f>
        <v>274.24913551266542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1788.84</v>
      </c>
      <c r="C8" s="21">
        <f>C5+C6</f>
        <v>0</v>
      </c>
      <c r="D8" s="21">
        <f>MAX((D5+D6),0)</f>
        <v>12.770523990937788</v>
      </c>
      <c r="E8" s="21">
        <f>MAX((E5+E6),0)</f>
        <v>16.568985315063127</v>
      </c>
      <c r="F8" s="21">
        <f>MAX((F5+F6),0)</f>
        <v>4538.6278536702912</v>
      </c>
      <c r="G8" s="21"/>
      <c r="H8" s="21"/>
      <c r="I8" s="21"/>
      <c r="J8" s="21">
        <f>MAX((J5+J6),0)</f>
        <v>274.24913551266542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0.20038732653342031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358.46086519604359</v>
      </c>
      <c r="C12" s="23">
        <f ca="1">C8*C10</f>
        <v>0</v>
      </c>
      <c r="D12" s="23">
        <f>D8*D10</f>
        <v>2.5796458461694334</v>
      </c>
      <c r="E12" s="23">
        <f>E8*E10</f>
        <v>3.7611596665193301</v>
      </c>
      <c r="F12" s="23">
        <f>F8*F10</f>
        <v>1211.8136369299677</v>
      </c>
      <c r="G12" s="23"/>
      <c r="H12" s="23"/>
      <c r="I12" s="23"/>
      <c r="J12" s="23">
        <f>J8*J10</f>
        <v>97.084193971483558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0.25433511803584097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9.6115726533011969</v>
      </c>
      <c r="C26" s="247">
        <f>B26*'GWP N2O_CH4'!B5</f>
        <v>201.84302571932514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2.1217555057949333</v>
      </c>
      <c r="C27" s="247">
        <f>B27*'GWP N2O_CH4'!B5</f>
        <v>44.556865621693603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0.20200625844960263</v>
      </c>
      <c r="C28" s="247">
        <f>B28*'GWP N2O_CH4'!B4</f>
        <v>62.621940119376816</v>
      </c>
      <c r="D28" s="50"/>
    </row>
    <row r="29" spans="1:4">
      <c r="A29" s="41" t="s">
        <v>277</v>
      </c>
      <c r="B29" s="247">
        <f>B34*'ha_N2O bodem landbouw'!B4</f>
        <v>1.8733997627677939</v>
      </c>
      <c r="C29" s="247">
        <f>B29*'GWP N2O_CH4'!B4</f>
        <v>580.75392645801605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4.2017056252375521E-4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1.9775031420795324E-5</v>
      </c>
      <c r="C5" s="464" t="s">
        <v>211</v>
      </c>
      <c r="D5" s="449">
        <f>SUM(D6:D11)</f>
        <v>7.7187578539237477E-5</v>
      </c>
      <c r="E5" s="449">
        <f>SUM(E6:E11)</f>
        <v>4.6627369492874238E-4</v>
      </c>
      <c r="F5" s="462" t="s">
        <v>211</v>
      </c>
      <c r="G5" s="449">
        <f>SUM(G6:G11)</f>
        <v>0.10714706466390896</v>
      </c>
      <c r="H5" s="449">
        <f>SUM(H6:H11)</f>
        <v>2.8524287827219184E-2</v>
      </c>
      <c r="I5" s="464" t="s">
        <v>211</v>
      </c>
      <c r="J5" s="464" t="s">
        <v>211</v>
      </c>
      <c r="K5" s="464" t="s">
        <v>211</v>
      </c>
      <c r="L5" s="464" t="s">
        <v>211</v>
      </c>
      <c r="M5" s="449">
        <f>SUM(M6:M11)</f>
        <v>7.0760669709513616E-3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2.0900567674225649E-6</v>
      </c>
      <c r="C6" s="450"/>
      <c r="D6" s="893">
        <f>vkm_2011_GW_PW*SUMIFS(TableVerdeelsleutelVkm[CNG],TableVerdeelsleutelVkm[Voertuigtype],"Lichte voertuigen")*SUMIFS(TableECFTransport[EnergieConsumptieFactor (PJ per km)],TableECFTransport[Index],CONCATENATE($A6,"_CNG_CNG"))</f>
        <v>4.8345314087664272E-6</v>
      </c>
      <c r="E6" s="893">
        <f>vkm_2011_GW_PW*SUMIFS(TableVerdeelsleutelVkm[LPG],TableVerdeelsleutelVkm[Voertuigtype],"Lichte voertuigen")*SUMIFS(TableECFTransport[EnergieConsumptieFactor (PJ per km)],TableECFTransport[Index],CONCATENATE($A6,"_LPG_LPG"))</f>
        <v>3.1479549042146194E-5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6.5396434193053599E-3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1.8433903341331292E-3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4.350359947281743E-4</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2.4299512490458509E-3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8.3099919720332329E-7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1.4058645334604598E-4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1.7684974653372758E-5</v>
      </c>
      <c r="C8" s="450"/>
      <c r="D8" s="452">
        <f>vkm_2011_NGW_PW*SUMIFS(TableVerdeelsleutelVkm[CNG],TableVerdeelsleutelVkm[Voertuigtype],"Lichte voertuigen")*SUMIFS(TableECFTransport[EnergieConsumptieFactor (PJ per km)],TableECFTransport[Index],CONCATENATE($A8,"_CNG_CNG"))</f>
        <v>7.2353047130471052E-5</v>
      </c>
      <c r="E8" s="452">
        <f>vkm_2011_NGW_PW*SUMIFS(TableVerdeelsleutelVkm[LPG],TableVerdeelsleutelVkm[Voertuigtype],"Lichte voertuigen")*SUMIFS(TableECFTransport[EnergieConsumptieFactor (PJ per km)],TableECFTransport[Index],CONCATENATE($A8,"_LPG_LPG"))</f>
        <v>4.3479414588659616E-4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8.4436384390521993E-2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2.6675620038652637E-2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5.7054526135054181E-3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1.3741085605035761E-2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4.4464552362155863E-6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7.9499190937172277E-4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5.4930642835542569</v>
      </c>
      <c r="C14" s="21"/>
      <c r="D14" s="21">
        <f t="shared" ref="D14:M14" si="0">((D5)*10^9/3600)+D12</f>
        <v>21.440994038677079</v>
      </c>
      <c r="E14" s="21">
        <f t="shared" si="0"/>
        <v>129.52047081353953</v>
      </c>
      <c r="F14" s="21"/>
      <c r="G14" s="21">
        <f t="shared" si="0"/>
        <v>29763.073517752488</v>
      </c>
      <c r="H14" s="21">
        <f t="shared" si="0"/>
        <v>7923.4132853386627</v>
      </c>
      <c r="I14" s="21"/>
      <c r="J14" s="21"/>
      <c r="K14" s="21"/>
      <c r="L14" s="21"/>
      <c r="M14" s="21">
        <f t="shared" si="0"/>
        <v>1965.5741585976004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0.20038732653342031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1.1007404662576554</v>
      </c>
      <c r="C18" s="23"/>
      <c r="D18" s="23">
        <f t="shared" ref="D18:M18" si="1">D14*D16</f>
        <v>4.3310807958127704</v>
      </c>
      <c r="E18" s="23">
        <f t="shared" si="1"/>
        <v>29.401146874673476</v>
      </c>
      <c r="F18" s="23"/>
      <c r="G18" s="23">
        <f t="shared" si="1"/>
        <v>7946.7406292399146</v>
      </c>
      <c r="H18" s="23">
        <f t="shared" si="1"/>
        <v>1972.929908049327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2.9240125612848603E-3</v>
      </c>
      <c r="H50" s="321">
        <f t="shared" si="2"/>
        <v>0</v>
      </c>
      <c r="I50" s="321">
        <f t="shared" si="2"/>
        <v>0</v>
      </c>
      <c r="J50" s="321">
        <f t="shared" si="2"/>
        <v>0</v>
      </c>
      <c r="K50" s="321">
        <f t="shared" si="2"/>
        <v>0</v>
      </c>
      <c r="L50" s="321">
        <f t="shared" si="2"/>
        <v>0</v>
      </c>
      <c r="M50" s="321">
        <f t="shared" si="2"/>
        <v>1.6674791241299742E-4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2.9240125612848603E-3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1.6674791241299742E-4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812.2257114680167</v>
      </c>
      <c r="H54" s="21">
        <f t="shared" si="3"/>
        <v>0</v>
      </c>
      <c r="I54" s="21">
        <f t="shared" si="3"/>
        <v>0</v>
      </c>
      <c r="J54" s="21">
        <f t="shared" si="3"/>
        <v>0</v>
      </c>
      <c r="K54" s="21">
        <f t="shared" si="3"/>
        <v>0</v>
      </c>
      <c r="L54" s="21">
        <f t="shared" si="3"/>
        <v>0</v>
      </c>
      <c r="M54" s="21">
        <f t="shared" si="3"/>
        <v>46.318864559165952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0.20038732653342031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216.86426496196046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11637.572119999999</v>
      </c>
      <c r="D10" s="1025">
        <f ca="1">tertiair!C16</f>
        <v>126.5625</v>
      </c>
      <c r="E10" s="1025">
        <f ca="1">tertiair!D16</f>
        <v>9723.3942207337222</v>
      </c>
      <c r="F10" s="1025">
        <f>tertiair!E16</f>
        <v>117.87896789707492</v>
      </c>
      <c r="G10" s="1025">
        <f ca="1">tertiair!F16</f>
        <v>1536.3832902475247</v>
      </c>
      <c r="H10" s="1025">
        <f>tertiair!G16</f>
        <v>0</v>
      </c>
      <c r="I10" s="1025">
        <f>tertiair!H16</f>
        <v>0</v>
      </c>
      <c r="J10" s="1025">
        <f>tertiair!I16</f>
        <v>0</v>
      </c>
      <c r="K10" s="1025">
        <f>tertiair!J16</f>
        <v>0</v>
      </c>
      <c r="L10" s="1025">
        <f>tertiair!K16</f>
        <v>0</v>
      </c>
      <c r="M10" s="1025">
        <f ca="1">tertiair!L16</f>
        <v>0</v>
      </c>
      <c r="N10" s="1025">
        <f>tertiair!M16</f>
        <v>0</v>
      </c>
      <c r="O10" s="1025">
        <f ca="1">tertiair!N16</f>
        <v>619.92984601573505</v>
      </c>
      <c r="P10" s="1025">
        <f>tertiair!O16</f>
        <v>0</v>
      </c>
      <c r="Q10" s="1026">
        <f>tertiair!P16</f>
        <v>19.066666666666666</v>
      </c>
      <c r="R10" s="701">
        <f ca="1">SUM(C10:Q10)</f>
        <v>23780.787611560721</v>
      </c>
      <c r="S10" s="67"/>
    </row>
    <row r="11" spans="1:19" s="474" customFormat="1">
      <c r="A11" s="810" t="s">
        <v>225</v>
      </c>
      <c r="B11" s="815"/>
      <c r="C11" s="1025">
        <f>huishoudens!B8</f>
        <v>28218.16631383296</v>
      </c>
      <c r="D11" s="1025">
        <f>huishoudens!C8</f>
        <v>0</v>
      </c>
      <c r="E11" s="1025">
        <f>huishoudens!D8</f>
        <v>25762.457608124703</v>
      </c>
      <c r="F11" s="1025">
        <f>huishoudens!E8</f>
        <v>8689.6603103914204</v>
      </c>
      <c r="G11" s="1025">
        <f>huishoudens!F8</f>
        <v>55616.026707295852</v>
      </c>
      <c r="H11" s="1025">
        <f>huishoudens!G8</f>
        <v>0</v>
      </c>
      <c r="I11" s="1025">
        <f>huishoudens!H8</f>
        <v>0</v>
      </c>
      <c r="J11" s="1025">
        <f>huishoudens!I8</f>
        <v>0</v>
      </c>
      <c r="K11" s="1025">
        <f>huishoudens!J8</f>
        <v>0</v>
      </c>
      <c r="L11" s="1025">
        <f>huishoudens!K8</f>
        <v>0</v>
      </c>
      <c r="M11" s="1025">
        <f>huishoudens!L8</f>
        <v>0</v>
      </c>
      <c r="N11" s="1025">
        <f>huishoudens!M8</f>
        <v>0</v>
      </c>
      <c r="O11" s="1025">
        <f>huishoudens!N8</f>
        <v>6003.1492129021526</v>
      </c>
      <c r="P11" s="1025">
        <f>huishoudens!O8</f>
        <v>198.54333333333332</v>
      </c>
      <c r="Q11" s="1026">
        <f>huishoudens!P8</f>
        <v>514.79999999999995</v>
      </c>
      <c r="R11" s="701">
        <f>SUM(C11:Q11)</f>
        <v>125002.80348588043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1313.3837599999999</v>
      </c>
      <c r="D13" s="1025">
        <f>industrie!C18</f>
        <v>0</v>
      </c>
      <c r="E13" s="1025">
        <f>industrie!D18</f>
        <v>703.16227467461999</v>
      </c>
      <c r="F13" s="1025">
        <f>industrie!E18</f>
        <v>226.17977327678094</v>
      </c>
      <c r="G13" s="1025">
        <f>industrie!F18</f>
        <v>1422.9900639561949</v>
      </c>
      <c r="H13" s="1025">
        <f>industrie!G18</f>
        <v>0</v>
      </c>
      <c r="I13" s="1025">
        <f>industrie!H18</f>
        <v>0</v>
      </c>
      <c r="J13" s="1025">
        <f>industrie!I18</f>
        <v>0</v>
      </c>
      <c r="K13" s="1025">
        <f>industrie!J18</f>
        <v>10.230514041701186</v>
      </c>
      <c r="L13" s="1025">
        <f>industrie!K18</f>
        <v>0</v>
      </c>
      <c r="M13" s="1025">
        <f>industrie!L18</f>
        <v>0</v>
      </c>
      <c r="N13" s="1025">
        <f>industrie!M18</f>
        <v>0</v>
      </c>
      <c r="O13" s="1025">
        <f>industrie!N18</f>
        <v>490.16723789381069</v>
      </c>
      <c r="P13" s="1025">
        <f>industrie!O18</f>
        <v>0</v>
      </c>
      <c r="Q13" s="1026">
        <f>industrie!P18</f>
        <v>0</v>
      </c>
      <c r="R13" s="701">
        <f>SUM(C13:Q13)</f>
        <v>4166.1136238431081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41169.122193832955</v>
      </c>
      <c r="D16" s="733">
        <f t="shared" ref="D16:R16" ca="1" si="0">SUM(D9:D15)</f>
        <v>126.5625</v>
      </c>
      <c r="E16" s="733">
        <f t="shared" ca="1" si="0"/>
        <v>36189.014103533045</v>
      </c>
      <c r="F16" s="733">
        <f t="shared" si="0"/>
        <v>9033.7190515652765</v>
      </c>
      <c r="G16" s="733">
        <f t="shared" ca="1" si="0"/>
        <v>58575.400061499575</v>
      </c>
      <c r="H16" s="733">
        <f t="shared" si="0"/>
        <v>0</v>
      </c>
      <c r="I16" s="733">
        <f t="shared" si="0"/>
        <v>0</v>
      </c>
      <c r="J16" s="733">
        <f t="shared" si="0"/>
        <v>0</v>
      </c>
      <c r="K16" s="733">
        <f t="shared" si="0"/>
        <v>10.230514041701186</v>
      </c>
      <c r="L16" s="733">
        <f t="shared" si="0"/>
        <v>0</v>
      </c>
      <c r="M16" s="733">
        <f t="shared" ca="1" si="0"/>
        <v>0</v>
      </c>
      <c r="N16" s="733">
        <f t="shared" si="0"/>
        <v>0</v>
      </c>
      <c r="O16" s="733">
        <f t="shared" ca="1" si="0"/>
        <v>7113.2462968116988</v>
      </c>
      <c r="P16" s="733">
        <f t="shared" si="0"/>
        <v>198.54333333333332</v>
      </c>
      <c r="Q16" s="733">
        <f t="shared" si="0"/>
        <v>533.86666666666667</v>
      </c>
      <c r="R16" s="733">
        <f t="shared" ca="1" si="0"/>
        <v>152949.70472128427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812.2257114680167</v>
      </c>
      <c r="I19" s="1025">
        <f>transport!H54</f>
        <v>0</v>
      </c>
      <c r="J19" s="1025">
        <f>transport!I54</f>
        <v>0</v>
      </c>
      <c r="K19" s="1025">
        <f>transport!J54</f>
        <v>0</v>
      </c>
      <c r="L19" s="1025">
        <f>transport!K54</f>
        <v>0</v>
      </c>
      <c r="M19" s="1025">
        <f>transport!L54</f>
        <v>0</v>
      </c>
      <c r="N19" s="1025">
        <f>transport!M54</f>
        <v>46.318864559165952</v>
      </c>
      <c r="O19" s="1025">
        <f>transport!N54</f>
        <v>0</v>
      </c>
      <c r="P19" s="1025">
        <f>transport!O54</f>
        <v>0</v>
      </c>
      <c r="Q19" s="1026">
        <f>transport!P54</f>
        <v>0</v>
      </c>
      <c r="R19" s="701">
        <f>SUM(C19:Q19)</f>
        <v>858.54457602718264</v>
      </c>
      <c r="S19" s="67"/>
    </row>
    <row r="20" spans="1:19" s="474" customFormat="1">
      <c r="A20" s="810" t="s">
        <v>307</v>
      </c>
      <c r="B20" s="815"/>
      <c r="C20" s="1025">
        <f>transport!B14</f>
        <v>5.4930642835542569</v>
      </c>
      <c r="D20" s="1025">
        <f>transport!C14</f>
        <v>0</v>
      </c>
      <c r="E20" s="1025">
        <f>transport!D14</f>
        <v>21.440994038677079</v>
      </c>
      <c r="F20" s="1025">
        <f>transport!E14</f>
        <v>129.52047081353953</v>
      </c>
      <c r="G20" s="1025">
        <f>transport!F14</f>
        <v>0</v>
      </c>
      <c r="H20" s="1025">
        <f>transport!G14</f>
        <v>29763.073517752488</v>
      </c>
      <c r="I20" s="1025">
        <f>transport!H14</f>
        <v>7923.4132853386627</v>
      </c>
      <c r="J20" s="1025">
        <f>transport!I14</f>
        <v>0</v>
      </c>
      <c r="K20" s="1025">
        <f>transport!J14</f>
        <v>0</v>
      </c>
      <c r="L20" s="1025">
        <f>transport!K14</f>
        <v>0</v>
      </c>
      <c r="M20" s="1025">
        <f>transport!L14</f>
        <v>0</v>
      </c>
      <c r="N20" s="1025">
        <f>transport!M14</f>
        <v>1965.5741585976004</v>
      </c>
      <c r="O20" s="1025">
        <f>transport!N14</f>
        <v>0</v>
      </c>
      <c r="P20" s="1025">
        <f>transport!O14</f>
        <v>0</v>
      </c>
      <c r="Q20" s="1026">
        <f>transport!P14</f>
        <v>0</v>
      </c>
      <c r="R20" s="701">
        <f>SUM(C20:Q20)</f>
        <v>39808.515490824524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5.4930642835542569</v>
      </c>
      <c r="D22" s="813">
        <f t="shared" ref="D22:R22" si="1">SUM(D18:D21)</f>
        <v>0</v>
      </c>
      <c r="E22" s="813">
        <f t="shared" si="1"/>
        <v>21.440994038677079</v>
      </c>
      <c r="F22" s="813">
        <f t="shared" si="1"/>
        <v>129.52047081353953</v>
      </c>
      <c r="G22" s="813">
        <f t="shared" si="1"/>
        <v>0</v>
      </c>
      <c r="H22" s="813">
        <f t="shared" si="1"/>
        <v>30575.299229220505</v>
      </c>
      <c r="I22" s="813">
        <f t="shared" si="1"/>
        <v>7923.4132853386627</v>
      </c>
      <c r="J22" s="813">
        <f t="shared" si="1"/>
        <v>0</v>
      </c>
      <c r="K22" s="813">
        <f t="shared" si="1"/>
        <v>0</v>
      </c>
      <c r="L22" s="813">
        <f t="shared" si="1"/>
        <v>0</v>
      </c>
      <c r="M22" s="813">
        <f t="shared" si="1"/>
        <v>0</v>
      </c>
      <c r="N22" s="813">
        <f t="shared" si="1"/>
        <v>2011.8930231567665</v>
      </c>
      <c r="O22" s="813">
        <f t="shared" si="1"/>
        <v>0</v>
      </c>
      <c r="P22" s="813">
        <f t="shared" si="1"/>
        <v>0</v>
      </c>
      <c r="Q22" s="813">
        <f t="shared" si="1"/>
        <v>0</v>
      </c>
      <c r="R22" s="813">
        <f t="shared" si="1"/>
        <v>40667.060066851707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1788.84</v>
      </c>
      <c r="D24" s="1025">
        <f>+landbouw!C8</f>
        <v>0</v>
      </c>
      <c r="E24" s="1025">
        <f>+landbouw!D8</f>
        <v>12.770523990937788</v>
      </c>
      <c r="F24" s="1025">
        <f>+landbouw!E8</f>
        <v>16.568985315063127</v>
      </c>
      <c r="G24" s="1025">
        <f>+landbouw!F8</f>
        <v>4538.6278536702912</v>
      </c>
      <c r="H24" s="1025">
        <f>+landbouw!G8</f>
        <v>0</v>
      </c>
      <c r="I24" s="1025">
        <f>+landbouw!H8</f>
        <v>0</v>
      </c>
      <c r="J24" s="1025">
        <f>+landbouw!I8</f>
        <v>0</v>
      </c>
      <c r="K24" s="1025">
        <f>+landbouw!J8</f>
        <v>274.24913551266542</v>
      </c>
      <c r="L24" s="1025">
        <f>+landbouw!K8</f>
        <v>0</v>
      </c>
      <c r="M24" s="1025">
        <f>+landbouw!L8</f>
        <v>0</v>
      </c>
      <c r="N24" s="1025">
        <f>+landbouw!M8</f>
        <v>0</v>
      </c>
      <c r="O24" s="1025">
        <f>+landbouw!N8</f>
        <v>0</v>
      </c>
      <c r="P24" s="1025">
        <f>+landbouw!O8</f>
        <v>0</v>
      </c>
      <c r="Q24" s="1026">
        <f>+landbouw!P8</f>
        <v>0</v>
      </c>
      <c r="R24" s="701">
        <f>SUM(C24:Q24)</f>
        <v>6631.0564984889579</v>
      </c>
      <c r="S24" s="67"/>
    </row>
    <row r="25" spans="1:19" s="474" customFormat="1" ht="15" thickBot="1">
      <c r="A25" s="832" t="s">
        <v>864</v>
      </c>
      <c r="B25" s="1028"/>
      <c r="C25" s="1029">
        <f>IF(Onbekend_ele_kWh="---",0,Onbekend_ele_kWh)/1000+IF(REST_rest_ele_kWh="---",0,REST_rest_ele_kWh)/1000</f>
        <v>1048.3886</v>
      </c>
      <c r="D25" s="1029"/>
      <c r="E25" s="1029">
        <f>IF(onbekend_gas_kWh="---",0,onbekend_gas_kWh)/1000+IF(REST_rest_gas_kWh="---",0,REST_rest_gas_kWh)/1000</f>
        <v>1293.4543057231199</v>
      </c>
      <c r="F25" s="1029"/>
      <c r="G25" s="1029"/>
      <c r="H25" s="1029"/>
      <c r="I25" s="1029"/>
      <c r="J25" s="1029"/>
      <c r="K25" s="1029"/>
      <c r="L25" s="1029"/>
      <c r="M25" s="1029"/>
      <c r="N25" s="1029"/>
      <c r="O25" s="1029"/>
      <c r="P25" s="1029"/>
      <c r="Q25" s="1030"/>
      <c r="R25" s="701">
        <f>SUM(C25:Q25)</f>
        <v>2341.8429057231197</v>
      </c>
      <c r="S25" s="67"/>
    </row>
    <row r="26" spans="1:19" s="474" customFormat="1" ht="15.75" thickBot="1">
      <c r="A26" s="706" t="s">
        <v>865</v>
      </c>
      <c r="B26" s="818"/>
      <c r="C26" s="813">
        <f>SUM(C24:C25)</f>
        <v>2837.2285999999999</v>
      </c>
      <c r="D26" s="813">
        <f t="shared" ref="D26:R26" si="2">SUM(D24:D25)</f>
        <v>0</v>
      </c>
      <c r="E26" s="813">
        <f t="shared" si="2"/>
        <v>1306.2248297140577</v>
      </c>
      <c r="F26" s="813">
        <f t="shared" si="2"/>
        <v>16.568985315063127</v>
      </c>
      <c r="G26" s="813">
        <f t="shared" si="2"/>
        <v>4538.6278536702912</v>
      </c>
      <c r="H26" s="813">
        <f t="shared" si="2"/>
        <v>0</v>
      </c>
      <c r="I26" s="813">
        <f t="shared" si="2"/>
        <v>0</v>
      </c>
      <c r="J26" s="813">
        <f t="shared" si="2"/>
        <v>0</v>
      </c>
      <c r="K26" s="813">
        <f t="shared" si="2"/>
        <v>274.24913551266542</v>
      </c>
      <c r="L26" s="813">
        <f t="shared" si="2"/>
        <v>0</v>
      </c>
      <c r="M26" s="813">
        <f t="shared" si="2"/>
        <v>0</v>
      </c>
      <c r="N26" s="813">
        <f t="shared" si="2"/>
        <v>0</v>
      </c>
      <c r="O26" s="813">
        <f t="shared" si="2"/>
        <v>0</v>
      </c>
      <c r="P26" s="813">
        <f t="shared" si="2"/>
        <v>0</v>
      </c>
      <c r="Q26" s="813">
        <f t="shared" si="2"/>
        <v>0</v>
      </c>
      <c r="R26" s="813">
        <f t="shared" si="2"/>
        <v>8972.8994042120776</v>
      </c>
      <c r="S26" s="67"/>
    </row>
    <row r="27" spans="1:19" s="474" customFormat="1" ht="17.25" thickTop="1" thickBot="1">
      <c r="A27" s="707" t="s">
        <v>116</v>
      </c>
      <c r="B27" s="806"/>
      <c r="C27" s="708">
        <f ca="1">C22+C16+C26</f>
        <v>44011.84385811651</v>
      </c>
      <c r="D27" s="708">
        <f t="shared" ref="D27:R27" ca="1" si="3">D22+D16+D26</f>
        <v>126.5625</v>
      </c>
      <c r="E27" s="708">
        <f t="shared" ca="1" si="3"/>
        <v>37516.679927285775</v>
      </c>
      <c r="F27" s="708">
        <f t="shared" si="3"/>
        <v>9179.8085076938787</v>
      </c>
      <c r="G27" s="708">
        <f t="shared" ca="1" si="3"/>
        <v>63114.027915169863</v>
      </c>
      <c r="H27" s="708">
        <f t="shared" si="3"/>
        <v>30575.299229220505</v>
      </c>
      <c r="I27" s="708">
        <f t="shared" si="3"/>
        <v>7923.4132853386627</v>
      </c>
      <c r="J27" s="708">
        <f t="shared" si="3"/>
        <v>0</v>
      </c>
      <c r="K27" s="708">
        <f t="shared" si="3"/>
        <v>284.47964955436663</v>
      </c>
      <c r="L27" s="708">
        <f t="shared" si="3"/>
        <v>0</v>
      </c>
      <c r="M27" s="708">
        <f t="shared" ca="1" si="3"/>
        <v>0</v>
      </c>
      <c r="N27" s="708">
        <f t="shared" si="3"/>
        <v>2011.8930231567665</v>
      </c>
      <c r="O27" s="708">
        <f t="shared" ca="1" si="3"/>
        <v>7113.2462968116988</v>
      </c>
      <c r="P27" s="708">
        <f t="shared" si="3"/>
        <v>198.54333333333332</v>
      </c>
      <c r="Q27" s="708">
        <f t="shared" si="3"/>
        <v>533.86666666666667</v>
      </c>
      <c r="R27" s="708">
        <f t="shared" ca="1" si="3"/>
        <v>202589.66419234805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2332.0219644666681</v>
      </c>
      <c r="D40" s="1025">
        <f ca="1">tertiair!C20</f>
        <v>0</v>
      </c>
      <c r="E40" s="1025">
        <f ca="1">tertiair!D20</f>
        <v>1964.1256325882121</v>
      </c>
      <c r="F40" s="1025">
        <f>tertiair!E20</f>
        <v>26.758525712636008</v>
      </c>
      <c r="G40" s="1025">
        <f ca="1">tertiair!F20</f>
        <v>410.21433849608911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4733.1204612636047</v>
      </c>
    </row>
    <row r="41" spans="1:18">
      <c r="A41" s="823" t="s">
        <v>225</v>
      </c>
      <c r="B41" s="830"/>
      <c r="C41" s="1025">
        <f ca="1">huishoudens!B12</f>
        <v>5654.5629073044065</v>
      </c>
      <c r="D41" s="1025">
        <f ca="1">huishoudens!C12</f>
        <v>0</v>
      </c>
      <c r="E41" s="1025">
        <f>huishoudens!D12</f>
        <v>5204.0164368411906</v>
      </c>
      <c r="F41" s="1025">
        <f>huishoudens!E12</f>
        <v>1972.5528904588525</v>
      </c>
      <c r="G41" s="1025">
        <f>huishoudens!F12</f>
        <v>14849.479130847993</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27680.611365452442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263.18546037881134</v>
      </c>
      <c r="D43" s="1025">
        <f ca="1">industrie!C22</f>
        <v>0</v>
      </c>
      <c r="E43" s="1025">
        <f>industrie!D22</f>
        <v>142.03877948427325</v>
      </c>
      <c r="F43" s="1025">
        <f>industrie!E22</f>
        <v>51.342808533829277</v>
      </c>
      <c r="G43" s="1025">
        <f>industrie!F22</f>
        <v>379.93834707630407</v>
      </c>
      <c r="H43" s="1025">
        <f>industrie!G22</f>
        <v>0</v>
      </c>
      <c r="I43" s="1025">
        <f>industrie!H22</f>
        <v>0</v>
      </c>
      <c r="J43" s="1025">
        <f>industrie!I22</f>
        <v>0</v>
      </c>
      <c r="K43" s="1025">
        <f>industrie!J22</f>
        <v>3.6216019707622196</v>
      </c>
      <c r="L43" s="1025">
        <f>industrie!K22</f>
        <v>0</v>
      </c>
      <c r="M43" s="1025">
        <f>industrie!L22</f>
        <v>0</v>
      </c>
      <c r="N43" s="1025">
        <f>industrie!M22</f>
        <v>0</v>
      </c>
      <c r="O43" s="1025">
        <f>industrie!N22</f>
        <v>0</v>
      </c>
      <c r="P43" s="1025">
        <f>industrie!O22</f>
        <v>0</v>
      </c>
      <c r="Q43" s="775">
        <f>industrie!P22</f>
        <v>0</v>
      </c>
      <c r="R43" s="850">
        <f t="shared" ca="1" si="4"/>
        <v>840.12699744398014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8249.7703321498848</v>
      </c>
      <c r="D46" s="733">
        <f t="shared" ref="D46:Q46" ca="1" si="5">SUM(D39:D45)</f>
        <v>0</v>
      </c>
      <c r="E46" s="733">
        <f t="shared" ca="1" si="5"/>
        <v>7310.1808489136765</v>
      </c>
      <c r="F46" s="733">
        <f t="shared" si="5"/>
        <v>2050.6542247053176</v>
      </c>
      <c r="G46" s="733">
        <f t="shared" ca="1" si="5"/>
        <v>15639.631816420386</v>
      </c>
      <c r="H46" s="733">
        <f t="shared" si="5"/>
        <v>0</v>
      </c>
      <c r="I46" s="733">
        <f t="shared" si="5"/>
        <v>0</v>
      </c>
      <c r="J46" s="733">
        <f t="shared" si="5"/>
        <v>0</v>
      </c>
      <c r="K46" s="733">
        <f t="shared" si="5"/>
        <v>3.6216019707622196</v>
      </c>
      <c r="L46" s="733">
        <f t="shared" si="5"/>
        <v>0</v>
      </c>
      <c r="M46" s="733">
        <f t="shared" ca="1" si="5"/>
        <v>0</v>
      </c>
      <c r="N46" s="733">
        <f t="shared" si="5"/>
        <v>0</v>
      </c>
      <c r="O46" s="733">
        <f t="shared" ca="1" si="5"/>
        <v>0</v>
      </c>
      <c r="P46" s="733">
        <f t="shared" si="5"/>
        <v>0</v>
      </c>
      <c r="Q46" s="733">
        <f t="shared" si="5"/>
        <v>0</v>
      </c>
      <c r="R46" s="733">
        <f ca="1">SUM(R39:R45)</f>
        <v>33253.858824160023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216.86426496196046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216.86426496196046</v>
      </c>
    </row>
    <row r="50" spans="1:18">
      <c r="A50" s="826" t="s">
        <v>307</v>
      </c>
      <c r="B50" s="836"/>
      <c r="C50" s="704">
        <f ca="1">transport!B18</f>
        <v>1.1007404662576554</v>
      </c>
      <c r="D50" s="704">
        <f>transport!C18</f>
        <v>0</v>
      </c>
      <c r="E50" s="704">
        <f>transport!D18</f>
        <v>4.3310807958127704</v>
      </c>
      <c r="F50" s="704">
        <f>transport!E18</f>
        <v>29.401146874673476</v>
      </c>
      <c r="G50" s="704">
        <f>transport!F18</f>
        <v>0</v>
      </c>
      <c r="H50" s="704">
        <f>transport!G18</f>
        <v>7946.7406292399146</v>
      </c>
      <c r="I50" s="704">
        <f>transport!H18</f>
        <v>1972.929908049327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9954.5035054259861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1.1007404662576554</v>
      </c>
      <c r="D52" s="733">
        <f t="shared" ref="D52:Q52" ca="1" si="6">SUM(D48:D51)</f>
        <v>0</v>
      </c>
      <c r="E52" s="733">
        <f t="shared" si="6"/>
        <v>4.3310807958127704</v>
      </c>
      <c r="F52" s="733">
        <f t="shared" si="6"/>
        <v>29.401146874673476</v>
      </c>
      <c r="G52" s="733">
        <f t="shared" si="6"/>
        <v>0</v>
      </c>
      <c r="H52" s="733">
        <f t="shared" si="6"/>
        <v>8163.6048942018751</v>
      </c>
      <c r="I52" s="733">
        <f t="shared" si="6"/>
        <v>1972.929908049327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10171.367770387946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358.46086519604359</v>
      </c>
      <c r="D54" s="704">
        <f ca="1">+landbouw!C12</f>
        <v>0</v>
      </c>
      <c r="E54" s="704">
        <f>+landbouw!D12</f>
        <v>2.5796458461694334</v>
      </c>
      <c r="F54" s="704">
        <f>+landbouw!E12</f>
        <v>3.7611596665193301</v>
      </c>
      <c r="G54" s="704">
        <f>+landbouw!F12</f>
        <v>1211.8136369299677</v>
      </c>
      <c r="H54" s="704">
        <f>+landbouw!G12</f>
        <v>0</v>
      </c>
      <c r="I54" s="704">
        <f>+landbouw!H12</f>
        <v>0</v>
      </c>
      <c r="J54" s="704">
        <f>+landbouw!I12</f>
        <v>0</v>
      </c>
      <c r="K54" s="704">
        <f>+landbouw!J12</f>
        <v>97.084193971483558</v>
      </c>
      <c r="L54" s="704">
        <f>+landbouw!K12</f>
        <v>0</v>
      </c>
      <c r="M54" s="704">
        <f>+landbouw!L12</f>
        <v>0</v>
      </c>
      <c r="N54" s="704">
        <f>+landbouw!M12</f>
        <v>0</v>
      </c>
      <c r="O54" s="704">
        <f>+landbouw!N12</f>
        <v>0</v>
      </c>
      <c r="P54" s="704">
        <f>+landbouw!O12</f>
        <v>0</v>
      </c>
      <c r="Q54" s="705">
        <f>+landbouw!P12</f>
        <v>0</v>
      </c>
      <c r="R54" s="732">
        <f ca="1">SUM(C54:Q54)</f>
        <v>1673.6995016101837</v>
      </c>
    </row>
    <row r="55" spans="1:18" ht="15" thickBot="1">
      <c r="A55" s="826" t="s">
        <v>864</v>
      </c>
      <c r="B55" s="836"/>
      <c r="C55" s="704">
        <f ca="1">C25*'EF ele_warmte'!B12</f>
        <v>210.08378872211537</v>
      </c>
      <c r="D55" s="704"/>
      <c r="E55" s="704">
        <f>E25*EF_CO2_aardgas</f>
        <v>261.27776975607026</v>
      </c>
      <c r="F55" s="704"/>
      <c r="G55" s="704"/>
      <c r="H55" s="704"/>
      <c r="I55" s="704"/>
      <c r="J55" s="704"/>
      <c r="K55" s="704"/>
      <c r="L55" s="704"/>
      <c r="M55" s="704"/>
      <c r="N55" s="704"/>
      <c r="O55" s="704"/>
      <c r="P55" s="704"/>
      <c r="Q55" s="705"/>
      <c r="R55" s="732">
        <f ca="1">SUM(C55:Q55)</f>
        <v>471.36155847818566</v>
      </c>
    </row>
    <row r="56" spans="1:18" ht="15.75" thickBot="1">
      <c r="A56" s="824" t="s">
        <v>865</v>
      </c>
      <c r="B56" s="837"/>
      <c r="C56" s="733">
        <f ca="1">SUM(C54:C55)</f>
        <v>568.54465391815893</v>
      </c>
      <c r="D56" s="733">
        <f t="shared" ref="D56:Q56" ca="1" si="7">SUM(D54:D55)</f>
        <v>0</v>
      </c>
      <c r="E56" s="733">
        <f t="shared" si="7"/>
        <v>263.85741560223971</v>
      </c>
      <c r="F56" s="733">
        <f t="shared" si="7"/>
        <v>3.7611596665193301</v>
      </c>
      <c r="G56" s="733">
        <f t="shared" si="7"/>
        <v>1211.8136369299677</v>
      </c>
      <c r="H56" s="733">
        <f t="shared" si="7"/>
        <v>0</v>
      </c>
      <c r="I56" s="733">
        <f t="shared" si="7"/>
        <v>0</v>
      </c>
      <c r="J56" s="733">
        <f t="shared" si="7"/>
        <v>0</v>
      </c>
      <c r="K56" s="733">
        <f t="shared" si="7"/>
        <v>97.084193971483558</v>
      </c>
      <c r="L56" s="733">
        <f t="shared" si="7"/>
        <v>0</v>
      </c>
      <c r="M56" s="733">
        <f t="shared" si="7"/>
        <v>0</v>
      </c>
      <c r="N56" s="733">
        <f t="shared" si="7"/>
        <v>0</v>
      </c>
      <c r="O56" s="733">
        <f t="shared" si="7"/>
        <v>0</v>
      </c>
      <c r="P56" s="733">
        <f t="shared" si="7"/>
        <v>0</v>
      </c>
      <c r="Q56" s="734">
        <f t="shared" si="7"/>
        <v>0</v>
      </c>
      <c r="R56" s="735">
        <f ca="1">SUM(R54:R55)</f>
        <v>2145.0610600883692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8819.4157265343019</v>
      </c>
      <c r="D61" s="741">
        <f t="shared" ref="D61:Q61" ca="1" si="8">D46+D52+D56</f>
        <v>0</v>
      </c>
      <c r="E61" s="741">
        <f t="shared" ca="1" si="8"/>
        <v>7578.3693453117285</v>
      </c>
      <c r="F61" s="741">
        <f t="shared" si="8"/>
        <v>2083.8165312465103</v>
      </c>
      <c r="G61" s="741">
        <f t="shared" ca="1" si="8"/>
        <v>16851.445453350352</v>
      </c>
      <c r="H61" s="741">
        <f t="shared" si="8"/>
        <v>8163.6048942018751</v>
      </c>
      <c r="I61" s="741">
        <f t="shared" si="8"/>
        <v>1972.929908049327</v>
      </c>
      <c r="J61" s="741">
        <f t="shared" si="8"/>
        <v>0</v>
      </c>
      <c r="K61" s="741">
        <f t="shared" si="8"/>
        <v>100.70579594224577</v>
      </c>
      <c r="L61" s="741">
        <f t="shared" si="8"/>
        <v>0</v>
      </c>
      <c r="M61" s="741">
        <f t="shared" ca="1" si="8"/>
        <v>0</v>
      </c>
      <c r="N61" s="741">
        <f t="shared" si="8"/>
        <v>0</v>
      </c>
      <c r="O61" s="741">
        <f t="shared" ca="1" si="8"/>
        <v>0</v>
      </c>
      <c r="P61" s="741">
        <f t="shared" si="8"/>
        <v>0</v>
      </c>
      <c r="Q61" s="741">
        <f t="shared" si="8"/>
        <v>0</v>
      </c>
      <c r="R61" s="741">
        <f ca="1">R46+R52+R56</f>
        <v>45570.287654636333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0.20038732653342031</v>
      </c>
      <c r="D63" s="782">
        <f t="shared" ca="1" si="9"/>
        <v>0</v>
      </c>
      <c r="E63" s="1036">
        <f t="shared" ca="1" si="9"/>
        <v>0.20200000000000004</v>
      </c>
      <c r="F63" s="782">
        <f t="shared" si="9"/>
        <v>0.22699999999999998</v>
      </c>
      <c r="G63" s="782">
        <f t="shared" ca="1" si="9"/>
        <v>0.26699999999999996</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3992.4853670110724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112.5</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132.35294117647058</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4104.9853670110724</v>
      </c>
      <c r="C78" s="756">
        <f>SUM(C72:C77)</f>
        <v>0</v>
      </c>
      <c r="D78" s="757">
        <f t="shared" ref="D78:H78" si="10">SUM(D76:D77)</f>
        <v>0</v>
      </c>
      <c r="E78" s="757">
        <f t="shared" si="10"/>
        <v>0</v>
      </c>
      <c r="F78" s="757">
        <f t="shared" si="10"/>
        <v>0</v>
      </c>
      <c r="G78" s="757">
        <f t="shared" si="10"/>
        <v>0</v>
      </c>
      <c r="H78" s="757">
        <f t="shared" si="10"/>
        <v>0</v>
      </c>
      <c r="I78" s="757">
        <f>SUM(I76:I77)</f>
        <v>132.35294117647058</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126.5625</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148.89705882352942</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126.5625</v>
      </c>
      <c r="C90" s="756">
        <f>SUM(C87:C89)</f>
        <v>0</v>
      </c>
      <c r="D90" s="756">
        <f t="shared" ref="D90:H90" si="12">SUM(D87:D89)</f>
        <v>0</v>
      </c>
      <c r="E90" s="756">
        <f t="shared" si="12"/>
        <v>0</v>
      </c>
      <c r="F90" s="756">
        <f t="shared" si="12"/>
        <v>0</v>
      </c>
      <c r="G90" s="756">
        <f t="shared" si="12"/>
        <v>0</v>
      </c>
      <c r="H90" s="756">
        <f t="shared" si="12"/>
        <v>0</v>
      </c>
      <c r="I90" s="756">
        <f>SUM(I87:I89)</f>
        <v>148.89705882352942</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3992.4853670110724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112.5</v>
      </c>
      <c r="C8" s="571">
        <f>B101</f>
        <v>0</v>
      </c>
      <c r="D8" s="1056"/>
      <c r="E8" s="1056">
        <f>E101</f>
        <v>0</v>
      </c>
      <c r="F8" s="1057"/>
      <c r="G8" s="572"/>
      <c r="H8" s="1056">
        <f>I101</f>
        <v>0</v>
      </c>
      <c r="I8" s="1056">
        <f>G101+F101</f>
        <v>132.35294117647058</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4104.9853670110724</v>
      </c>
      <c r="C10" s="584">
        <f t="shared" ref="C10:L10" si="0">SUM(C8:C9)</f>
        <v>0</v>
      </c>
      <c r="D10" s="584">
        <f t="shared" si="0"/>
        <v>0</v>
      </c>
      <c r="E10" s="584">
        <f t="shared" si="0"/>
        <v>0</v>
      </c>
      <c r="F10" s="584">
        <f t="shared" si="0"/>
        <v>0</v>
      </c>
      <c r="G10" s="584">
        <f t="shared" si="0"/>
        <v>0</v>
      </c>
      <c r="H10" s="584">
        <f t="shared" si="0"/>
        <v>0</v>
      </c>
      <c r="I10" s="584">
        <f t="shared" si="0"/>
        <v>132.35294117647058</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126.5625</v>
      </c>
      <c r="C17" s="596">
        <f>B102</f>
        <v>0</v>
      </c>
      <c r="D17" s="597"/>
      <c r="E17" s="597">
        <f>E102</f>
        <v>0</v>
      </c>
      <c r="F17" s="1062"/>
      <c r="G17" s="598"/>
      <c r="H17" s="596">
        <f>I102</f>
        <v>0</v>
      </c>
      <c r="I17" s="597">
        <f>G102+F102</f>
        <v>148.89705882352942</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126.5625</v>
      </c>
      <c r="C20" s="583">
        <f>SUM(C17:C19)</f>
        <v>0</v>
      </c>
      <c r="D20" s="583">
        <f t="shared" ref="D20:L20" si="1">SUM(D17:D19)</f>
        <v>0</v>
      </c>
      <c r="E20" s="583">
        <f t="shared" si="1"/>
        <v>0</v>
      </c>
      <c r="F20" s="583">
        <f t="shared" si="1"/>
        <v>0</v>
      </c>
      <c r="G20" s="583">
        <f t="shared" si="1"/>
        <v>0</v>
      </c>
      <c r="H20" s="583">
        <f t="shared" si="1"/>
        <v>0</v>
      </c>
      <c r="I20" s="583">
        <f t="shared" si="1"/>
        <v>148.89705882352942</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24109</v>
      </c>
      <c r="C28" s="797">
        <v>3128</v>
      </c>
      <c r="D28" s="654" t="s">
        <v>907</v>
      </c>
      <c r="E28" s="653" t="s">
        <v>908</v>
      </c>
      <c r="F28" s="653" t="s">
        <v>909</v>
      </c>
      <c r="G28" s="653" t="s">
        <v>910</v>
      </c>
      <c r="H28" s="653" t="s">
        <v>911</v>
      </c>
      <c r="I28" s="653" t="s">
        <v>912</v>
      </c>
      <c r="J28" s="796">
        <v>40026</v>
      </c>
      <c r="K28" s="796">
        <v>40118</v>
      </c>
      <c r="L28" s="653" t="s">
        <v>913</v>
      </c>
      <c r="M28" s="653">
        <v>25</v>
      </c>
      <c r="N28" s="653">
        <v>112.5</v>
      </c>
      <c r="O28" s="653">
        <v>126.5625</v>
      </c>
      <c r="P28" s="653">
        <v>0</v>
      </c>
      <c r="Q28" s="653">
        <v>0</v>
      </c>
      <c r="R28" s="653">
        <v>0</v>
      </c>
      <c r="S28" s="653">
        <v>0</v>
      </c>
      <c r="T28" s="653">
        <v>0</v>
      </c>
      <c r="U28" s="653">
        <v>281.25</v>
      </c>
      <c r="V28" s="653">
        <v>0</v>
      </c>
      <c r="W28" s="653">
        <v>0</v>
      </c>
      <c r="X28" s="653">
        <v>1600</v>
      </c>
      <c r="Y28" s="653" t="s">
        <v>50</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25</v>
      </c>
      <c r="N58" s="611">
        <f>SUM(N28:N57)</f>
        <v>112.5</v>
      </c>
      <c r="O58" s="611">
        <f t="shared" ref="O58:W58" si="2">SUM(O28:O57)</f>
        <v>126.5625</v>
      </c>
      <c r="P58" s="611">
        <f t="shared" si="2"/>
        <v>0</v>
      </c>
      <c r="Q58" s="611">
        <f t="shared" si="2"/>
        <v>0</v>
      </c>
      <c r="R58" s="611">
        <f t="shared" si="2"/>
        <v>0</v>
      </c>
      <c r="S58" s="611">
        <f t="shared" si="2"/>
        <v>0</v>
      </c>
      <c r="T58" s="611">
        <f t="shared" si="2"/>
        <v>0</v>
      </c>
      <c r="U58" s="611">
        <f t="shared" si="2"/>
        <v>281.25</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25</v>
      </c>
      <c r="N60" s="611">
        <f ca="1">SUMIF($Z$28:AD57,"tertiair",N28:N57)</f>
        <v>112.5</v>
      </c>
      <c r="O60" s="611">
        <f ca="1">SUMIF($Z$28:AE57,"tertiair",O28:O57)</f>
        <v>126.5625</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281.25</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0.52941176470588236</v>
      </c>
      <c r="C98" s="636">
        <f>IF(ISERROR(N58/(O58+N58)),0,N58/(N58+O58))</f>
        <v>0.47058823529411764</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132.35294117647058</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148.89705882352942</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28218.16631383296</v>
      </c>
      <c r="C4" s="478">
        <f>huishoudens!C8</f>
        <v>0</v>
      </c>
      <c r="D4" s="478">
        <f>huishoudens!D8</f>
        <v>25762.457608124703</v>
      </c>
      <c r="E4" s="478">
        <f>huishoudens!E8</f>
        <v>8689.6603103914204</v>
      </c>
      <c r="F4" s="478">
        <f>huishoudens!F8</f>
        <v>55616.026707295852</v>
      </c>
      <c r="G4" s="478">
        <f>huishoudens!G8</f>
        <v>0</v>
      </c>
      <c r="H4" s="478">
        <f>huishoudens!H8</f>
        <v>0</v>
      </c>
      <c r="I4" s="478">
        <f>huishoudens!I8</f>
        <v>0</v>
      </c>
      <c r="J4" s="478">
        <f>huishoudens!J8</f>
        <v>0</v>
      </c>
      <c r="K4" s="478">
        <f>huishoudens!K8</f>
        <v>0</v>
      </c>
      <c r="L4" s="478">
        <f>huishoudens!L8</f>
        <v>0</v>
      </c>
      <c r="M4" s="478">
        <f>huishoudens!M8</f>
        <v>0</v>
      </c>
      <c r="N4" s="478">
        <f>huishoudens!N8</f>
        <v>6003.1492129021526</v>
      </c>
      <c r="O4" s="478">
        <f>huishoudens!O8</f>
        <v>198.54333333333332</v>
      </c>
      <c r="P4" s="479">
        <f>huishoudens!P8</f>
        <v>514.79999999999995</v>
      </c>
      <c r="Q4" s="480">
        <f>SUM(B4:P4)</f>
        <v>125002.80348588043</v>
      </c>
    </row>
    <row r="5" spans="1:17">
      <c r="A5" s="477" t="s">
        <v>156</v>
      </c>
      <c r="B5" s="478">
        <f ca="1">tertiair!B16</f>
        <v>10670.205119999999</v>
      </c>
      <c r="C5" s="478">
        <f ca="1">tertiair!C16</f>
        <v>126.5625</v>
      </c>
      <c r="D5" s="478">
        <f ca="1">tertiair!D16</f>
        <v>9723.3942207337222</v>
      </c>
      <c r="E5" s="478">
        <f>tertiair!E16</f>
        <v>117.87896789707492</v>
      </c>
      <c r="F5" s="478">
        <f ca="1">tertiair!F16</f>
        <v>1536.3832902475247</v>
      </c>
      <c r="G5" s="478">
        <f>tertiair!G16</f>
        <v>0</v>
      </c>
      <c r="H5" s="478">
        <f>tertiair!H16</f>
        <v>0</v>
      </c>
      <c r="I5" s="478">
        <f>tertiair!I16</f>
        <v>0</v>
      </c>
      <c r="J5" s="478">
        <f>tertiair!J16</f>
        <v>0</v>
      </c>
      <c r="K5" s="478">
        <f>tertiair!K16</f>
        <v>0</v>
      </c>
      <c r="L5" s="478">
        <f ca="1">tertiair!L16</f>
        <v>0</v>
      </c>
      <c r="M5" s="478">
        <f>tertiair!M16</f>
        <v>0</v>
      </c>
      <c r="N5" s="478">
        <f ca="1">tertiair!N16</f>
        <v>619.92984601573505</v>
      </c>
      <c r="O5" s="478">
        <f>tertiair!O16</f>
        <v>0</v>
      </c>
      <c r="P5" s="479">
        <f>tertiair!P16</f>
        <v>19.066666666666666</v>
      </c>
      <c r="Q5" s="477">
        <f t="shared" ref="Q5:Q14" ca="1" si="0">SUM(B5:P5)</f>
        <v>22813.420611560723</v>
      </c>
    </row>
    <row r="6" spans="1:17">
      <c r="A6" s="477" t="s">
        <v>194</v>
      </c>
      <c r="B6" s="478">
        <f>'openbare verlichting'!B8</f>
        <v>967.36699999999996</v>
      </c>
      <c r="C6" s="478"/>
      <c r="D6" s="478"/>
      <c r="E6" s="478"/>
      <c r="F6" s="478"/>
      <c r="G6" s="478"/>
      <c r="H6" s="478"/>
      <c r="I6" s="478"/>
      <c r="J6" s="478"/>
      <c r="K6" s="478"/>
      <c r="L6" s="478"/>
      <c r="M6" s="478"/>
      <c r="N6" s="478"/>
      <c r="O6" s="478"/>
      <c r="P6" s="479"/>
      <c r="Q6" s="477">
        <f t="shared" si="0"/>
        <v>967.36699999999996</v>
      </c>
    </row>
    <row r="7" spans="1:17">
      <c r="A7" s="477" t="s">
        <v>112</v>
      </c>
      <c r="B7" s="478">
        <f>landbouw!B8</f>
        <v>1788.84</v>
      </c>
      <c r="C7" s="478">
        <f>landbouw!C8</f>
        <v>0</v>
      </c>
      <c r="D7" s="478">
        <f>landbouw!D8</f>
        <v>12.770523990937788</v>
      </c>
      <c r="E7" s="478">
        <f>landbouw!E8</f>
        <v>16.568985315063127</v>
      </c>
      <c r="F7" s="478">
        <f>landbouw!F8</f>
        <v>4538.6278536702912</v>
      </c>
      <c r="G7" s="478">
        <f>landbouw!G8</f>
        <v>0</v>
      </c>
      <c r="H7" s="478">
        <f>landbouw!H8</f>
        <v>0</v>
      </c>
      <c r="I7" s="478">
        <f>landbouw!I8</f>
        <v>0</v>
      </c>
      <c r="J7" s="478">
        <f>landbouw!J8</f>
        <v>274.24913551266542</v>
      </c>
      <c r="K7" s="478">
        <f>landbouw!K8</f>
        <v>0</v>
      </c>
      <c r="L7" s="478">
        <f>landbouw!L8</f>
        <v>0</v>
      </c>
      <c r="M7" s="478">
        <f>landbouw!M8</f>
        <v>0</v>
      </c>
      <c r="N7" s="478">
        <f>landbouw!N8</f>
        <v>0</v>
      </c>
      <c r="O7" s="478">
        <f>landbouw!O8</f>
        <v>0</v>
      </c>
      <c r="P7" s="479">
        <f>landbouw!P8</f>
        <v>0</v>
      </c>
      <c r="Q7" s="477">
        <f t="shared" si="0"/>
        <v>6631.0564984889579</v>
      </c>
    </row>
    <row r="8" spans="1:17">
      <c r="A8" s="477" t="s">
        <v>650</v>
      </c>
      <c r="B8" s="478">
        <f>industrie!B18</f>
        <v>1313.3837599999999</v>
      </c>
      <c r="C8" s="478">
        <f>industrie!C18</f>
        <v>0</v>
      </c>
      <c r="D8" s="478">
        <f>industrie!D18</f>
        <v>703.16227467461999</v>
      </c>
      <c r="E8" s="478">
        <f>industrie!E18</f>
        <v>226.17977327678094</v>
      </c>
      <c r="F8" s="478">
        <f>industrie!F18</f>
        <v>1422.9900639561949</v>
      </c>
      <c r="G8" s="478">
        <f>industrie!G18</f>
        <v>0</v>
      </c>
      <c r="H8" s="478">
        <f>industrie!H18</f>
        <v>0</v>
      </c>
      <c r="I8" s="478">
        <f>industrie!I18</f>
        <v>0</v>
      </c>
      <c r="J8" s="478">
        <f>industrie!J18</f>
        <v>10.230514041701186</v>
      </c>
      <c r="K8" s="478">
        <f>industrie!K18</f>
        <v>0</v>
      </c>
      <c r="L8" s="478">
        <f>industrie!L18</f>
        <v>0</v>
      </c>
      <c r="M8" s="478">
        <f>industrie!M18</f>
        <v>0</v>
      </c>
      <c r="N8" s="478">
        <f>industrie!N18</f>
        <v>490.16723789381069</v>
      </c>
      <c r="O8" s="478">
        <f>industrie!O18</f>
        <v>0</v>
      </c>
      <c r="P8" s="479">
        <f>industrie!P18</f>
        <v>0</v>
      </c>
      <c r="Q8" s="477">
        <f t="shared" si="0"/>
        <v>4166.1136238431081</v>
      </c>
    </row>
    <row r="9" spans="1:17" s="483" customFormat="1">
      <c r="A9" s="481" t="s">
        <v>571</v>
      </c>
      <c r="B9" s="482">
        <f>transport!B14</f>
        <v>5.4930642835542569</v>
      </c>
      <c r="C9" s="482">
        <f>transport!C14</f>
        <v>0</v>
      </c>
      <c r="D9" s="482">
        <f>transport!D14</f>
        <v>21.440994038677079</v>
      </c>
      <c r="E9" s="482">
        <f>transport!E14</f>
        <v>129.52047081353953</v>
      </c>
      <c r="F9" s="482">
        <f>transport!F14</f>
        <v>0</v>
      </c>
      <c r="G9" s="482">
        <f>transport!G14</f>
        <v>29763.073517752488</v>
      </c>
      <c r="H9" s="482">
        <f>transport!H14</f>
        <v>7923.4132853386627</v>
      </c>
      <c r="I9" s="482">
        <f>transport!I14</f>
        <v>0</v>
      </c>
      <c r="J9" s="482">
        <f>transport!J14</f>
        <v>0</v>
      </c>
      <c r="K9" s="482">
        <f>transport!K14</f>
        <v>0</v>
      </c>
      <c r="L9" s="482">
        <f>transport!L14</f>
        <v>0</v>
      </c>
      <c r="M9" s="482">
        <f>transport!M14</f>
        <v>1965.5741585976004</v>
      </c>
      <c r="N9" s="482">
        <f>transport!N14</f>
        <v>0</v>
      </c>
      <c r="O9" s="482">
        <f>transport!O14</f>
        <v>0</v>
      </c>
      <c r="P9" s="482">
        <f>transport!P14</f>
        <v>0</v>
      </c>
      <c r="Q9" s="481">
        <f>SUM(B9:P9)</f>
        <v>39808.515490824524</v>
      </c>
    </row>
    <row r="10" spans="1:17">
      <c r="A10" s="477" t="s">
        <v>561</v>
      </c>
      <c r="B10" s="478">
        <f>transport!B54</f>
        <v>0</v>
      </c>
      <c r="C10" s="478">
        <f>transport!C54</f>
        <v>0</v>
      </c>
      <c r="D10" s="478">
        <f>transport!D54</f>
        <v>0</v>
      </c>
      <c r="E10" s="478">
        <f>transport!E54</f>
        <v>0</v>
      </c>
      <c r="F10" s="478">
        <f>transport!F54</f>
        <v>0</v>
      </c>
      <c r="G10" s="478">
        <f>transport!G54</f>
        <v>812.2257114680167</v>
      </c>
      <c r="H10" s="478">
        <f>transport!H54</f>
        <v>0</v>
      </c>
      <c r="I10" s="478">
        <f>transport!I54</f>
        <v>0</v>
      </c>
      <c r="J10" s="478">
        <f>transport!J54</f>
        <v>0</v>
      </c>
      <c r="K10" s="478">
        <f>transport!K54</f>
        <v>0</v>
      </c>
      <c r="L10" s="478">
        <f>transport!L54</f>
        <v>0</v>
      </c>
      <c r="M10" s="478">
        <f>transport!M54</f>
        <v>46.318864559165952</v>
      </c>
      <c r="N10" s="478">
        <f>transport!N54</f>
        <v>0</v>
      </c>
      <c r="O10" s="478">
        <f>transport!O54</f>
        <v>0</v>
      </c>
      <c r="P10" s="479">
        <f>transport!P54</f>
        <v>0</v>
      </c>
      <c r="Q10" s="477">
        <f t="shared" si="0"/>
        <v>858.54457602718264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1048.3886</v>
      </c>
      <c r="C14" s="485"/>
      <c r="D14" s="485">
        <f>'SEAP template'!E25</f>
        <v>1293.4543057231199</v>
      </c>
      <c r="E14" s="485"/>
      <c r="F14" s="485"/>
      <c r="G14" s="485"/>
      <c r="H14" s="485"/>
      <c r="I14" s="485"/>
      <c r="J14" s="485"/>
      <c r="K14" s="485"/>
      <c r="L14" s="485"/>
      <c r="M14" s="485"/>
      <c r="N14" s="485"/>
      <c r="O14" s="485"/>
      <c r="P14" s="486"/>
      <c r="Q14" s="477">
        <f t="shared" si="0"/>
        <v>2341.8429057231197</v>
      </c>
    </row>
    <row r="15" spans="1:17" s="487" customFormat="1">
      <c r="A15" s="1051" t="s">
        <v>565</v>
      </c>
      <c r="B15" s="991">
        <f ca="1">SUM(B4:B14)</f>
        <v>44011.843858116503</v>
      </c>
      <c r="C15" s="991">
        <f t="shared" ref="C15:Q15" ca="1" si="1">SUM(C4:C14)</f>
        <v>126.5625</v>
      </c>
      <c r="D15" s="991">
        <f t="shared" ca="1" si="1"/>
        <v>37516.679927285782</v>
      </c>
      <c r="E15" s="991">
        <f t="shared" si="1"/>
        <v>9179.8085076938787</v>
      </c>
      <c r="F15" s="991">
        <f t="shared" ca="1" si="1"/>
        <v>63114.027915169863</v>
      </c>
      <c r="G15" s="991">
        <f t="shared" si="1"/>
        <v>30575.299229220505</v>
      </c>
      <c r="H15" s="991">
        <f t="shared" si="1"/>
        <v>7923.4132853386627</v>
      </c>
      <c r="I15" s="991">
        <f t="shared" si="1"/>
        <v>0</v>
      </c>
      <c r="J15" s="991">
        <f t="shared" si="1"/>
        <v>284.47964955436663</v>
      </c>
      <c r="K15" s="991">
        <f t="shared" si="1"/>
        <v>0</v>
      </c>
      <c r="L15" s="991">
        <f t="shared" ca="1" si="1"/>
        <v>0</v>
      </c>
      <c r="M15" s="991">
        <f t="shared" si="1"/>
        <v>2011.8930231567665</v>
      </c>
      <c r="N15" s="991">
        <f t="shared" ca="1" si="1"/>
        <v>7113.2462968116988</v>
      </c>
      <c r="O15" s="991">
        <f t="shared" si="1"/>
        <v>198.54333333333332</v>
      </c>
      <c r="P15" s="991">
        <f t="shared" si="1"/>
        <v>533.86666666666667</v>
      </c>
      <c r="Q15" s="991">
        <f t="shared" ca="1" si="1"/>
        <v>202589.66419234805</v>
      </c>
    </row>
    <row r="17" spans="1:17">
      <c r="A17" s="488" t="s">
        <v>566</v>
      </c>
      <c r="B17" s="787">
        <f ca="1">huishoudens!B10</f>
        <v>0.20038732653342031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5654.5629073044065</v>
      </c>
      <c r="C22" s="478">
        <f t="shared" ref="C22:C32" ca="1" si="3">C4*$C$17</f>
        <v>0</v>
      </c>
      <c r="D22" s="478">
        <f t="shared" ref="D22:D32" si="4">D4*$D$17</f>
        <v>5204.0164368411906</v>
      </c>
      <c r="E22" s="478">
        <f t="shared" ref="E22:E32" si="5">E4*$E$17</f>
        <v>1972.5528904588525</v>
      </c>
      <c r="F22" s="478">
        <f t="shared" ref="F22:F32" si="6">F4*$F$17</f>
        <v>14849.479130847993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27680.611365452442</v>
      </c>
    </row>
    <row r="23" spans="1:17">
      <c r="A23" s="477" t="s">
        <v>156</v>
      </c>
      <c r="B23" s="478">
        <f t="shared" ca="1" si="2"/>
        <v>2138.1738775600129</v>
      </c>
      <c r="C23" s="478">
        <f t="shared" ca="1" si="3"/>
        <v>0</v>
      </c>
      <c r="D23" s="478">
        <f t="shared" ca="1" si="4"/>
        <v>1964.1256325882121</v>
      </c>
      <c r="E23" s="478">
        <f t="shared" si="5"/>
        <v>26.758525712636008</v>
      </c>
      <c r="F23" s="478">
        <f t="shared" ca="1" si="6"/>
        <v>410.21433849608911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4539.2723743569495</v>
      </c>
    </row>
    <row r="24" spans="1:17">
      <c r="A24" s="477" t="s">
        <v>194</v>
      </c>
      <c r="B24" s="478">
        <f t="shared" ca="1" si="2"/>
        <v>193.8480869066552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193.8480869066552</v>
      </c>
    </row>
    <row r="25" spans="1:17">
      <c r="A25" s="477" t="s">
        <v>112</v>
      </c>
      <c r="B25" s="478">
        <f t="shared" ca="1" si="2"/>
        <v>358.46086519604359</v>
      </c>
      <c r="C25" s="478">
        <f t="shared" ca="1" si="3"/>
        <v>0</v>
      </c>
      <c r="D25" s="478">
        <f t="shared" si="4"/>
        <v>2.5796458461694334</v>
      </c>
      <c r="E25" s="478">
        <f t="shared" si="5"/>
        <v>3.7611596665193301</v>
      </c>
      <c r="F25" s="478">
        <f t="shared" si="6"/>
        <v>1211.8136369299677</v>
      </c>
      <c r="G25" s="478">
        <f t="shared" si="7"/>
        <v>0</v>
      </c>
      <c r="H25" s="478">
        <f t="shared" si="8"/>
        <v>0</v>
      </c>
      <c r="I25" s="478">
        <f t="shared" si="9"/>
        <v>0</v>
      </c>
      <c r="J25" s="478">
        <f t="shared" si="10"/>
        <v>97.084193971483558</v>
      </c>
      <c r="K25" s="478">
        <f t="shared" si="11"/>
        <v>0</v>
      </c>
      <c r="L25" s="478">
        <f t="shared" si="12"/>
        <v>0</v>
      </c>
      <c r="M25" s="478">
        <f t="shared" si="13"/>
        <v>0</v>
      </c>
      <c r="N25" s="478">
        <f t="shared" si="14"/>
        <v>0</v>
      </c>
      <c r="O25" s="478">
        <f t="shared" si="15"/>
        <v>0</v>
      </c>
      <c r="P25" s="479">
        <f t="shared" si="16"/>
        <v>0</v>
      </c>
      <c r="Q25" s="477">
        <f t="shared" ca="1" si="17"/>
        <v>1673.6995016101837</v>
      </c>
    </row>
    <row r="26" spans="1:17">
      <c r="A26" s="477" t="s">
        <v>650</v>
      </c>
      <c r="B26" s="478">
        <f t="shared" ca="1" si="2"/>
        <v>263.18546037881134</v>
      </c>
      <c r="C26" s="478">
        <f t="shared" ca="1" si="3"/>
        <v>0</v>
      </c>
      <c r="D26" s="478">
        <f t="shared" si="4"/>
        <v>142.03877948427325</v>
      </c>
      <c r="E26" s="478">
        <f t="shared" si="5"/>
        <v>51.342808533829277</v>
      </c>
      <c r="F26" s="478">
        <f t="shared" si="6"/>
        <v>379.93834707630407</v>
      </c>
      <c r="G26" s="478">
        <f t="shared" si="7"/>
        <v>0</v>
      </c>
      <c r="H26" s="478">
        <f t="shared" si="8"/>
        <v>0</v>
      </c>
      <c r="I26" s="478">
        <f t="shared" si="9"/>
        <v>0</v>
      </c>
      <c r="J26" s="478">
        <f t="shared" si="10"/>
        <v>3.6216019707622196</v>
      </c>
      <c r="K26" s="478">
        <f t="shared" si="11"/>
        <v>0</v>
      </c>
      <c r="L26" s="478">
        <f t="shared" si="12"/>
        <v>0</v>
      </c>
      <c r="M26" s="478">
        <f t="shared" si="13"/>
        <v>0</v>
      </c>
      <c r="N26" s="478">
        <f t="shared" si="14"/>
        <v>0</v>
      </c>
      <c r="O26" s="478">
        <f t="shared" si="15"/>
        <v>0</v>
      </c>
      <c r="P26" s="479">
        <f t="shared" si="16"/>
        <v>0</v>
      </c>
      <c r="Q26" s="477">
        <f t="shared" ca="1" si="17"/>
        <v>840.12699744398014</v>
      </c>
    </row>
    <row r="27" spans="1:17" s="483" customFormat="1">
      <c r="A27" s="481" t="s">
        <v>571</v>
      </c>
      <c r="B27" s="781">
        <f t="shared" ca="1" si="2"/>
        <v>1.1007404662576554</v>
      </c>
      <c r="C27" s="482">
        <f t="shared" ca="1" si="3"/>
        <v>0</v>
      </c>
      <c r="D27" s="482">
        <f t="shared" si="4"/>
        <v>4.3310807958127704</v>
      </c>
      <c r="E27" s="482">
        <f t="shared" si="5"/>
        <v>29.401146874673476</v>
      </c>
      <c r="F27" s="482">
        <f t="shared" si="6"/>
        <v>0</v>
      </c>
      <c r="G27" s="482">
        <f t="shared" si="7"/>
        <v>7946.7406292399146</v>
      </c>
      <c r="H27" s="482">
        <f t="shared" si="8"/>
        <v>1972.929908049327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9954.5035054259861</v>
      </c>
    </row>
    <row r="28" spans="1:17">
      <c r="A28" s="477" t="s">
        <v>561</v>
      </c>
      <c r="B28" s="478">
        <f t="shared" ca="1" si="2"/>
        <v>0</v>
      </c>
      <c r="C28" s="478">
        <f t="shared" ca="1" si="3"/>
        <v>0</v>
      </c>
      <c r="D28" s="478">
        <f t="shared" si="4"/>
        <v>0</v>
      </c>
      <c r="E28" s="478">
        <f t="shared" si="5"/>
        <v>0</v>
      </c>
      <c r="F28" s="478">
        <f t="shared" si="6"/>
        <v>0</v>
      </c>
      <c r="G28" s="478">
        <f t="shared" si="7"/>
        <v>216.86426496196046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216.86426496196046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210.08378872211537</v>
      </c>
      <c r="C32" s="478">
        <f t="shared" ca="1" si="3"/>
        <v>0</v>
      </c>
      <c r="D32" s="478">
        <f t="shared" si="4"/>
        <v>261.27776975607026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471.36155847818566</v>
      </c>
    </row>
    <row r="33" spans="1:17" s="487" customFormat="1">
      <c r="A33" s="1051" t="s">
        <v>565</v>
      </c>
      <c r="B33" s="991">
        <f ca="1">SUM(B22:B32)</f>
        <v>8819.4157265343019</v>
      </c>
      <c r="C33" s="991">
        <f t="shared" ref="C33:Q33" ca="1" si="18">SUM(C22:C32)</f>
        <v>0</v>
      </c>
      <c r="D33" s="991">
        <f t="shared" ca="1" si="18"/>
        <v>7578.3693453117285</v>
      </c>
      <c r="E33" s="991">
        <f t="shared" si="18"/>
        <v>2083.8165312465103</v>
      </c>
      <c r="F33" s="991">
        <f t="shared" ca="1" si="18"/>
        <v>16851.445453350352</v>
      </c>
      <c r="G33" s="991">
        <f t="shared" si="18"/>
        <v>8163.6048942018751</v>
      </c>
      <c r="H33" s="991">
        <f t="shared" si="18"/>
        <v>1972.929908049327</v>
      </c>
      <c r="I33" s="991">
        <f t="shared" si="18"/>
        <v>0</v>
      </c>
      <c r="J33" s="991">
        <f t="shared" si="18"/>
        <v>100.70579594224577</v>
      </c>
      <c r="K33" s="991">
        <f t="shared" si="18"/>
        <v>0</v>
      </c>
      <c r="L33" s="991">
        <f t="shared" ca="1" si="18"/>
        <v>0</v>
      </c>
      <c r="M33" s="991">
        <f t="shared" si="18"/>
        <v>0</v>
      </c>
      <c r="N33" s="991">
        <f t="shared" ca="1" si="18"/>
        <v>0</v>
      </c>
      <c r="O33" s="991">
        <f t="shared" si="18"/>
        <v>0</v>
      </c>
      <c r="P33" s="991">
        <f t="shared" si="18"/>
        <v>0</v>
      </c>
      <c r="Q33" s="991">
        <f t="shared" ca="1" si="18"/>
        <v>45570.28765463634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3992.4853670110724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112.5</v>
      </c>
      <c r="C8" s="1068">
        <f>'SEAP template'!C76</f>
        <v>0</v>
      </c>
      <c r="D8" s="1068">
        <f>'SEAP template'!D76</f>
        <v>0</v>
      </c>
      <c r="E8" s="1068">
        <f>'SEAP template'!E76</f>
        <v>0</v>
      </c>
      <c r="F8" s="1068">
        <f>'SEAP template'!F76</f>
        <v>0</v>
      </c>
      <c r="G8" s="1068">
        <f>'SEAP template'!G76</f>
        <v>0</v>
      </c>
      <c r="H8" s="1068">
        <f>'SEAP template'!H76</f>
        <v>0</v>
      </c>
      <c r="I8" s="1068">
        <f>'SEAP template'!I76</f>
        <v>132.35294117647058</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4104.9853670110724</v>
      </c>
      <c r="C10" s="1072">
        <f>SUM(C4:C9)</f>
        <v>0</v>
      </c>
      <c r="D10" s="1072">
        <f t="shared" ref="D10:H10" si="0">SUM(D8:D9)</f>
        <v>0</v>
      </c>
      <c r="E10" s="1072">
        <f t="shared" si="0"/>
        <v>0</v>
      </c>
      <c r="F10" s="1072">
        <f t="shared" si="0"/>
        <v>0</v>
      </c>
      <c r="G10" s="1072">
        <f t="shared" si="0"/>
        <v>0</v>
      </c>
      <c r="H10" s="1072">
        <f t="shared" si="0"/>
        <v>0</v>
      </c>
      <c r="I10" s="1072">
        <f>SUM(I8:I9)</f>
        <v>132.35294117647058</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0.20038732653342031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126.5625</v>
      </c>
      <c r="C17" s="1074">
        <f>'SEAP template'!C87</f>
        <v>0</v>
      </c>
      <c r="D17" s="1069">
        <f>'SEAP template'!D87</f>
        <v>0</v>
      </c>
      <c r="E17" s="1069">
        <f>'SEAP template'!E87</f>
        <v>0</v>
      </c>
      <c r="F17" s="1069">
        <f>'SEAP template'!F87</f>
        <v>0</v>
      </c>
      <c r="G17" s="1069">
        <f>'SEAP template'!G87</f>
        <v>0</v>
      </c>
      <c r="H17" s="1069">
        <f>'SEAP template'!H87</f>
        <v>0</v>
      </c>
      <c r="I17" s="1069">
        <f>'SEAP template'!I87</f>
        <v>148.89705882352942</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126.5625</v>
      </c>
      <c r="C20" s="1072">
        <f>SUM(C17:C19)</f>
        <v>0</v>
      </c>
      <c r="D20" s="1072">
        <f t="shared" ref="D20:H20" si="2">SUM(D17:D19)</f>
        <v>0</v>
      </c>
      <c r="E20" s="1072">
        <f t="shared" si="2"/>
        <v>0</v>
      </c>
      <c r="F20" s="1072">
        <f t="shared" si="2"/>
        <v>0</v>
      </c>
      <c r="G20" s="1072">
        <f t="shared" si="2"/>
        <v>0</v>
      </c>
      <c r="H20" s="1072">
        <f t="shared" si="2"/>
        <v>0</v>
      </c>
      <c r="I20" s="1072">
        <f>SUM(I17:I19)</f>
        <v>148.89705882352942</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0.20038732653342031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2019-08-12T08:08:10Z</dcterms:modified>
</cp:coreProperties>
</file>