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<sst xmlns="http://schemas.openxmlformats.org/spreadsheetml/2006/main" count="2428" uniqueCount="913">
  <si>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</si>
  <si>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</si>
  <si>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</si>
  <si>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</si>
  <si>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</si>
  <si>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</si>
  <si>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</si>
  <si>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</si>
  <si>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</si>
  <si>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</si>
  <si>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</si>
  <si>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</si>
  <si>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</si>
  <si>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</si>
  <si>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</si>
  <si>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</si>
  <si>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</si>
  <si>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</si>
  <si>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</si>
  <si>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</si>
  <si>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</si>
  <si>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</si>
  <si>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</si>
  <si>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</si>
  <si>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</si>
  <si>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</si>
  <si>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</si>
  <si>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</si>
  <si>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</si>
  <si>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</si>
  <si>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</si>
  <si>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</si>
  <si>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</si>
  <si>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</si>
  <si>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</si>
  <si>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</si>
  <si>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</si>
  <si>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</si>
  <si>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</si>
  <si>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</si>
  <si>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</si>
  <si>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</si>
  <si>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</si>
  <si>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</si>
  <si>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</si>
  <si>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</si>
  <si>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</si>
  <si>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</si>
  <si>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</si>
  <si>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</si>
  <si>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</si>
  <si>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</si>
  <si>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</si>
  <si>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</si>
  <si>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</si>
  <si>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</si>
  <si>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</si>
  <si>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</si>
  <si>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</si>
  <si>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</si>
  <si>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</si>
  <si>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</si>
  <si>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</si>
  <si>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</si>
  <si>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</si>
  <si>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</si>
  <si>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</si>
  <si>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</si>
  <si>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</si>
  <si>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</si>
  <si>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</si>
  <si>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</si>
  <si>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</si>
  <si>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</si>
  <si>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</si>
  <si>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</si>
  <si>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</si>
  <si>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</si>
  <si>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</si>
  <si>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</si>
  <si>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</si>
  <si>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</si>
  <si>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</si>
  <si>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</si>
  <si>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</si>
  <si>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</si>
  <si>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</si>
  <si>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</si>
  <si>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</si>
  <si>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</si>
  <si>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</si>
  <si>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</si>
  <si>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</si>
  <si>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</si>
  <si>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</si>
  <si>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</si>
  <si>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</si>
  <si>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</si>
  <si>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</si>
  <si>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</si>
  <si>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</si>
  <si>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</si>
  <si>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</si>
  <si>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</si>
  <si>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</si>
  <si>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</si>
  <si>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</si>
  <si>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</si>
  <si>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</si>
  <si>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</si>
  <si>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</si>
  <si>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</si>
  <si>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</si>
  <si>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</si>
  <si>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</si>
  <si>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</si>
  <si>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</si>
  <si>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</si>
  <si>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</si>
  <si>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</si>
  <si>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</si>
  <si>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</si>
  <si>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</si>
  <si>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</si>
  <si>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</si>
  <si>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</si>
  <si>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</si>
  <si>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</si>
  <si>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</si>
  <si>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</si>
  <si>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</si>
  <si>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</si>
  <si>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</si>
  <si>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</si>
  <si>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</si>
  <si>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</si>
  <si>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</si>
  <si>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</si>
  <si>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</si>
  <si>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</si>
  <si>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</si>
  <si>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</si>
  <si>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</si>
  <si>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</si>
  <si>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</si>
  <si>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</si>
  <si>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</si>
  <si>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</si>
  <si>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</si>
  <si>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</si>
  <si>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</si>
  <si>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</si>
  <si>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</si>
  <si>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</si>
  <si>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</si>
  <si>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</si>
  <si>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</si>
  <si>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</si>
  <si>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</si>
  <si>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</si>
  <si>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</si>
  <si>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</si>
  <si>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</si>
  <si>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</si>
  <si>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</si>
  <si>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</si>
  <si>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</si>
  <si>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</si>
  <si>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</si>
  <si>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</si>
  <si>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</si>
  <si>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</si>
  <si>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</si>
  <si>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</si>
  <si>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</si>
  <si>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</si>
  <si>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</si>
  <si>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</si>
  <si>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</si>
  <si>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</si>
  <si>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</si>
  <si>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</si>
  <si>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</si>
  <si>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</si>
  <si>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</si>
  <si>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</si>
  <si>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</si>
  <si>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</si>
  <si>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</si>
  <si>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</si>
  <si>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</si>
  <si>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</si>
  <si>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</si>
  <si>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</si>
  <si>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</si>
  <si>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</si>
  <si>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</si>
  <si>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</si>
  <si>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</si>
  <si>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</si>
  <si>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</si>
  <si>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</si>
  <si>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</si>
  <si>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</si>
  <si>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</si>
  <si>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</si>
  <si>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</si>
  <si>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</si>
  <si>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</si>
  <si>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</si>
  <si>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</si>
  <si>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</si>
  <si>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</si>
  <si>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</si>
  <si>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</si>
  <si>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</si>
  <si>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</si>
  <si>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</si>
  <si>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</si>
  <si>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</si>
  <si>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</si>
  <si>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</si>
  <si>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</si>
  <si>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</si>
  <si>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</si>
  <si>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</si>
  <si>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</si>
  <si>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</si>
  <si>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</si>
  <si>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</si>
  <si>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</si>
  <si>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</si>
  <si>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</si>
  <si>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</si>
  <si>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</si>
  <si>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</si>
  <si>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</si>
  <si>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</si>
  <si>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</si>
  <si>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</si>
  <si>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</si>
  <si>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</si>
  <si>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</si>
  <si>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</si>
  <si>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</si>
  <si>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</si>
  <si>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</si>
  <si>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</si>
  <si>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</si>
  <si>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</si>
  <si>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</si>
  <si>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</si>
  <si>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</si>
  <si>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</si>
  <si>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</si>
  <si>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</si>
  <si>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</si>
  <si>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</si>
  <si>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</si>
  <si>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</si>
  <si>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</si>
  <si>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</si>
  <si>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</si>
  <si>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</si>
  <si>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</si>
  <si>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</si>
  <si>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</si>
  <si>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</si>
  <si>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</si>
  <si>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</si>
  <si>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</si>
  <si>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</si>
  <si>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</si>
  <si>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</si>
  <si>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</si>
  <si>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</si>
  <si>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</si>
  <si>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</si>
  <si>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</si>
  <si>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</si>
  <si>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</si>
  <si>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</si>
  <si>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</si>
  <si>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</si>
  <si>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</si>
  <si>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</si>
  <si>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</si>
  <si>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</si>
  <si>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</si>
  <si>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</si>
  <si>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</si>
  <si>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</si>
  <si>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</si>
  <si>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</si>
  <si>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</si>
  <si>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</si>
  <si>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</si>
  <si>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</si>
  <si>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</si>
  <si>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</si>
  <si>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</si>
  <si>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</si>
  <si>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</si>
  <si>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</si>
  <si>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</si>
  <si>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</si>
  <si>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</si>
  <si>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</si>
  <si>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</si>
  <si>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</si>
  <si>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</si>
  <si>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</si>
  <si>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</si>
  <si>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</si>
  <si>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</si>
  <si>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</si>
  <si>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</si>
  <si>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</si>
  <si>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</si>
  <si>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</si>
  <si>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</si>
  <si>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</si>
  <si>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</si>
  <si>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</si>
  <si>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</si>
  <si>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</si>
  <si>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</si>
  <si>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</si>
  <si>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</si>
  <si>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</si>
  <si>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</si>
  <si>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</si>
  <si>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</si>
  <si>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</si>
  <si>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</si>
  <si>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</si>
  <si>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</si>
  <si>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</si>
  <si>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</si>
  <si>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</si>
  <si>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</si>
  <si>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</si>
  <si>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</si>
  <si>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</si>
  <si>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</si>
  <si>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</si>
  <si>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</si>
  <si>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</si>
  <si>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</si>
  <si>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</si>
  <si>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</si>
  <si>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</si>
  <si>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</si>
  <si>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</si>
  <si>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</si>
  <si>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</si>
  <si>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</si>
  <si>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</si>
  <si>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</si>
  <si>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</si>
  <si>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</si>
  <si>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</si>
  <si>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</si>
  <si>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</si>
  <si>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</si>
  <si>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</si>
  <si>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</si>
  <si>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</si>
  <si>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</si>
  <si>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</si>
  <si>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</si>
  <si>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</si>
  <si>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</si>
  <si>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</si>
  <si>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</si>
  <si>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</si>
  <si>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</si>
  <si>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</si>
  <si>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</si>
  <si>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</si>
  <si>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</si>
  <si>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</si>
  <si>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</si>
  <si>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</si>
  <si>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</si>
  <si>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</si>
  <si>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</si>
  <si>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</si>
  <si>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</si>
  <si>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</si>
  <si>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</si>
  <si>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</si>
  <si>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</si>
  <si>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</si>
  <si>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</si>
  <si>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</si>
  <si>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</si>
  <si>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</si>
  <si>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</si>
  <si>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</si>
  <si>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</si>
  <si>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</si>
  <si>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</si>
  <si>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</si>
  <si>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</si>
  <si>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</si>
  <si>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</si>
  <si>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</si>
  <si>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</si>
  <si>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</si>
  <si>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</si>
  <si>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</si>
  <si>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</si>
  <si>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</si>
  <si>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</si>
  <si>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</si>
  <si>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</si>
  <si>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</si>
  <si>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</si>
  <si>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</si>
  <si>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</si>
  <si>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</si>
  <si>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</si>
  <si>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</si>
  <si>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</si>
  <si>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</si>
  <si>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</si>
  <si>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</si>
  <si>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</si>
  <si>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</si>
  <si>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</si>
  <si>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</si>
  <si>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</si>
  <si>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</si>
  <si>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</si>
  <si>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</si>
  <si>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</si>
  <si>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</si>
  <si>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</si>
  <si>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</si>
  <si>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</si>
  <si>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</si>
  <si>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</si>
  <si>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</si>
  <si>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</si>
  <si>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</si>
  <si>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</si>
  <si>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</si>
  <si>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</si>
  <si>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</si>
  <si>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</si>
  <si>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</si>
  <si>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</si>
  <si>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</si>
  <si>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</si>
  <si>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</si>
  <si>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</si>
  <si>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</si>
  <si>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</si>
  <si>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</si>
  <si>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</si>
  <si>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</si>
  <si>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</si>
  <si>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</si>
  <si>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</si>
  <si>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</si>
  <si>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</si>
  <si>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</si>
  <si>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</si>
  <si>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</si>
  <si>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</si>
  <si>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</si>
  <si>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</si>
  <si>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</si>
  <si>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</si>
  <si>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</si>
  <si>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</si>
  <si>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</si>
  <si>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</si>
  <si>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</si>
  <si>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</si>
  <si>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</si>
  <si>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</si>
  <si>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</si>
  <si>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</si>
  <si>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</si>
  <si>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</si>
  <si>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</si>
  <si>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</si>
  <si>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</si>
  <si>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</si>
  <si>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</si>
  <si>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</si>
  <si>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</si>
  <si>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</si>
  <si>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</si>
  <si>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</si>
  <si>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</si>
  <si>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</si>
  <si>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</si>
  <si>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</si>
  <si>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</si>
  <si>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</si>
  <si>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</si>
  <si>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</si>
  <si>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</si>
  <si>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</si>
  <si>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</si>
  <si>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</si>
  <si>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</si>
  <si>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</si>
  <si>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</si>
  <si>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</si>
  <si>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</si>
  <si>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</si>
  <si>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</si>
  <si>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</si>
  <si>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</si>
  <si>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</si>
  <si>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</si>
  <si>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</si>
  <si>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</si>
  <si>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</si>
  <si>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</si>
  <si>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</si>
  <si>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</si>
  <si>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</si>
  <si>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</si>
  <si>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</si>
  <si>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</si>
  <si>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</si>
  <si>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</si>
  <si>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</si>
  <si>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</si>
  <si>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</si>
  <si>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</si>
  <si>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</si>
  <si>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</si>
  <si>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</si>
  <si>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</si>
  <si>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</si>
  <si>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</si>
  <si>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</si>
  <si>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</si>
  <si>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</si>
  <si>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</si>
  <si>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</si>
  <si>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</si>
  <si>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</si>
  <si>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</si>
  <si>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</si>
  <si>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</si>
  <si>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</si>
  <si>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</si>
  <si>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</si>
  <si>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</si>
  <si>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</si>
  <si>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</si>
  <si>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</si>
  <si>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</si>
  <si>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</si>
  <si>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</si>
  <si>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</si>
  <si>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</si>
  <si>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</si>
  <si>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</si>
  <si>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</si>
  <si>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</si>
  <si>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</si>
  <si>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</si>
  <si>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</si>
  <si>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</si>
  <si>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</si>
  <si>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</si>
  <si>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</si>
  <si>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</si>
  <si>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</si>
  <si>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</si>
  <si>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</si>
  <si>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</si>
  <si>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</si>
  <si>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</si>
  <si>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</si>
  <si>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</si>
  <si>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</si>
  <si>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</si>
  <si>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</si>
  <si>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</si>
  <si>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</si>
  <si>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</si>
  <si>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</si>
  <si>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</si>
  <si>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</si>
  <si>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</si>
  <si>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</si>
  <si>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</si>
  <si>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</si>
  <si>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</si>
  <si>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</si>
  <si>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</si>
  <si>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</si>
  <si>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</si>
  <si>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</si>
  <si>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</si>
  <si>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</si>
  <si>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</si>
  <si>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</si>
  <si>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</si>
  <si>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</si>
  <si>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</si>
  <si>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</si>
  <si>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</si>
  <si>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</si>
  <si>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</si>
  <si>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</si>
  <si>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</si>
  <si>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</si>
  <si>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</si>
  <si>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</si>
  <si>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</si>
  <si>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</si>
  <si>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</si>
  <si>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</si>
  <si>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</si>
  <si>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</si>
  <si>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</si>
  <si>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</si>
  <si>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</si>
  <si>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</si>
  <si>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</si>
  <si>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</si>
  <si>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</si>
  <si>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</si>
  <si>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</si>
  <si>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</si>
  <si>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</si>
  <si>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</si>
  <si>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</si>
  <si>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</si>
  <si>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</si>
  <si>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</si>
  <si>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</si>
  <si>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</si>
  <si>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</si>
  <si>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</si>
  <si>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</si>
  <si>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</si>
  <si>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</si>
  <si>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</si>
  <si>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</si>
  <si>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</si>
  <si>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</si>
  <si>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</si>
  <si>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</si>
  <si>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</si>
  <si>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</si>
  <si>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</si>
  <si>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</si>
  <si>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</si>
  <si>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</si>
  <si>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</si>
  <si>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</si>
  <si>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</si>
  <si>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</si>
  <si>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</si>
  <si>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</si>
  <si>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</si>
  <si>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</si>
  <si>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</si>
  <si>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</si>
  <si>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</si>
  <si>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</si>
  <si>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</si>
  <si>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</si>
  <si>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</si>
  <si>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</si>
  <si>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</si>
  <si>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</si>
  <si>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</si>
  <si>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</si>
  <si>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</si>
  <si>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</si>
  <si>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</si>
  <si>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</si>
  <si>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</si>
  <si>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</si>
  <si>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</si>
  <si>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</si>
  <si>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</si>
  <si>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</si>
  <si>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</si>
  <si>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</si>
  <si>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</si>
  <si>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</si>
  <si>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</si>
  <si>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</si>
  <si>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</si>
  <si>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</si>
  <si>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</si>
  <si>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</si>
  <si>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</si>
  <si>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</si>
  <si>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</si>
  <si>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</si>
  <si>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</si>
  <si>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</si>
  <si>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</si>
  <si>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</si>
  <si>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</si>
  <si>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</si>
  <si>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</si>
  <si>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</si>
  <si>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</si>
  <si>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</si>
  <si>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</si>
  <si>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</si>
  <si>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</si>
  <si>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</si>
  <si>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</si>
  <si>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</si>
  <si>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</si>
  <si>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</si>
  <si>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</si>
  <si>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</si>
  <si>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</si>
  <si>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</si>
  <si>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</si>
  <si>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</si>
  <si>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</si>
  <si>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</si>
  <si>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</si>
  <si>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</si>
  <si>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</si>
  <si>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</si>
  <si>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</si>
  <si>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</si>
  <si>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</si>
  <si>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</si>
  <si>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</si>
  <si>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</si>
  <si>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</si>
  <si>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</si>
  <si>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</si>
  <si>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</si>
  <si>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</si>
  <si>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</si>
  <si>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</si>
  <si>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</si>
  <si>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</si>
  <si>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</si>
  <si>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</si>
  <si>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</si>
  <si>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</si>
  <si>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</si>
  <si>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</si>
  <si>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</si>
  <si>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</si>
  <si>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</si>
  <si>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</si>
  <si>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</si>
  <si>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</si>
  <si>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</si>
  <si>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</si>
  <si>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</si>
  <si>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</si>
  <si>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</si>
  <si>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</si>
  <si>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</si>
  <si>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</si>
  <si>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</si>
  <si>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</si>
  <si>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</si>
  <si>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</si>
  <si>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</si>
  <si>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</si>
  <si>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</si>
  <si>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</si>
  <si>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</si>
  <si>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</si>
  <si>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</si>
  <si>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</si>
  <si>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</si>
  <si>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</si>
  <si>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</si>
  <si>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</si>
  <si>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</si>
  <si>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</si>
  <si>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</si>
  <si>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</si>
  <si>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</si>
  <si>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</si>
  <si>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</si>
  <si>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</si>
  <si>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</si>
  <si>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</si>
  <si>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</si>
  <si>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</si>
  <si>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</si>
  <si>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</si>
  <si>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</si>
  <si>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</si>
  <si>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</si>
  <si>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</si>
  <si>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</si>
  <si>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</si>
  <si>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</si>
  <si>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</si>
  <si>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</si>
  <si>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</si>
  <si>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</si>
  <si>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</si>
  <si>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</si>
  <si>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</si>
  <si>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</si>
  <si>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</si>
  <si>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</si>
  <si>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</si>
  <si>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</si>
  <si>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</si>
  <si>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</si>
  <si>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</si>
  <si>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</si>
  <si>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</si>
  <si>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</si>
  <si>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</si>
  <si>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</si>
  <si>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</si>
  <si>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</si>
  <si>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</si>
  <si>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</si>
  <si>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</si>
  <si>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</si>
  <si>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</si>
  <si>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</si>
  <si>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</si>
  <si>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</si>
  <si>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</si>
  <si>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</si>
  <si>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</si>
  <si>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</si>
  <si>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</si>
  <si>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</si>
  <si>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</si>
  <si>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</si>
  <si>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</si>
  <si>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</si>
  <si>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</si>
  <si>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</si>
  <si>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</si>
  <si>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</si>
  <si>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</si>
  <si>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</si>
  <si>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</si>
  <si>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</si>
  <si>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</si>
  <si>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</si>
  <si>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</si>
  <si>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</si>
  <si>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</si>
  <si>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</si>
  <si>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</si>
  <si>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</si>
  <si>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</si>
  <si>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</si>
  <si>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</si>
  <si>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</si>
  <si>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</si>
  <si>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</si>
  <si>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</si>
  <si>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</si>
  <si>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</si>
  <si>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</si>
  <si>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</si>
  <si>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</si>
  <si>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</si>
  <si>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</si>
  <si>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</si>
  <si>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</si>
  <si>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</si>
  <si>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</si>
  <si>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</si>
  <si>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</si>
  <si>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</si>
  <si>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</si>
  <si>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</si>
  <si>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</si>
  <si>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</si>
  <si>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</si>
  <si>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</si>
  <si>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</si>
  <si>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</si>
  <si>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</si>
  <si>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</si>
  <si>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</si>
  <si>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</si>
  <si>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</si>
  <si>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</si>
  <si>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</si>
  <si>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</si>
  <si>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24094</t>
  </si>
  <si>
    <t>ROTSELAAR</t>
  </si>
  <si>
    <t>Paarden&amp;pony's 200 - 600 kg</t>
  </si>
  <si>
    <t>Paarden&amp;pony's &lt; 200 kg</t>
  </si>
  <si>
    <t>referentietaak LNE (2017); Jaarverslag De Lijn (2014)</t>
  </si>
  <si>
    <t>op basis van VEA (maart 2018) en Inventaris Hernieuwbare Energiebronnen (juni 2018)</t>
  </si>
  <si>
    <t>VEA (maart 2016)</t>
  </si>
  <si>
    <t>VEA (juni 2018)</t>
  </si>
  <si>
    <t>Ward Janssen</t>
  </si>
  <si>
    <t>Guldentop 23, 3118 Werchter</t>
  </si>
  <si>
    <t>WKK-0038 Ward Janssen</t>
  </si>
  <si>
    <t>interne verbrandingsmotor</t>
  </si>
  <si>
    <t>WKK interne verbrandinsgmotor (vloeibaar)</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</si>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</sst>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136244.4044969136</c:v>
                </c:pt>
                <c:pt idx="1">
                  <c:v>31497.214182545358</c:v>
                </c:pt>
                <c:pt idx="2">
                  <c:v>906.74099999999999</c:v>
                </c:pt>
                <c:pt idx="3">
                  <c:v>2213.8903430521887</c:v>
                </c:pt>
                <c:pt idx="4">
                  <c:v>87780.994255571743</c:v>
                </c:pt>
                <c:pt idx="5">
                  <c:v>169718.99727016277</c:v>
                </c:pt>
                <c:pt idx="6">
                  <c:v>1739.2226707718507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136244.4044969136</c:v>
                </c:pt>
                <c:pt idx="1">
                  <c:v>31497.214182545358</c:v>
                </c:pt>
                <c:pt idx="2">
                  <c:v>906.74099999999999</c:v>
                </c:pt>
                <c:pt idx="3">
                  <c:v>2213.8903430521887</c:v>
                </c:pt>
                <c:pt idx="4">
                  <c:v>87780.994255571743</c:v>
                </c:pt>
                <c:pt idx="5">
                  <c:v>169718.99727016277</c:v>
                </c:pt>
                <c:pt idx="6">
                  <c:v>1739.2226707718507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29282.623881929394</c:v>
                </c:pt>
                <c:pt idx="2">
                  <c:v>6221.3479397638666</c:v>
                </c:pt>
                <c:pt idx="3">
                  <c:v>189.8071016225054</c:v>
                </c:pt>
                <c:pt idx="4">
                  <c:v>559.5830226775729</c:v>
                </c:pt>
                <c:pt idx="5">
                  <c:v>17233.469361828069</c:v>
                </c:pt>
                <c:pt idx="6">
                  <c:v>42522.605768369554</c:v>
                </c:pt>
                <c:pt idx="7">
                  <c:v>439.3193511831974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29282.623881929394</c:v>
                </c:pt>
                <c:pt idx="2">
                  <c:v>6221.3479397638666</c:v>
                </c:pt>
                <c:pt idx="3">
                  <c:v>189.8071016225054</c:v>
                </c:pt>
                <c:pt idx="4">
                  <c:v>559.5830226775729</c:v>
                </c:pt>
                <c:pt idx="5">
                  <c:v>17233.469361828069</c:v>
                </c:pt>
                <c:pt idx="6">
                  <c:v>42522.605768369554</c:v>
                </c:pt>
                <c:pt idx="7">
                  <c:v>439.3193511831974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24094</v>
      </c>
      <c r="B6" s="416"/>
      <c r="C6" s="417"/>
    </row>
    <row r="7" spans="1:7" s="414" customFormat="1" ht="15.75" customHeight="1">
      <c r="A7" s="418" t="str">
        <f>txtMunicipality</f>
        <v>ROTSELAAR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0.20932890607406679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0.20932890607406679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24094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6391</v>
      </c>
      <c r="C9" s="342">
        <v>6546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934</v>
      </c>
    </row>
    <row r="15" spans="1:6">
      <c r="A15" s="348" t="s">
        <v>184</v>
      </c>
      <c r="B15" s="334">
        <v>1</v>
      </c>
    </row>
    <row r="16" spans="1:6">
      <c r="A16" s="348" t="s">
        <v>6</v>
      </c>
      <c r="B16" s="334">
        <v>0</v>
      </c>
    </row>
    <row r="17" spans="1:6">
      <c r="A17" s="348" t="s">
        <v>7</v>
      </c>
      <c r="B17" s="334">
        <v>55</v>
      </c>
    </row>
    <row r="18" spans="1:6">
      <c r="A18" s="348" t="s">
        <v>8</v>
      </c>
      <c r="B18" s="334">
        <v>32</v>
      </c>
    </row>
    <row r="19" spans="1:6">
      <c r="A19" s="348" t="s">
        <v>9</v>
      </c>
      <c r="B19" s="334">
        <v>85</v>
      </c>
    </row>
    <row r="20" spans="1:6">
      <c r="A20" s="348" t="s">
        <v>10</v>
      </c>
      <c r="B20" s="334">
        <v>118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216</v>
      </c>
    </row>
    <row r="27" spans="1:6">
      <c r="A27" s="348" t="s">
        <v>17</v>
      </c>
      <c r="B27" s="334">
        <v>62</v>
      </c>
    </row>
    <row r="28" spans="1:6" s="356" customFormat="1">
      <c r="A28" s="355" t="s">
        <v>18</v>
      </c>
      <c r="B28" s="355">
        <v>0</v>
      </c>
    </row>
    <row r="29" spans="1:6">
      <c r="A29" s="355" t="s">
        <v>901</v>
      </c>
      <c r="B29" s="355">
        <v>47</v>
      </c>
      <c r="C29" s="356"/>
      <c r="D29" s="356"/>
      <c r="E29" s="356"/>
      <c r="F29" s="356"/>
    </row>
    <row r="30" spans="1:6">
      <c r="A30" s="341" t="s">
        <v>902</v>
      </c>
      <c r="B30" s="341">
        <v>19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127777</v>
      </c>
    </row>
    <row r="37" spans="1:6">
      <c r="A37" s="348" t="s">
        <v>25</v>
      </c>
      <c r="B37" s="348" t="s">
        <v>28</v>
      </c>
      <c r="C37" s="334">
        <v>0</v>
      </c>
      <c r="D37" s="334">
        <v>0</v>
      </c>
      <c r="E37" s="334">
        <v>0</v>
      </c>
      <c r="F37" s="334">
        <v>0</v>
      </c>
    </row>
    <row r="38" spans="1:6">
      <c r="A38" s="348" t="s">
        <v>25</v>
      </c>
      <c r="B38" s="348" t="s">
        <v>29</v>
      </c>
      <c r="C38" s="334">
        <v>0</v>
      </c>
      <c r="D38" s="334">
        <v>0</v>
      </c>
      <c r="E38" s="334">
        <v>3</v>
      </c>
      <c r="F38" s="334">
        <v>8174.951</v>
      </c>
    </row>
    <row r="39" spans="1:6">
      <c r="A39" s="348" t="s">
        <v>30</v>
      </c>
      <c r="B39" s="348" t="s">
        <v>31</v>
      </c>
      <c r="C39" s="334">
        <v>2700</v>
      </c>
      <c r="D39" s="334">
        <v>41955977.645293802</v>
      </c>
      <c r="E39" s="334">
        <v>6297</v>
      </c>
      <c r="F39" s="334">
        <v>27730260</v>
      </c>
    </row>
    <row r="40" spans="1:6">
      <c r="A40" s="348" t="s">
        <v>30</v>
      </c>
      <c r="B40" s="348" t="s">
        <v>29</v>
      </c>
      <c r="C40" s="334">
        <v>0</v>
      </c>
      <c r="D40" s="334">
        <v>0</v>
      </c>
      <c r="E40" s="334">
        <v>0</v>
      </c>
      <c r="F40" s="334">
        <v>0</v>
      </c>
    </row>
    <row r="41" spans="1:6">
      <c r="A41" s="348" t="s">
        <v>32</v>
      </c>
      <c r="B41" s="348" t="s">
        <v>33</v>
      </c>
      <c r="C41" s="334">
        <v>7</v>
      </c>
      <c r="D41" s="334">
        <v>102801.301820639</v>
      </c>
      <c r="E41" s="334">
        <v>87</v>
      </c>
      <c r="F41" s="334">
        <v>1361136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59888.136400684903</v>
      </c>
      <c r="E44" s="334">
        <v>5</v>
      </c>
      <c r="F44" s="334">
        <v>54216.27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15703.29</v>
      </c>
    </row>
    <row r="48" spans="1:6">
      <c r="A48" s="348" t="s">
        <v>32</v>
      </c>
      <c r="B48" s="348" t="s">
        <v>29</v>
      </c>
      <c r="C48" s="334">
        <v>48</v>
      </c>
      <c r="D48" s="334">
        <v>34967761.067285001</v>
      </c>
      <c r="E48" s="334">
        <v>62</v>
      </c>
      <c r="F48" s="334">
        <v>35861203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20</v>
      </c>
      <c r="F51" s="334">
        <v>494391</v>
      </c>
    </row>
    <row r="52" spans="1:6">
      <c r="A52" s="348" t="s">
        <v>42</v>
      </c>
      <c r="B52" s="348" t="s">
        <v>29</v>
      </c>
      <c r="C52" s="334">
        <v>4</v>
      </c>
      <c r="D52" s="334">
        <v>100053.7865205</v>
      </c>
      <c r="E52" s="334">
        <v>14</v>
      </c>
      <c r="F52" s="334">
        <v>79602.850000000006</v>
      </c>
    </row>
    <row r="53" spans="1:6">
      <c r="A53" s="348" t="s">
        <v>44</v>
      </c>
      <c r="B53" s="348" t="s">
        <v>45</v>
      </c>
      <c r="C53" s="334">
        <v>74</v>
      </c>
      <c r="D53" s="334">
        <v>1428462.69783499</v>
      </c>
      <c r="E53" s="334">
        <v>208</v>
      </c>
      <c r="F53" s="334">
        <v>958848.2</v>
      </c>
    </row>
    <row r="54" spans="1:6">
      <c r="A54" s="348" t="s">
        <v>46</v>
      </c>
      <c r="B54" s="348" t="s">
        <v>47</v>
      </c>
      <c r="C54" s="334">
        <v>0</v>
      </c>
      <c r="D54" s="334">
        <v>0</v>
      </c>
      <c r="E54" s="334">
        <v>1</v>
      </c>
      <c r="F54" s="334">
        <v>906741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1507536.24208374</v>
      </c>
      <c r="E57" s="334">
        <v>63</v>
      </c>
      <c r="F57" s="334">
        <v>1875333</v>
      </c>
    </row>
    <row r="58" spans="1:6">
      <c r="A58" s="348" t="s">
        <v>49</v>
      </c>
      <c r="B58" s="348" t="s">
        <v>51</v>
      </c>
      <c r="C58" s="334">
        <v>6</v>
      </c>
      <c r="D58" s="334">
        <v>139842.02999300099</v>
      </c>
      <c r="E58" s="334">
        <v>11</v>
      </c>
      <c r="F58" s="334">
        <v>131936.1</v>
      </c>
    </row>
    <row r="59" spans="1:6">
      <c r="A59" s="348" t="s">
        <v>49</v>
      </c>
      <c r="B59" s="348" t="s">
        <v>52</v>
      </c>
      <c r="C59" s="334">
        <v>3</v>
      </c>
      <c r="D59" s="334">
        <v>178984.654957433</v>
      </c>
      <c r="E59" s="334">
        <v>46</v>
      </c>
      <c r="F59" s="334">
        <v>1525583</v>
      </c>
    </row>
    <row r="60" spans="1:6">
      <c r="A60" s="348" t="s">
        <v>49</v>
      </c>
      <c r="B60" s="348" t="s">
        <v>53</v>
      </c>
      <c r="C60" s="334">
        <v>33</v>
      </c>
      <c r="D60" s="334">
        <v>1161969.88805842</v>
      </c>
      <c r="E60" s="334">
        <v>49</v>
      </c>
      <c r="F60" s="334">
        <v>1848800</v>
      </c>
    </row>
    <row r="61" spans="1:6">
      <c r="A61" s="348" t="s">
        <v>49</v>
      </c>
      <c r="B61" s="348" t="s">
        <v>54</v>
      </c>
      <c r="C61" s="334">
        <v>39</v>
      </c>
      <c r="D61" s="334">
        <v>1806940.3666413701</v>
      </c>
      <c r="E61" s="334">
        <v>220</v>
      </c>
      <c r="F61" s="334">
        <v>2327973</v>
      </c>
    </row>
    <row r="62" spans="1:6">
      <c r="A62" s="348" t="s">
        <v>49</v>
      </c>
      <c r="B62" s="348" t="s">
        <v>55</v>
      </c>
      <c r="C62" s="334">
        <v>0</v>
      </c>
      <c r="D62" s="334">
        <v>0</v>
      </c>
      <c r="E62" s="334">
        <v>7</v>
      </c>
      <c r="F62" s="334">
        <v>38291.199999999997</v>
      </c>
    </row>
    <row r="63" spans="1:6">
      <c r="A63" s="348" t="s">
        <v>49</v>
      </c>
      <c r="B63" s="348" t="s">
        <v>29</v>
      </c>
      <c r="C63" s="334">
        <v>161</v>
      </c>
      <c r="D63" s="334">
        <v>8090779.4994975002</v>
      </c>
      <c r="E63" s="334">
        <v>223</v>
      </c>
      <c r="F63" s="334">
        <v>7457447</v>
      </c>
    </row>
    <row r="64" spans="1:6">
      <c r="A64" s="348" t="s">
        <v>56</v>
      </c>
      <c r="B64" s="348" t="s">
        <v>57</v>
      </c>
      <c r="C64" s="334">
        <v>0</v>
      </c>
      <c r="D64" s="334">
        <v>0</v>
      </c>
      <c r="E64" s="334">
        <v>0</v>
      </c>
      <c r="F64" s="334">
        <v>0</v>
      </c>
    </row>
    <row r="65" spans="1:6">
      <c r="A65" s="348" t="s">
        <v>56</v>
      </c>
      <c r="B65" s="348" t="s">
        <v>29</v>
      </c>
      <c r="C65" s="334">
        <v>1</v>
      </c>
      <c r="D65" s="334">
        <v>29382.566928464301</v>
      </c>
      <c r="E65" s="334">
        <v>5</v>
      </c>
      <c r="F65" s="334">
        <v>81573.2</v>
      </c>
    </row>
    <row r="66" spans="1:6">
      <c r="A66" s="348" t="s">
        <v>56</v>
      </c>
      <c r="B66" s="348" t="s">
        <v>58</v>
      </c>
      <c r="C66" s="334">
        <v>0</v>
      </c>
      <c r="D66" s="334">
        <v>0</v>
      </c>
      <c r="E66" s="334">
        <v>6</v>
      </c>
      <c r="F66" s="334">
        <v>62175.17</v>
      </c>
    </row>
    <row r="67" spans="1:6">
      <c r="A67" s="355" t="s">
        <v>56</v>
      </c>
      <c r="B67" s="355" t="s">
        <v>59</v>
      </c>
      <c r="C67" s="334">
        <v>0</v>
      </c>
      <c r="D67" s="334">
        <v>0</v>
      </c>
      <c r="E67" s="334">
        <v>0</v>
      </c>
      <c r="F67" s="334">
        <v>0</v>
      </c>
    </row>
    <row r="68" spans="1:6">
      <c r="A68" s="341" t="s">
        <v>56</v>
      </c>
      <c r="B68" s="341" t="s">
        <v>60</v>
      </c>
      <c r="C68" s="334">
        <v>0</v>
      </c>
      <c r="D68" s="334">
        <v>0</v>
      </c>
      <c r="E68" s="334">
        <v>4</v>
      </c>
      <c r="F68" s="334">
        <v>92683.24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83475009</v>
      </c>
      <c r="E73" s="476">
        <v>87671920.168188974</v>
      </c>
    </row>
    <row r="74" spans="1:6">
      <c r="A74" s="348" t="s">
        <v>64</v>
      </c>
      <c r="B74" s="348" t="s">
        <v>714</v>
      </c>
      <c r="C74" s="1311" t="s">
        <v>716</v>
      </c>
      <c r="D74" s="476">
        <v>5313933.0896077249</v>
      </c>
      <c r="E74" s="476">
        <v>5564533.540077148</v>
      </c>
    </row>
    <row r="75" spans="1:6">
      <c r="A75" s="348" t="s">
        <v>65</v>
      </c>
      <c r="B75" s="348" t="s">
        <v>713</v>
      </c>
      <c r="C75" s="1311" t="s">
        <v>717</v>
      </c>
      <c r="D75" s="476">
        <v>23441580</v>
      </c>
      <c r="E75" s="476">
        <v>24616902.848354887</v>
      </c>
    </row>
    <row r="76" spans="1:6">
      <c r="A76" s="348" t="s">
        <v>65</v>
      </c>
      <c r="B76" s="348" t="s">
        <v>714</v>
      </c>
      <c r="C76" s="1311" t="s">
        <v>718</v>
      </c>
      <c r="D76" s="476">
        <v>238521.08960772501</v>
      </c>
      <c r="E76" s="476">
        <v>258202.89011920081</v>
      </c>
    </row>
    <row r="77" spans="1:6">
      <c r="A77" s="348" t="s">
        <v>66</v>
      </c>
      <c r="B77" s="348" t="s">
        <v>713</v>
      </c>
      <c r="C77" s="1311" t="s">
        <v>719</v>
      </c>
      <c r="D77" s="476">
        <v>88396335</v>
      </c>
      <c r="E77" s="476">
        <v>95961295.234450281</v>
      </c>
    </row>
    <row r="78" spans="1:6">
      <c r="A78" s="341" t="s">
        <v>66</v>
      </c>
      <c r="B78" s="341" t="s">
        <v>714</v>
      </c>
      <c r="C78" s="341" t="s">
        <v>720</v>
      </c>
      <c r="D78" s="1307">
        <v>9551580</v>
      </c>
      <c r="E78" s="1307">
        <v>10256196.0723926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464761.82078454999</v>
      </c>
      <c r="C83" s="476">
        <v>461983.75910724106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216.96143497757845</v>
      </c>
    </row>
    <row r="90" spans="1:6">
      <c r="A90" s="348" t="s">
        <v>559</v>
      </c>
      <c r="B90" s="1308">
        <v>0</v>
      </c>
    </row>
    <row r="91" spans="1:6">
      <c r="A91" s="348" t="s">
        <v>68</v>
      </c>
      <c r="B91" s="334">
        <v>3431.8520436541953</v>
      </c>
    </row>
    <row r="92" spans="1:6">
      <c r="A92" s="341" t="s">
        <v>69</v>
      </c>
      <c r="B92" s="342">
        <v>856.91425880946247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1003</v>
      </c>
    </row>
    <row r="98" spans="1:6">
      <c r="A98" s="348" t="s">
        <v>72</v>
      </c>
      <c r="B98" s="334">
        <v>4</v>
      </c>
    </row>
    <row r="99" spans="1:6">
      <c r="A99" s="348" t="s">
        <v>73</v>
      </c>
      <c r="B99" s="334">
        <v>252</v>
      </c>
    </row>
    <row r="100" spans="1:6">
      <c r="A100" s="348" t="s">
        <v>74</v>
      </c>
      <c r="B100" s="334">
        <v>479</v>
      </c>
    </row>
    <row r="101" spans="1:6">
      <c r="A101" s="348" t="s">
        <v>75</v>
      </c>
      <c r="B101" s="334">
        <v>73</v>
      </c>
    </row>
    <row r="102" spans="1:6">
      <c r="A102" s="348" t="s">
        <v>76</v>
      </c>
      <c r="B102" s="334">
        <v>50</v>
      </c>
    </row>
    <row r="103" spans="1:6">
      <c r="A103" s="348" t="s">
        <v>77</v>
      </c>
      <c r="B103" s="334">
        <v>111</v>
      </c>
    </row>
    <row r="104" spans="1:6">
      <c r="A104" s="348" t="s">
        <v>78</v>
      </c>
      <c r="B104" s="334">
        <v>3569</v>
      </c>
    </row>
    <row r="105" spans="1:6">
      <c r="A105" s="341" t="s">
        <v>79</v>
      </c>
      <c r="B105" s="341">
        <v>16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178</v>
      </c>
    </row>
    <row r="130" spans="1:6">
      <c r="A130" s="348" t="s">
        <v>295</v>
      </c>
      <c r="B130" s="334">
        <v>1</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86171.085277603837</v>
      </c>
      <c r="C3" s="43" t="s">
        <v>170</v>
      </c>
      <c r="D3" s="43"/>
      <c r="E3" s="154"/>
      <c r="F3" s="43"/>
      <c r="G3" s="43"/>
      <c r="H3" s="43"/>
      <c r="I3" s="43"/>
      <c r="J3" s="43"/>
      <c r="K3" s="96"/>
    </row>
    <row r="4" spans="1:11">
      <c r="A4" s="384" t="s">
        <v>171</v>
      </c>
      <c r="B4" s="49">
        <f>IF(ISERROR('SEAP template'!B78+'SEAP template'!C78),0,'SEAP template'!B78+'SEAP template'!C78)</f>
        <v>4550.7277374412361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0.20932890607406679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50.625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906.74099999999999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906.74099999999999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0.20932890607406679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189.8071016225054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27730.26</v>
      </c>
      <c r="C5" s="17">
        <f>IF(ISERROR('Eigen informatie GS &amp; warmtenet'!B57),0,'Eigen informatie GS &amp; warmtenet'!B57)</f>
        <v>0</v>
      </c>
      <c r="D5" s="30">
        <f>(SUM(HH_hh_gas_kWh,HH_rest_gas_kWh)/1000)*0.902</f>
        <v>37844.29183605501</v>
      </c>
      <c r="E5" s="17">
        <f>B46*B57</f>
        <v>7469.8903773601087</v>
      </c>
      <c r="F5" s="17">
        <f>B51*B62</f>
        <v>50259.479364531464</v>
      </c>
      <c r="G5" s="18"/>
      <c r="H5" s="17"/>
      <c r="I5" s="17"/>
      <c r="J5" s="17">
        <f>B50*B61+C50*C61</f>
        <v>0</v>
      </c>
      <c r="K5" s="17"/>
      <c r="L5" s="17"/>
      <c r="M5" s="17"/>
      <c r="N5" s="17">
        <f>B48*B59+C48*C59</f>
        <v>8206.0608753128108</v>
      </c>
      <c r="O5" s="17">
        <f>B69*B70*B71</f>
        <v>311.10333333333335</v>
      </c>
      <c r="P5" s="17">
        <f>B77*B78*B79/1000-B77*B78*B79/1000/B80</f>
        <v>991.4666666666667</v>
      </c>
    </row>
    <row r="6" spans="1:16">
      <c r="A6" s="16" t="s">
        <v>631</v>
      </c>
      <c r="B6" s="789">
        <f>kWh_PV_kleiner_dan_10kW</f>
        <v>3431.8520436541953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31162.112043654193</v>
      </c>
      <c r="C8" s="21">
        <f>C5</f>
        <v>0</v>
      </c>
      <c r="D8" s="21">
        <f>D5</f>
        <v>37844.29183605501</v>
      </c>
      <c r="E8" s="21">
        <f>E5</f>
        <v>7469.8903773601087</v>
      </c>
      <c r="F8" s="21">
        <f>F5</f>
        <v>50259.479364531464</v>
      </c>
      <c r="G8" s="21"/>
      <c r="H8" s="21"/>
      <c r="I8" s="21"/>
      <c r="J8" s="21">
        <f>J5</f>
        <v>0</v>
      </c>
      <c r="K8" s="21"/>
      <c r="L8" s="21">
        <f>L5</f>
        <v>0</v>
      </c>
      <c r="M8" s="21">
        <f>M5</f>
        <v>0</v>
      </c>
      <c r="N8" s="21">
        <f>N5</f>
        <v>8206.0608753128108</v>
      </c>
      <c r="O8" s="21">
        <f>O5</f>
        <v>311.10333333333335</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0.20932890607406679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6523.130825055634</v>
      </c>
      <c r="C12" s="23">
        <f ca="1">C10*C8</f>
        <v>0</v>
      </c>
      <c r="D12" s="23">
        <f>D8*D10</f>
        <v>7644.5469508831129</v>
      </c>
      <c r="E12" s="23">
        <f>E10*E8</f>
        <v>1695.6651156607447</v>
      </c>
      <c r="F12" s="23">
        <f>F10*F8</f>
        <v>13419.280990329902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1003</v>
      </c>
      <c r="C18" s="166" t="s">
        <v>111</v>
      </c>
      <c r="D18" s="228"/>
      <c r="E18" s="15"/>
    </row>
    <row r="19" spans="1:7">
      <c r="A19" s="171" t="s">
        <v>72</v>
      </c>
      <c r="B19" s="37">
        <f>aantalw2001_ander</f>
        <v>4</v>
      </c>
      <c r="C19" s="166" t="s">
        <v>111</v>
      </c>
      <c r="D19" s="229"/>
      <c r="E19" s="15"/>
    </row>
    <row r="20" spans="1:7">
      <c r="A20" s="171" t="s">
        <v>73</v>
      </c>
      <c r="B20" s="37">
        <f>aantalw2001_propaan</f>
        <v>252</v>
      </c>
      <c r="C20" s="167">
        <f>IF(ISERROR(B20/SUM($B$20,$B$21,$B$22)*100),0,B20/SUM($B$20,$B$21,$B$22)*100)</f>
        <v>31.343283582089555</v>
      </c>
      <c r="D20" s="229"/>
      <c r="E20" s="15"/>
    </row>
    <row r="21" spans="1:7">
      <c r="A21" s="171" t="s">
        <v>74</v>
      </c>
      <c r="B21" s="37">
        <f>aantalw2001_elektriciteit</f>
        <v>479</v>
      </c>
      <c r="C21" s="167">
        <f>IF(ISERROR(B21/SUM($B$20,$B$21,$B$22)*100),0,B21/SUM($B$20,$B$21,$B$22)*100)</f>
        <v>59.5771144278607</v>
      </c>
      <c r="D21" s="229"/>
      <c r="E21" s="15"/>
    </row>
    <row r="22" spans="1:7">
      <c r="A22" s="171" t="s">
        <v>75</v>
      </c>
      <c r="B22" s="37">
        <f>aantalw2001_hout</f>
        <v>73</v>
      </c>
      <c r="C22" s="167">
        <f>IF(ISERROR(B22/SUM($B$20,$B$21,$B$22)*100),0,B22/SUM($B$20,$B$21,$B$22)*100)</f>
        <v>9.0796019900497509</v>
      </c>
      <c r="D22" s="229"/>
      <c r="E22" s="15"/>
    </row>
    <row r="23" spans="1:7">
      <c r="A23" s="171" t="s">
        <v>76</v>
      </c>
      <c r="B23" s="37">
        <f>aantalw2001_niet_gespec</f>
        <v>50</v>
      </c>
      <c r="C23" s="166" t="s">
        <v>111</v>
      </c>
      <c r="D23" s="228"/>
      <c r="E23" s="15"/>
    </row>
    <row r="24" spans="1:7">
      <c r="A24" s="171" t="s">
        <v>77</v>
      </c>
      <c r="B24" s="37">
        <f>aantalw2001_steenkool</f>
        <v>111</v>
      </c>
      <c r="C24" s="166" t="s">
        <v>111</v>
      </c>
      <c r="D24" s="229"/>
      <c r="E24" s="15"/>
    </row>
    <row r="25" spans="1:7">
      <c r="A25" s="171" t="s">
        <v>78</v>
      </c>
      <c r="B25" s="37">
        <f>aantalw2001_stookolie</f>
        <v>3569</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740</v>
      </c>
      <c r="B28" s="37">
        <f>aantalHuishoudens2011</f>
        <v>6391</v>
      </c>
      <c r="C28" s="36"/>
      <c r="D28" s="228"/>
    </row>
    <row r="29" spans="1:7" s="15" customFormat="1">
      <c r="A29" s="230" t="s">
        <v>741</v>
      </c>
      <c r="B29" s="37">
        <f>SUM(HH_hh_gas_aantal,HH_rest_gas_aantal)</f>
        <v>2700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2700</v>
      </c>
      <c r="C32" s="167">
        <f>IF(ISERROR(B32/SUM($B$32,$B$34,$B$35,$B$36,$B$38,$B$39)*100),0,B32/SUM($B$32,$B$34,$B$35,$B$36,$B$38,$B$39)*100)</f>
        <v>42.593469001419784</v>
      </c>
      <c r="D32" s="233"/>
      <c r="G32" s="15"/>
    </row>
    <row r="33" spans="1:7">
      <c r="A33" s="171" t="s">
        <v>72</v>
      </c>
      <c r="B33" s="34" t="s">
        <v>111</v>
      </c>
      <c r="C33" s="167"/>
      <c r="D33" s="233"/>
      <c r="G33" s="15"/>
    </row>
    <row r="34" spans="1:7">
      <c r="A34" s="171" t="s">
        <v>73</v>
      </c>
      <c r="B34" s="33">
        <f>IF((($B$28-$B$32-$B$39-$B$77-$B$38)*C20/100)&lt;0,0,($B$28-$B$32-$B$39-$B$77-$B$38)*C20/100)</f>
        <v>500.64626865671642</v>
      </c>
      <c r="C34" s="167">
        <f>IF(ISERROR(B34/SUM($B$32,$B$34,$B$35,$B$36,$B$38,$B$39)*100),0,B34/SUM($B$32,$B$34,$B$35,$B$36,$B$38,$B$39)*100)</f>
        <v>7.8978745647060489</v>
      </c>
      <c r="D34" s="233"/>
      <c r="G34" s="15"/>
    </row>
    <row r="35" spans="1:7">
      <c r="A35" s="171" t="s">
        <v>74</v>
      </c>
      <c r="B35" s="33">
        <f>IF((($B$28-$B$32-$B$39-$B$77-$B$38)*C21/100)&lt;0,0,($B$28-$B$32-$B$39-$B$77-$B$38)*C21/100)</f>
        <v>951.62524875621898</v>
      </c>
      <c r="C35" s="167">
        <f>IF(ISERROR(B35/SUM($B$32,$B$34,$B$35,$B$36,$B$38,$B$39)*100),0,B35/SUM($B$32,$B$34,$B$35,$B$36,$B$38,$B$39)*100)</f>
        <v>15.012229827357926</v>
      </c>
      <c r="D35" s="233"/>
      <c r="G35" s="15"/>
    </row>
    <row r="36" spans="1:7">
      <c r="A36" s="171" t="s">
        <v>75</v>
      </c>
      <c r="B36" s="33">
        <f>IF((($B$28-$B$32-$B$39-$B$77-$B$38)*C22/100)&lt;0,0,($B$28-$B$32-$B$39-$B$77-$B$38)*C22/100)</f>
        <v>145.02848258706467</v>
      </c>
      <c r="C36" s="167">
        <f>IF(ISERROR(B36/SUM($B$32,$B$34,$B$35,$B$36,$B$38,$B$39)*100),0,B36/SUM($B$32,$B$34,$B$35,$B$36,$B$38,$B$39)*100)</f>
        <v>2.2878763619981806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2041.7</v>
      </c>
      <c r="C39" s="167">
        <f>IF(ISERROR(B39/SUM($B$32,$B$34,$B$35,$B$36,$B$38,$B$39)*100),0,B39/SUM($B$32,$B$34,$B$35,$B$36,$B$38,$B$39)*100)</f>
        <v>32.208550244518065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2700</v>
      </c>
      <c r="C44" s="34" t="s">
        <v>111</v>
      </c>
      <c r="D44" s="174"/>
    </row>
    <row r="45" spans="1:7">
      <c r="A45" s="171" t="s">
        <v>72</v>
      </c>
      <c r="B45" s="33" t="str">
        <f t="shared" si="0"/>
        <v>-</v>
      </c>
      <c r="C45" s="34" t="s">
        <v>111</v>
      </c>
      <c r="D45" s="174"/>
    </row>
    <row r="46" spans="1:7">
      <c r="A46" s="171" t="s">
        <v>73</v>
      </c>
      <c r="B46" s="33">
        <f t="shared" si="0"/>
        <v>500.64626865671642</v>
      </c>
      <c r="C46" s="34" t="s">
        <v>111</v>
      </c>
      <c r="D46" s="174"/>
    </row>
    <row r="47" spans="1:7">
      <c r="A47" s="171" t="s">
        <v>74</v>
      </c>
      <c r="B47" s="33">
        <f t="shared" si="0"/>
        <v>951.62524875621898</v>
      </c>
      <c r="C47" s="34" t="s">
        <v>111</v>
      </c>
      <c r="D47" s="174"/>
    </row>
    <row r="48" spans="1:7">
      <c r="A48" s="171" t="s">
        <v>75</v>
      </c>
      <c r="B48" s="33">
        <f t="shared" si="0"/>
        <v>145.02848258706467</v>
      </c>
      <c r="C48" s="33">
        <f>B48*10</f>
        <v>1450.2848258706467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2041.7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15205.363299999999</v>
      </c>
      <c r="C5" s="17">
        <f>IF(ISERROR('Eigen informatie GS &amp; warmtenet'!B58),0,'Eigen informatie GS &amp; warmtenet'!B58)</f>
        <v>0</v>
      </c>
      <c r="D5" s="30">
        <f>SUM(D6:D12)</f>
        <v>11623.219518470782</v>
      </c>
      <c r="E5" s="17">
        <f>SUM(E6:E12)</f>
        <v>174.72023240435553</v>
      </c>
      <c r="F5" s="17">
        <f>SUM(F6:F12)</f>
        <v>2402.4503275501306</v>
      </c>
      <c r="G5" s="18"/>
      <c r="H5" s="17"/>
      <c r="I5" s="17"/>
      <c r="J5" s="17">
        <f>SUM(J6:J12)</f>
        <v>0</v>
      </c>
      <c r="K5" s="17"/>
      <c r="L5" s="17"/>
      <c r="M5" s="17"/>
      <c r="N5" s="17">
        <f>SUM(N6:N12)</f>
        <v>1994.2724707867651</v>
      </c>
      <c r="O5" s="17">
        <f>B38*B39*B40</f>
        <v>1.5633333333333335</v>
      </c>
      <c r="P5" s="17">
        <f>B46*B47*B48/1000-B46*B47*B48/1000/B49</f>
        <v>0</v>
      </c>
      <c r="R5" s="32"/>
    </row>
    <row r="6" spans="1:18">
      <c r="A6" s="32" t="s">
        <v>54</v>
      </c>
      <c r="B6" s="37">
        <f>B26</f>
        <v>2327.973</v>
      </c>
      <c r="C6" s="33"/>
      <c r="D6" s="37">
        <f>IF(ISERROR(TER_kantoor_gas_kWh/1000),0,TER_kantoor_gas_kWh/1000)*0.902</f>
        <v>1629.8602107105157</v>
      </c>
      <c r="E6" s="33">
        <f>$C$26*'E Balans VL '!I12/100/3.6*1000000</f>
        <v>6.7444793430700729</v>
      </c>
      <c r="F6" s="33">
        <f>$C$26*('E Balans VL '!L12+'E Balans VL '!N12)/100/3.6*1000000</f>
        <v>263.4752543782364</v>
      </c>
      <c r="G6" s="34"/>
      <c r="H6" s="33"/>
      <c r="I6" s="33"/>
      <c r="J6" s="33">
        <f>$C$26*('E Balans VL '!D12+'E Balans VL '!E12)/100/3.6*1000000</f>
        <v>0</v>
      </c>
      <c r="K6" s="33"/>
      <c r="L6" s="33"/>
      <c r="M6" s="33"/>
      <c r="N6" s="33">
        <f>$C$26*'E Balans VL '!Y12/100/3.6*1000000</f>
        <v>23.301294402906358</v>
      </c>
      <c r="O6" s="33"/>
      <c r="P6" s="33"/>
      <c r="R6" s="32"/>
    </row>
    <row r="7" spans="1:18">
      <c r="A7" s="32" t="s">
        <v>53</v>
      </c>
      <c r="B7" s="37">
        <f t="shared" ref="B7:B12" si="0">B27</f>
        <v>1848.8</v>
      </c>
      <c r="C7" s="33"/>
      <c r="D7" s="37">
        <f>IF(ISERROR(TER_horeca_gas_kWh/1000),0,TER_horeca_gas_kWh/1000)*0.902</f>
        <v>1048.0968390286951</v>
      </c>
      <c r="E7" s="33">
        <f>$C$27*'E Balans VL '!I9/100/3.6*1000000</f>
        <v>77.607458554889007</v>
      </c>
      <c r="F7" s="33">
        <f>$C$27*('E Balans VL '!L9+'E Balans VL '!N9)/100/3.6*1000000</f>
        <v>397.25259321477836</v>
      </c>
      <c r="G7" s="34"/>
      <c r="H7" s="33"/>
      <c r="I7" s="33"/>
      <c r="J7" s="33">
        <f>$C$27*('E Balans VL '!D9+'E Balans VL '!E9)/100/3.6*1000000</f>
        <v>0</v>
      </c>
      <c r="K7" s="33"/>
      <c r="L7" s="33"/>
      <c r="M7" s="33"/>
      <c r="N7" s="33">
        <f>$C$27*'E Balans VL '!Y9/100/3.6*1000000</f>
        <v>0.47641959165745612</v>
      </c>
      <c r="O7" s="33"/>
      <c r="P7" s="33"/>
      <c r="R7" s="32"/>
    </row>
    <row r="8" spans="1:18">
      <c r="A8" s="6" t="s">
        <v>52</v>
      </c>
      <c r="B8" s="37">
        <f t="shared" si="0"/>
        <v>1525.5830000000001</v>
      </c>
      <c r="C8" s="33"/>
      <c r="D8" s="37">
        <f>IF(ISERROR(TER_handel_gas_kWh/1000),0,TER_handel_gas_kWh/1000)*0.902</f>
        <v>161.44415877160458</v>
      </c>
      <c r="E8" s="33">
        <f>$C$28*'E Balans VL '!I13/100/3.6*1000000</f>
        <v>16.386031126637477</v>
      </c>
      <c r="F8" s="33">
        <f>$C$28*('E Balans VL '!L13+'E Balans VL '!N13)/100/3.6*1000000</f>
        <v>197.49931735470881</v>
      </c>
      <c r="G8" s="34"/>
      <c r="H8" s="33"/>
      <c r="I8" s="33"/>
      <c r="J8" s="33">
        <f>$C$28*('E Balans VL '!D13+'E Balans VL '!E13)/100/3.6*1000000</f>
        <v>0</v>
      </c>
      <c r="K8" s="33"/>
      <c r="L8" s="33"/>
      <c r="M8" s="33"/>
      <c r="N8" s="33">
        <f>$C$28*'E Balans VL '!Y13/100/3.6*1000000</f>
        <v>12.375612596453667</v>
      </c>
      <c r="O8" s="33"/>
      <c r="P8" s="33"/>
      <c r="R8" s="32"/>
    </row>
    <row r="9" spans="1:18">
      <c r="A9" s="32" t="s">
        <v>51</v>
      </c>
      <c r="B9" s="37">
        <f t="shared" si="0"/>
        <v>131.93610000000001</v>
      </c>
      <c r="C9" s="33"/>
      <c r="D9" s="37">
        <f>IF(ISERROR(TER_gezond_gas_kWh/1000),0,TER_gezond_gas_kWh/1000)*0.902</f>
        <v>126.13751105368691</v>
      </c>
      <c r="E9" s="33">
        <f>$C$29*'E Balans VL '!I10/100/3.6*1000000</f>
        <v>0.10502966899833151</v>
      </c>
      <c r="F9" s="33">
        <f>$C$29*('E Balans VL '!L10+'E Balans VL '!N10)/100/3.6*1000000</f>
        <v>16.038739603377593</v>
      </c>
      <c r="G9" s="34"/>
      <c r="H9" s="33"/>
      <c r="I9" s="33"/>
      <c r="J9" s="33">
        <f>$C$29*('E Balans VL '!D10+'E Balans VL '!E10)/100/3.6*1000000</f>
        <v>0</v>
      </c>
      <c r="K9" s="33"/>
      <c r="L9" s="33"/>
      <c r="M9" s="33"/>
      <c r="N9" s="33">
        <f>$C$29*'E Balans VL '!Y10/100/3.6*1000000</f>
        <v>1.0657448616269238</v>
      </c>
      <c r="O9" s="33"/>
      <c r="P9" s="33"/>
      <c r="R9" s="32"/>
    </row>
    <row r="10" spans="1:18">
      <c r="A10" s="32" t="s">
        <v>50</v>
      </c>
      <c r="B10" s="37">
        <f t="shared" si="0"/>
        <v>1875.3330000000001</v>
      </c>
      <c r="C10" s="33"/>
      <c r="D10" s="37">
        <f>IF(ISERROR(TER_ander_gas_kWh/1000),0,TER_ander_gas_kWh/1000)*0.902</f>
        <v>1359.7976903595336</v>
      </c>
      <c r="E10" s="33">
        <f>$C$30*'E Balans VL '!I14/100/3.6*1000000</f>
        <v>6.4268647083672779</v>
      </c>
      <c r="F10" s="33">
        <f>$C$30*('E Balans VL '!L14+'E Balans VL '!N14)/100/3.6*1000000</f>
        <v>418.87318764351022</v>
      </c>
      <c r="G10" s="34"/>
      <c r="H10" s="33"/>
      <c r="I10" s="33"/>
      <c r="J10" s="33">
        <f>$C$30*('E Balans VL '!D14+'E Balans VL '!E14)/100/3.6*1000000</f>
        <v>0</v>
      </c>
      <c r="K10" s="33"/>
      <c r="L10" s="33"/>
      <c r="M10" s="33"/>
      <c r="N10" s="33">
        <f>$C$30*'E Balans VL '!Y14/100/3.6*1000000</f>
        <v>1320.9948099439221</v>
      </c>
      <c r="O10" s="33"/>
      <c r="P10" s="33"/>
      <c r="R10" s="32"/>
    </row>
    <row r="11" spans="1:18">
      <c r="A11" s="32" t="s">
        <v>55</v>
      </c>
      <c r="B11" s="37">
        <f t="shared" si="0"/>
        <v>38.291199999999996</v>
      </c>
      <c r="C11" s="33"/>
      <c r="D11" s="37">
        <f>IF(ISERROR(TER_onderwijs_gas_kWh/1000),0,TER_onderwijs_gas_kWh/1000)*0.902</f>
        <v>0</v>
      </c>
      <c r="E11" s="33">
        <f>$C$31*'E Balans VL '!I11/100/3.6*1000000</f>
        <v>2.6469527283850502E-2</v>
      </c>
      <c r="F11" s="33">
        <f>$C$31*('E Balans VL '!L11+'E Balans VL '!N11)/100/3.6*1000000</f>
        <v>10.023523876110277</v>
      </c>
      <c r="G11" s="34"/>
      <c r="H11" s="33"/>
      <c r="I11" s="33"/>
      <c r="J11" s="33">
        <f>$C$31*('E Balans VL '!D11+'E Balans VL '!E11)/100/3.6*1000000</f>
        <v>0</v>
      </c>
      <c r="K11" s="33"/>
      <c r="L11" s="33"/>
      <c r="M11" s="33"/>
      <c r="N11" s="33">
        <f>$C$31*'E Balans VL '!Y11/100/3.6*1000000</f>
        <v>3.8115628209999378E-2</v>
      </c>
      <c r="O11" s="33"/>
      <c r="P11" s="33"/>
      <c r="R11" s="32"/>
    </row>
    <row r="12" spans="1:18">
      <c r="A12" s="32" t="s">
        <v>260</v>
      </c>
      <c r="B12" s="37">
        <f t="shared" si="0"/>
        <v>7457.4470000000001</v>
      </c>
      <c r="C12" s="33"/>
      <c r="D12" s="37">
        <f>IF(ISERROR(TER_rest_gas_kWh/1000),0,TER_rest_gas_kWh/1000)*0.902</f>
        <v>7297.8831085467455</v>
      </c>
      <c r="E12" s="33">
        <f>$C$32*'E Balans VL '!I8/100/3.6*1000000</f>
        <v>67.423899475109522</v>
      </c>
      <c r="F12" s="33">
        <f>$C$32*('E Balans VL '!L8+'E Balans VL '!N8)/100/3.6*1000000</f>
        <v>1099.2877114794089</v>
      </c>
      <c r="G12" s="34"/>
      <c r="H12" s="33"/>
      <c r="I12" s="33"/>
      <c r="J12" s="33">
        <f>$C$32*('E Balans VL '!D8+'E Balans VL '!E8)/100/3.6*1000000</f>
        <v>0</v>
      </c>
      <c r="K12" s="33"/>
      <c r="L12" s="33"/>
      <c r="M12" s="33"/>
      <c r="N12" s="33">
        <f>$C$32*'E Balans VL '!Y8/100/3.6*1000000</f>
        <v>636.02047376198857</v>
      </c>
      <c r="O12" s="33"/>
      <c r="P12" s="33"/>
      <c r="R12" s="32"/>
    </row>
    <row r="13" spans="1:18">
      <c r="A13" s="16" t="s">
        <v>494</v>
      </c>
      <c r="B13" s="247">
        <f ca="1">'lokale energieproductie'!N91+'lokale energieproductie'!N60</f>
        <v>45</v>
      </c>
      <c r="C13" s="247">
        <f ca="1">'lokale energieproductie'!O91+'lokale energieproductie'!O60</f>
        <v>50.625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-112.5</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15250.363299999999</v>
      </c>
      <c r="C16" s="21">
        <f t="shared" ca="1" si="1"/>
        <v>50.625</v>
      </c>
      <c r="D16" s="21">
        <f t="shared" ca="1" si="1"/>
        <v>11623.219518470782</v>
      </c>
      <c r="E16" s="21">
        <f t="shared" si="1"/>
        <v>174.72023240435553</v>
      </c>
      <c r="F16" s="21">
        <f t="shared" ca="1" si="1"/>
        <v>2402.4503275501306</v>
      </c>
      <c r="G16" s="21">
        <f t="shared" si="1"/>
        <v>0</v>
      </c>
      <c r="H16" s="21">
        <f t="shared" si="1"/>
        <v>0</v>
      </c>
      <c r="I16" s="21">
        <f t="shared" si="1"/>
        <v>0</v>
      </c>
      <c r="J16" s="21">
        <f t="shared" si="1"/>
        <v>0</v>
      </c>
      <c r="K16" s="21">
        <f t="shared" si="1"/>
        <v>0</v>
      </c>
      <c r="L16" s="21">
        <f t="shared" ca="1" si="1"/>
        <v>0</v>
      </c>
      <c r="M16" s="21">
        <f t="shared" si="1"/>
        <v>0</v>
      </c>
      <c r="N16" s="21">
        <f t="shared" ca="1" si="1"/>
        <v>1994.2724707867651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0.20932890607406679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3192.3418668210952</v>
      </c>
      <c r="C20" s="23">
        <f t="shared" ref="C20:P20" ca="1" si="2">C16*C18</f>
        <v>0</v>
      </c>
      <c r="D20" s="23">
        <f t="shared" ca="1" si="2"/>
        <v>2347.8903427310979</v>
      </c>
      <c r="E20" s="23">
        <f t="shared" si="2"/>
        <v>39.661492755788707</v>
      </c>
      <c r="F20" s="23">
        <f t="shared" ca="1" si="2"/>
        <v>641.45423745588494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2327.973</v>
      </c>
      <c r="C26" s="39">
        <f>IF(ISERROR(B26*3.6/1000000/'E Balans VL '!Z12*100),0,B26*3.6/1000000/'E Balans VL '!Z12*100)</f>
        <v>5.1136618351298006E-2</v>
      </c>
      <c r="D26" s="237" t="s">
        <v>692</v>
      </c>
      <c r="F26" s="6"/>
    </row>
    <row r="27" spans="1:18">
      <c r="A27" s="231" t="s">
        <v>53</v>
      </c>
      <c r="B27" s="33">
        <f>IF(ISERROR(TER_horeca_ele_kWh/1000),0,TER_horeca_ele_kWh/1000)</f>
        <v>1848.8</v>
      </c>
      <c r="C27" s="39">
        <f>IF(ISERROR(B27*3.6/1000000/'E Balans VL '!Z9*100),0,B27*3.6/1000000/'E Balans VL '!Z9*100)</f>
        <v>0.14856950905606708</v>
      </c>
      <c r="D27" s="237" t="s">
        <v>692</v>
      </c>
      <c r="F27" s="6"/>
    </row>
    <row r="28" spans="1:18">
      <c r="A28" s="171" t="s">
        <v>52</v>
      </c>
      <c r="B28" s="33">
        <f>IF(ISERROR(TER_handel_ele_kWh/1000),0,TER_handel_ele_kWh/1000)</f>
        <v>1525.5830000000001</v>
      </c>
      <c r="C28" s="39">
        <f>IF(ISERROR(B28*3.6/1000000/'E Balans VL '!Z13*100),0,B28*3.6/1000000/'E Balans VL '!Z13*100)</f>
        <v>4.5110423515338179E-2</v>
      </c>
      <c r="D28" s="237" t="s">
        <v>692</v>
      </c>
      <c r="F28" s="6"/>
    </row>
    <row r="29" spans="1:18">
      <c r="A29" s="231" t="s">
        <v>51</v>
      </c>
      <c r="B29" s="33">
        <f>IF(ISERROR(TER_gezond_ele_kWh/1000),0,TER_gezond_ele_kWh/1000)</f>
        <v>131.93610000000001</v>
      </c>
      <c r="C29" s="39">
        <f>IF(ISERROR(B29*3.6/1000000/'E Balans VL '!Z10*100),0,B29*3.6/1000000/'E Balans VL '!Z10*100)</f>
        <v>1.486579218016321E-2</v>
      </c>
      <c r="D29" s="237" t="s">
        <v>692</v>
      </c>
      <c r="F29" s="6"/>
    </row>
    <row r="30" spans="1:18">
      <c r="A30" s="231" t="s">
        <v>50</v>
      </c>
      <c r="B30" s="33">
        <f>IF(ISERROR(TER_ander_ele_kWh/1000),0,TER_ander_ele_kWh/1000)</f>
        <v>1875.3330000000001</v>
      </c>
      <c r="C30" s="39">
        <f>IF(ISERROR(B30*3.6/1000000/'E Balans VL '!Z14*100),0,B30*3.6/1000000/'E Balans VL '!Z14*100)</f>
        <v>0.14182822905303985</v>
      </c>
      <c r="D30" s="237" t="s">
        <v>692</v>
      </c>
      <c r="F30" s="6"/>
    </row>
    <row r="31" spans="1:18">
      <c r="A31" s="231" t="s">
        <v>55</v>
      </c>
      <c r="B31" s="33">
        <f>IF(ISERROR(TER_onderwijs_ele_kWh/1000),0,TER_onderwijs_ele_kWh/1000)</f>
        <v>38.291199999999996</v>
      </c>
      <c r="C31" s="39">
        <f>IF(ISERROR(B31*3.6/1000000/'E Balans VL '!Z11*100),0,B31*3.6/1000000/'E Balans VL '!Z11*100)</f>
        <v>7.9483642279525139E-3</v>
      </c>
      <c r="D31" s="237" t="s">
        <v>692</v>
      </c>
    </row>
    <row r="32" spans="1:18">
      <c r="A32" s="231" t="s">
        <v>260</v>
      </c>
      <c r="B32" s="33">
        <f>IF(ISERROR(TER_rest_ele_kWh/1000),0,TER_rest_ele_kWh/1000)</f>
        <v>7457.4470000000001</v>
      </c>
      <c r="C32" s="39">
        <f>IF(ISERROR(B32*3.6/1000000/'E Balans VL '!Z8*100),0,B32*3.6/1000000/'E Balans VL '!Z8*100)</f>
        <v>6.2824603907496376E-2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37292.258560000002</v>
      </c>
      <c r="C5" s="17">
        <f>IF(ISERROR('Eigen informatie GS &amp; warmtenet'!B59),0,'Eigen informatie GS &amp; warmtenet'!B59)</f>
        <v>0</v>
      </c>
      <c r="D5" s="30">
        <f>SUM(D6:D15)</f>
        <v>31687.666355966703</v>
      </c>
      <c r="E5" s="17">
        <f>SUM(E6:E15)</f>
        <v>2200.0168764416767</v>
      </c>
      <c r="F5" s="17">
        <f>SUM(F6:F15)</f>
        <v>9264.2325145939813</v>
      </c>
      <c r="G5" s="18"/>
      <c r="H5" s="17"/>
      <c r="I5" s="17"/>
      <c r="J5" s="17">
        <f>SUM(J6:J15)</f>
        <v>150.44959372284336</v>
      </c>
      <c r="K5" s="17"/>
      <c r="L5" s="17"/>
      <c r="M5" s="17"/>
      <c r="N5" s="17">
        <f>SUM(N6:N15)</f>
        <v>7186.3703548465282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54.216269999999994</v>
      </c>
      <c r="C8" s="33"/>
      <c r="D8" s="37">
        <f>IF( ISERROR(IND_metaal_Gas_kWH/1000),0,IND_metaal_Gas_kWH/1000)*0.902</f>
        <v>54.019099033417788</v>
      </c>
      <c r="E8" s="33">
        <f>C30*'E Balans VL '!I18/100/3.6*1000000</f>
        <v>1.3568434852201903</v>
      </c>
      <c r="F8" s="33">
        <f>C30*'E Balans VL '!L18/100/3.6*1000000+C30*'E Balans VL '!N18/100/3.6*1000000</f>
        <v>16.991648703596358</v>
      </c>
      <c r="G8" s="34"/>
      <c r="H8" s="33"/>
      <c r="I8" s="33"/>
      <c r="J8" s="40">
        <f>C30*'E Balans VL '!D18/100/3.6*1000000+C30*'E Balans VL '!E18/100/3.6*1000000</f>
        <v>0</v>
      </c>
      <c r="K8" s="33"/>
      <c r="L8" s="33"/>
      <c r="M8" s="33"/>
      <c r="N8" s="33">
        <f>C30*'E Balans VL '!Y18/100/3.6*1000000</f>
        <v>1.3620534058900888</v>
      </c>
      <c r="O8" s="33"/>
      <c r="P8" s="33"/>
      <c r="R8" s="32"/>
    </row>
    <row r="9" spans="1:18">
      <c r="A9" s="6" t="s">
        <v>33</v>
      </c>
      <c r="B9" s="37">
        <f t="shared" si="0"/>
        <v>1361.136</v>
      </c>
      <c r="C9" s="33"/>
      <c r="D9" s="37">
        <f>IF( ISERROR(IND_andere_gas_kWh/1000),0,IND_andere_gas_kWh/1000)*0.902</f>
        <v>92.726774242216379</v>
      </c>
      <c r="E9" s="33">
        <f>C31*'E Balans VL '!I19/100/3.6*1000000</f>
        <v>374.2565729312887</v>
      </c>
      <c r="F9" s="33">
        <f>C31*'E Balans VL '!L19/100/3.6*1000000+C31*'E Balans VL '!N19/100/3.6*1000000</f>
        <v>1072.8120226696819</v>
      </c>
      <c r="G9" s="34"/>
      <c r="H9" s="33"/>
      <c r="I9" s="33"/>
      <c r="J9" s="40">
        <f>C31*'E Balans VL '!D19/100/3.6*1000000+C31*'E Balans VL '!E19/100/3.6*1000000</f>
        <v>0</v>
      </c>
      <c r="K9" s="33"/>
      <c r="L9" s="33"/>
      <c r="M9" s="33"/>
      <c r="N9" s="33">
        <f>C31*'E Balans VL '!Y19/100/3.6*1000000</f>
        <v>440.63565117824277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15.703290000000001</v>
      </c>
      <c r="C13" s="33"/>
      <c r="D13" s="37">
        <f>IF( ISERROR(IND_papier_gas_kWh/1000),0,IND_papier_gas_kWh/1000)*0.902</f>
        <v>0</v>
      </c>
      <c r="E13" s="33">
        <f>C35*'E Balans VL '!I23/100/3.6*1000000</f>
        <v>3.2522573536551941E-2</v>
      </c>
      <c r="F13" s="33">
        <f>C35*'E Balans VL '!L23/100/3.6*1000000+C35*'E Balans VL '!N23/100/3.6*1000000</f>
        <v>0.31142990587802538</v>
      </c>
      <c r="G13" s="34"/>
      <c r="H13" s="33"/>
      <c r="I13" s="33"/>
      <c r="J13" s="40">
        <f>C35*'E Balans VL '!D23/100/3.6*1000000+C35*'E Balans VL '!E23/100/3.6*1000000</f>
        <v>0</v>
      </c>
      <c r="K13" s="33"/>
      <c r="L13" s="33"/>
      <c r="M13" s="33"/>
      <c r="N13" s="33">
        <f>C35*'E Balans VL '!Y23/100/3.6*1000000</f>
        <v>6.6306807353382808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35861.203000000001</v>
      </c>
      <c r="C15" s="33"/>
      <c r="D15" s="37">
        <f>IF( ISERROR(IND_rest_gas_kWh/1000),0,IND_rest_gas_kWh/1000)*0.902</f>
        <v>31540.920482691068</v>
      </c>
      <c r="E15" s="33">
        <f>C37*'E Balans VL '!I15/100/3.6*1000000</f>
        <v>1824.3709374516311</v>
      </c>
      <c r="F15" s="33">
        <f>C37*'E Balans VL '!L15/100/3.6*1000000+C37*'E Balans VL '!N15/100/3.6*1000000</f>
        <v>8174.1174133148252</v>
      </c>
      <c r="G15" s="34"/>
      <c r="H15" s="33"/>
      <c r="I15" s="33"/>
      <c r="J15" s="40">
        <f>C37*'E Balans VL '!D15/100/3.6*1000000+C37*'E Balans VL '!E15/100/3.6*1000000</f>
        <v>150.44959372284336</v>
      </c>
      <c r="K15" s="33"/>
      <c r="L15" s="33"/>
      <c r="M15" s="33"/>
      <c r="N15" s="33">
        <f>C37*'E Balans VL '!Y15/100/3.6*1000000</f>
        <v>6737.7419695270573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37292.258560000002</v>
      </c>
      <c r="C18" s="21">
        <f>C5+C16</f>
        <v>0</v>
      </c>
      <c r="D18" s="21">
        <f>MAX((D5+D16),0)</f>
        <v>31687.666355966703</v>
      </c>
      <c r="E18" s="21">
        <f>MAX((E5+E16),0)</f>
        <v>2200.0168764416767</v>
      </c>
      <c r="F18" s="21">
        <f>MAX((F5+F16),0)</f>
        <v>9264.2325145939813</v>
      </c>
      <c r="G18" s="21"/>
      <c r="H18" s="21"/>
      <c r="I18" s="21"/>
      <c r="J18" s="21">
        <f>MAX((J5+J16),0)</f>
        <v>150.44959372284336</v>
      </c>
      <c r="K18" s="21"/>
      <c r="L18" s="21">
        <f>MAX((L5+L16),0)</f>
        <v>0</v>
      </c>
      <c r="M18" s="21"/>
      <c r="N18" s="21">
        <f>MAX((N5+N16),0)</f>
        <v>7186.3703548465282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0.20932890607406679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7806.3476893960533</v>
      </c>
      <c r="C22" s="23">
        <f ca="1">C18*C20</f>
        <v>0</v>
      </c>
      <c r="D22" s="23">
        <f>D18*D20</f>
        <v>6400.9086039052745</v>
      </c>
      <c r="E22" s="23">
        <f>E18*E20</f>
        <v>499.40383095226065</v>
      </c>
      <c r="F22" s="23">
        <f>F18*F20</f>
        <v>2473.5500813965932</v>
      </c>
      <c r="G22" s="23"/>
      <c r="H22" s="23"/>
      <c r="I22" s="23"/>
      <c r="J22" s="23">
        <f>J18*J20</f>
        <v>53.259156177886545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54.216269999999994</v>
      </c>
      <c r="C30" s="39">
        <f>IF(ISERROR(B30*3.6/1000000/'E Balans VL '!Z18*100),0,B30*3.6/1000000/'E Balans VL '!Z18*100)</f>
        <v>7.5884710228422301E-3</v>
      </c>
      <c r="D30" s="237" t="s">
        <v>692</v>
      </c>
    </row>
    <row r="31" spans="1:18">
      <c r="A31" s="6" t="s">
        <v>33</v>
      </c>
      <c r="B31" s="37">
        <f>IF( ISERROR(IND_ander_ele_kWh/1000),0,IND_ander_ele_kWh/1000)</f>
        <v>1361.136</v>
      </c>
      <c r="C31" s="39">
        <f>IF(ISERROR(B31*3.6/1000000/'E Balans VL '!Z19*100),0,B31*3.6/1000000/'E Balans VL '!Z19*100)</f>
        <v>5.9576701912369696E-2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15.703290000000001</v>
      </c>
      <c r="C35" s="39">
        <f>IF(ISERROR(B35*3.6/1000000/'E Balans VL '!Z22*100),0,B35*3.6/1000000/'E Balans VL '!Z22*100)</f>
        <v>4.4559530421999123E-4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35861.203000000001</v>
      </c>
      <c r="C37" s="39">
        <f>IF(ISERROR(B37*3.6/1000000/'E Balans VL '!Z15*100),0,B37*3.6/1000000/'E Balans VL '!Z15*100)</f>
        <v>0.26590468054723626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573.99384999999995</v>
      </c>
      <c r="C5" s="17">
        <f>'Eigen informatie GS &amp; warmtenet'!B60</f>
        <v>0</v>
      </c>
      <c r="D5" s="30">
        <f>IF(ISERROR(SUM(LB_lb_gas_kWh,LB_rest_gas_kWh)/1000),0,SUM(LB_lb_gas_kWh,LB_rest_gas_kWh)/1000)*0.902</f>
        <v>90.248515441490994</v>
      </c>
      <c r="E5" s="17">
        <f>B17*'E Balans VL '!I25/3.6*1000000/100</f>
        <v>5.3165714494233951</v>
      </c>
      <c r="F5" s="17">
        <f>B17*('E Balans VL '!L25/3.6*1000000+'E Balans VL '!N25/3.6*1000000)/100</f>
        <v>1456.3317431662122</v>
      </c>
      <c r="G5" s="18"/>
      <c r="H5" s="17"/>
      <c r="I5" s="17"/>
      <c r="J5" s="17">
        <f>('E Balans VL '!D25+'E Balans VL '!E25)/3.6*1000000*landbouw!B17/100</f>
        <v>87.999662995061897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573.99384999999995</v>
      </c>
      <c r="C8" s="21">
        <f>C5+C6</f>
        <v>0</v>
      </c>
      <c r="D8" s="21">
        <f>MAX((D5+D6),0)</f>
        <v>90.248515441490994</v>
      </c>
      <c r="E8" s="21">
        <f>MAX((E5+E6),0)</f>
        <v>5.3165714494233951</v>
      </c>
      <c r="F8" s="21">
        <f>MAX((F5+F6),0)</f>
        <v>1456.3317431662122</v>
      </c>
      <c r="G8" s="21"/>
      <c r="H8" s="21"/>
      <c r="I8" s="21"/>
      <c r="J8" s="21">
        <f>MAX((J5+J6),0)</f>
        <v>87.999662995061897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0.20932890607406679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120.15350471374197</v>
      </c>
      <c r="C12" s="23">
        <f ca="1">C8*C10</f>
        <v>0</v>
      </c>
      <c r="D12" s="23">
        <f>D8*D10</f>
        <v>18.23020011918118</v>
      </c>
      <c r="E12" s="23">
        <f>E8*E10</f>
        <v>1.2068617190191107</v>
      </c>
      <c r="F12" s="23">
        <f>F8*F10</f>
        <v>388.84057542537869</v>
      </c>
      <c r="G12" s="23"/>
      <c r="H12" s="23"/>
      <c r="I12" s="23"/>
      <c r="J12" s="23">
        <f>J8*J10</f>
        <v>31.151880700251908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8.1609754696673142E-2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18.782457381454773</v>
      </c>
      <c r="C26" s="247">
        <f>B26*'GWP N2O_CH4'!B5</f>
        <v>394.43160501055024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1.5847715251819776</v>
      </c>
      <c r="C27" s="247">
        <f>B27*'GWP N2O_CH4'!B5</f>
        <v>33.280202028821527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0.27678653535967429</v>
      </c>
      <c r="C28" s="247">
        <f>B28*'GWP N2O_CH4'!B4</f>
        <v>85.80382596149903</v>
      </c>
      <c r="D28" s="50"/>
    </row>
    <row r="29" spans="1:4">
      <c r="A29" s="41" t="s">
        <v>277</v>
      </c>
      <c r="B29" s="247">
        <f>B34*'ha_N2O bodem landbouw'!B4</f>
        <v>6.1828811958484788</v>
      </c>
      <c r="C29" s="247">
        <f>B29*'GWP N2O_CH4'!B4</f>
        <v>1916.6931707130284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1.3867113264918283E-3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9.6365966218696174E-5</v>
      </c>
      <c r="C5" s="464" t="s">
        <v>211</v>
      </c>
      <c r="D5" s="449">
        <f>SUM(D6:D11)</f>
        <v>2.4836372227730766E-4</v>
      </c>
      <c r="E5" s="449">
        <f>SUM(E6:E11)</f>
        <v>1.7633856373361818E-3</v>
      </c>
      <c r="F5" s="462" t="s">
        <v>211</v>
      </c>
      <c r="G5" s="449">
        <f>SUM(G6:G11)</f>
        <v>0.48219511695325101</v>
      </c>
      <c r="H5" s="449">
        <f>SUM(H6:H11)</f>
        <v>9.5841985324279927E-2</v>
      </c>
      <c r="I5" s="464" t="s">
        <v>211</v>
      </c>
      <c r="J5" s="464" t="s">
        <v>211</v>
      </c>
      <c r="K5" s="464" t="s">
        <v>211</v>
      </c>
      <c r="L5" s="464" t="s">
        <v>211</v>
      </c>
      <c r="M5" s="449">
        <f>SUM(M6:M11)</f>
        <v>3.0843172569222754E-2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4.1185958064912072E-5</v>
      </c>
      <c r="C6" s="450"/>
      <c r="D6" s="893">
        <f>vkm_2011_GW_PW*SUMIFS(TableVerdeelsleutelVkm[CNG],TableVerdeelsleutelVkm[Voertuigtype],"Lichte voertuigen")*SUMIFS(TableECFTransport[EnergieConsumptieFactor (PJ per km)],TableECFTransport[Index],CONCATENATE($A6,"_CNG_CNG"))</f>
        <v>9.5267655390289017E-5</v>
      </c>
      <c r="E6" s="893">
        <f>vkm_2011_GW_PW*SUMIFS(TableVerdeelsleutelVkm[LPG],TableVerdeelsleutelVkm[Voertuigtype],"Lichte voertuigen")*SUMIFS(TableECFTransport[EnergieConsumptieFactor (PJ per km)],TableECFTransport[Index],CONCATENATE($A6,"_LPG_LPG"))</f>
        <v>6.2032544137594168E-4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0.12886802111080345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3.6325232013911871E-2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8.5726734866141494E-3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4.9572855315769875E-2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1.6953016233003428E-5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2.8680706717129963E-3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1.1565903884542036E-5</v>
      </c>
      <c r="C8" s="450"/>
      <c r="D8" s="452">
        <f>vkm_2011_NGW_PW*SUMIFS(TableVerdeelsleutelVkm[CNG],TableVerdeelsleutelVkm[Voertuigtype],"Lichte voertuigen")*SUMIFS(TableECFTransport[EnergieConsumptieFactor (PJ per km)],TableECFTransport[Index],CONCATENATE($A8,"_CNG_CNG"))</f>
        <v>4.7318608325241448E-5</v>
      </c>
      <c r="E8" s="452">
        <f>vkm_2011_NGW_PW*SUMIFS(TableVerdeelsleutelVkm[LPG],TableVerdeelsleutelVkm[Voertuigtype],"Lichte voertuigen")*SUMIFS(TableECFTransport[EnergieConsumptieFactor (PJ per km)],TableECFTransport[Index],CONCATENATE($A8,"_LPG_LPG"))</f>
        <v>2.8435366176376525E-4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5.5221063380646446E-2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1.7445750614563625E-2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3.7313435749271998E-3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2.8386760055084028E-3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9.1856248854069582E-7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1.6423188986463977E-4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4.3614104269242057E-5</v>
      </c>
      <c r="C10" s="450"/>
      <c r="D10" s="452">
        <f>vkm_2011_SW_PW*SUMIFS(TableVerdeelsleutelVkm[CNG],TableVerdeelsleutelVkm[Voertuigtype],"Lichte voertuigen")*SUMIFS(TableECFTransport[EnergieConsumptieFactor (PJ per km)],TableECFTransport[Index],CONCATENATE($A10,"_CNG_CNG"))</f>
        <v>1.0577745856177716E-4</v>
      </c>
      <c r="E10" s="452">
        <f>vkm_2011_SW_PW*SUMIFS(TableVerdeelsleutelVkm[LPG],TableVerdeelsleutelVkm[Voertuigtype],"Lichte voertuigen")*SUMIFS(TableECFTransport[EnergieConsumptieFactor (PJ per km)],TableECFTransport[Index],CONCATENATE($A10,"_LPG_LPG"))</f>
        <v>8.587065341964748E-4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0.16060277749314458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4.2021769518880807E-2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1.058374478183445E-2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8.509172364737827E-2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3.1361598202083206E-5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4.9231081642693211E-3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26.768323949637828</v>
      </c>
      <c r="C14" s="21"/>
      <c r="D14" s="21">
        <f t="shared" ref="D14:M14" si="0">((D5)*10^9/3600)+D12</f>
        <v>68.989922854807674</v>
      </c>
      <c r="E14" s="21">
        <f t="shared" si="0"/>
        <v>489.82934370449493</v>
      </c>
      <c r="F14" s="21"/>
      <c r="G14" s="21">
        <f t="shared" si="0"/>
        <v>133943.08804256973</v>
      </c>
      <c r="H14" s="21">
        <f t="shared" si="0"/>
        <v>26622.773701188871</v>
      </c>
      <c r="I14" s="21"/>
      <c r="J14" s="21"/>
      <c r="K14" s="21"/>
      <c r="L14" s="21"/>
      <c r="M14" s="21">
        <f t="shared" si="0"/>
        <v>8567.5479358952107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0.20932890607406679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5.6033839698139296</v>
      </c>
      <c r="C18" s="23"/>
      <c r="D18" s="23">
        <f t="shared" ref="D18:M18" si="1">D14*D16</f>
        <v>13.935964416671151</v>
      </c>
      <c r="E18" s="23">
        <f t="shared" si="1"/>
        <v>111.19126102092035</v>
      </c>
      <c r="F18" s="23"/>
      <c r="G18" s="23">
        <f t="shared" si="1"/>
        <v>35762.80450736612</v>
      </c>
      <c r="H18" s="23">
        <f t="shared" si="1"/>
        <v>6629.0706515960292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5.923406982245358E-3</v>
      </c>
      <c r="H50" s="321">
        <f t="shared" si="2"/>
        <v>0</v>
      </c>
      <c r="I50" s="321">
        <f t="shared" si="2"/>
        <v>0</v>
      </c>
      <c r="J50" s="321">
        <f t="shared" si="2"/>
        <v>0</v>
      </c>
      <c r="K50" s="321">
        <f t="shared" si="2"/>
        <v>0</v>
      </c>
      <c r="L50" s="321">
        <f t="shared" si="2"/>
        <v>0</v>
      </c>
      <c r="M50" s="321">
        <f t="shared" si="2"/>
        <v>3.3779463253330464E-4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5.923406982245358E-3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3.3779463253330464E-4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1645.3908284014883</v>
      </c>
      <c r="H54" s="21">
        <f t="shared" si="3"/>
        <v>0</v>
      </c>
      <c r="I54" s="21">
        <f t="shared" si="3"/>
        <v>0</v>
      </c>
      <c r="J54" s="21">
        <f t="shared" si="3"/>
        <v>0</v>
      </c>
      <c r="K54" s="21">
        <f t="shared" si="3"/>
        <v>0</v>
      </c>
      <c r="L54" s="21">
        <f t="shared" si="3"/>
        <v>0</v>
      </c>
      <c r="M54" s="21">
        <f t="shared" si="3"/>
        <v>93.831842370362395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0.20932890607406679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439.3193511831974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16157.104299999999</v>
      </c>
      <c r="D10" s="1025">
        <f ca="1">tertiair!C16</f>
        <v>50.625</v>
      </c>
      <c r="E10" s="1025">
        <f ca="1">tertiair!D16</f>
        <v>11623.219518470782</v>
      </c>
      <c r="F10" s="1025">
        <f>tertiair!E16</f>
        <v>174.72023240435553</v>
      </c>
      <c r="G10" s="1025">
        <f ca="1">tertiair!F16</f>
        <v>2402.4503275501306</v>
      </c>
      <c r="H10" s="1025">
        <f>tertiair!G16</f>
        <v>0</v>
      </c>
      <c r="I10" s="1025">
        <f>tertiair!H16</f>
        <v>0</v>
      </c>
      <c r="J10" s="1025">
        <f>tertiair!I16</f>
        <v>0</v>
      </c>
      <c r="K10" s="1025">
        <f>tertiair!J16</f>
        <v>0</v>
      </c>
      <c r="L10" s="1025">
        <f>tertiair!K16</f>
        <v>0</v>
      </c>
      <c r="M10" s="1025">
        <f ca="1">tertiair!L16</f>
        <v>0</v>
      </c>
      <c r="N10" s="1025">
        <f>tertiair!M16</f>
        <v>0</v>
      </c>
      <c r="O10" s="1025">
        <f ca="1">tertiair!N16</f>
        <v>1994.2724707867651</v>
      </c>
      <c r="P10" s="1025">
        <f>tertiair!O16</f>
        <v>1.5633333333333335</v>
      </c>
      <c r="Q10" s="1026">
        <f>tertiair!P16</f>
        <v>0</v>
      </c>
      <c r="R10" s="701">
        <f ca="1">SUM(C10:Q10)</f>
        <v>32403.95518254536</v>
      </c>
      <c r="S10" s="67"/>
    </row>
    <row r="11" spans="1:19" s="474" customFormat="1">
      <c r="A11" s="810" t="s">
        <v>225</v>
      </c>
      <c r="B11" s="815"/>
      <c r="C11" s="1025">
        <f>huishoudens!B8</f>
        <v>31162.112043654193</v>
      </c>
      <c r="D11" s="1025">
        <f>huishoudens!C8</f>
        <v>0</v>
      </c>
      <c r="E11" s="1025">
        <f>huishoudens!D8</f>
        <v>37844.29183605501</v>
      </c>
      <c r="F11" s="1025">
        <f>huishoudens!E8</f>
        <v>7469.8903773601087</v>
      </c>
      <c r="G11" s="1025">
        <f>huishoudens!F8</f>
        <v>50259.479364531464</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8206.0608753128108</v>
      </c>
      <c r="P11" s="1025">
        <f>huishoudens!O8</f>
        <v>311.10333333333335</v>
      </c>
      <c r="Q11" s="1026">
        <f>huishoudens!P8</f>
        <v>991.4666666666667</v>
      </c>
      <c r="R11" s="701">
        <f>SUM(C11:Q11)</f>
        <v>136244.4044969136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37292.258560000002</v>
      </c>
      <c r="D13" s="1025">
        <f>industrie!C18</f>
        <v>0</v>
      </c>
      <c r="E13" s="1025">
        <f>industrie!D18</f>
        <v>31687.666355966703</v>
      </c>
      <c r="F13" s="1025">
        <f>industrie!E18</f>
        <v>2200.0168764416767</v>
      </c>
      <c r="G13" s="1025">
        <f>industrie!F18</f>
        <v>9264.2325145939813</v>
      </c>
      <c r="H13" s="1025">
        <f>industrie!G18</f>
        <v>0</v>
      </c>
      <c r="I13" s="1025">
        <f>industrie!H18</f>
        <v>0</v>
      </c>
      <c r="J13" s="1025">
        <f>industrie!I18</f>
        <v>0</v>
      </c>
      <c r="K13" s="1025">
        <f>industrie!J18</f>
        <v>150.44959372284336</v>
      </c>
      <c r="L13" s="1025">
        <f>industrie!K18</f>
        <v>0</v>
      </c>
      <c r="M13" s="1025">
        <f>industrie!L18</f>
        <v>0</v>
      </c>
      <c r="N13" s="1025">
        <f>industrie!M18</f>
        <v>0</v>
      </c>
      <c r="O13" s="1025">
        <f>industrie!N18</f>
        <v>7186.3703548465282</v>
      </c>
      <c r="P13" s="1025">
        <f>industrie!O18</f>
        <v>0</v>
      </c>
      <c r="Q13" s="1026">
        <f>industrie!P18</f>
        <v>0</v>
      </c>
      <c r="R13" s="701">
        <f>SUM(C13:Q13)</f>
        <v>87780.994255571743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84611.474903654191</v>
      </c>
      <c r="D16" s="733">
        <f t="shared" ref="D16:R16" ca="1" si="0">SUM(D9:D15)</f>
        <v>50.625</v>
      </c>
      <c r="E16" s="733">
        <f t="shared" ca="1" si="0"/>
        <v>81155.177710492499</v>
      </c>
      <c r="F16" s="733">
        <f t="shared" si="0"/>
        <v>9844.62748620614</v>
      </c>
      <c r="G16" s="733">
        <f t="shared" ca="1" si="0"/>
        <v>61926.162206675581</v>
      </c>
      <c r="H16" s="733">
        <f t="shared" si="0"/>
        <v>0</v>
      </c>
      <c r="I16" s="733">
        <f t="shared" si="0"/>
        <v>0</v>
      </c>
      <c r="J16" s="733">
        <f t="shared" si="0"/>
        <v>0</v>
      </c>
      <c r="K16" s="733">
        <f t="shared" si="0"/>
        <v>150.44959372284336</v>
      </c>
      <c r="L16" s="733">
        <f t="shared" si="0"/>
        <v>0</v>
      </c>
      <c r="M16" s="733">
        <f t="shared" ca="1" si="0"/>
        <v>0</v>
      </c>
      <c r="N16" s="733">
        <f t="shared" si="0"/>
        <v>0</v>
      </c>
      <c r="O16" s="733">
        <f t="shared" ca="1" si="0"/>
        <v>17386.703700946106</v>
      </c>
      <c r="P16" s="733">
        <f t="shared" si="0"/>
        <v>312.66666666666669</v>
      </c>
      <c r="Q16" s="733">
        <f t="shared" si="0"/>
        <v>991.4666666666667</v>
      </c>
      <c r="R16" s="733">
        <f t="shared" ca="1" si="0"/>
        <v>256429.3539350307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1645.3908284014883</v>
      </c>
      <c r="I19" s="1025">
        <f>transport!H54</f>
        <v>0</v>
      </c>
      <c r="J19" s="1025">
        <f>transport!I54</f>
        <v>0</v>
      </c>
      <c r="K19" s="1025">
        <f>transport!J54</f>
        <v>0</v>
      </c>
      <c r="L19" s="1025">
        <f>transport!K54</f>
        <v>0</v>
      </c>
      <c r="M19" s="1025">
        <f>transport!L54</f>
        <v>0</v>
      </c>
      <c r="N19" s="1025">
        <f>transport!M54</f>
        <v>93.831842370362395</v>
      </c>
      <c r="O19" s="1025">
        <f>transport!N54</f>
        <v>0</v>
      </c>
      <c r="P19" s="1025">
        <f>transport!O54</f>
        <v>0</v>
      </c>
      <c r="Q19" s="1026">
        <f>transport!P54</f>
        <v>0</v>
      </c>
      <c r="R19" s="701">
        <f>SUM(C19:Q19)</f>
        <v>1739.2226707718507</v>
      </c>
      <c r="S19" s="67"/>
    </row>
    <row r="20" spans="1:19" s="474" customFormat="1">
      <c r="A20" s="810" t="s">
        <v>307</v>
      </c>
      <c r="B20" s="815"/>
      <c r="C20" s="1025">
        <f>transport!B14</f>
        <v>26.768323949637828</v>
      </c>
      <c r="D20" s="1025">
        <f>transport!C14</f>
        <v>0</v>
      </c>
      <c r="E20" s="1025">
        <f>transport!D14</f>
        <v>68.989922854807674</v>
      </c>
      <c r="F20" s="1025">
        <f>transport!E14</f>
        <v>489.82934370449493</v>
      </c>
      <c r="G20" s="1025">
        <f>transport!F14</f>
        <v>0</v>
      </c>
      <c r="H20" s="1025">
        <f>transport!G14</f>
        <v>133943.08804256973</v>
      </c>
      <c r="I20" s="1025">
        <f>transport!H14</f>
        <v>26622.773701188871</v>
      </c>
      <c r="J20" s="1025">
        <f>transport!I14</f>
        <v>0</v>
      </c>
      <c r="K20" s="1025">
        <f>transport!J14</f>
        <v>0</v>
      </c>
      <c r="L20" s="1025">
        <f>transport!K14</f>
        <v>0</v>
      </c>
      <c r="M20" s="1025">
        <f>transport!L14</f>
        <v>0</v>
      </c>
      <c r="N20" s="1025">
        <f>transport!M14</f>
        <v>8567.5479358952107</v>
      </c>
      <c r="O20" s="1025">
        <f>transport!N14</f>
        <v>0</v>
      </c>
      <c r="P20" s="1025">
        <f>transport!O14</f>
        <v>0</v>
      </c>
      <c r="Q20" s="1026">
        <f>transport!P14</f>
        <v>0</v>
      </c>
      <c r="R20" s="701">
        <f>SUM(C20:Q20)</f>
        <v>169718.99727016277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26.768323949637828</v>
      </c>
      <c r="D22" s="813">
        <f t="shared" ref="D22:R22" si="1">SUM(D18:D21)</f>
        <v>0</v>
      </c>
      <c r="E22" s="813">
        <f t="shared" si="1"/>
        <v>68.989922854807674</v>
      </c>
      <c r="F22" s="813">
        <f t="shared" si="1"/>
        <v>489.82934370449493</v>
      </c>
      <c r="G22" s="813">
        <f t="shared" si="1"/>
        <v>0</v>
      </c>
      <c r="H22" s="813">
        <f t="shared" si="1"/>
        <v>135588.47887097122</v>
      </c>
      <c r="I22" s="813">
        <f t="shared" si="1"/>
        <v>26622.773701188871</v>
      </c>
      <c r="J22" s="813">
        <f t="shared" si="1"/>
        <v>0</v>
      </c>
      <c r="K22" s="813">
        <f t="shared" si="1"/>
        <v>0</v>
      </c>
      <c r="L22" s="813">
        <f t="shared" si="1"/>
        <v>0</v>
      </c>
      <c r="M22" s="813">
        <f t="shared" si="1"/>
        <v>0</v>
      </c>
      <c r="N22" s="813">
        <f t="shared" si="1"/>
        <v>8661.3797782655729</v>
      </c>
      <c r="O22" s="813">
        <f t="shared" si="1"/>
        <v>0</v>
      </c>
      <c r="P22" s="813">
        <f t="shared" si="1"/>
        <v>0</v>
      </c>
      <c r="Q22" s="813">
        <f t="shared" si="1"/>
        <v>0</v>
      </c>
      <c r="R22" s="813">
        <f t="shared" si="1"/>
        <v>171458.21994093462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573.99384999999995</v>
      </c>
      <c r="D24" s="1025">
        <f>+landbouw!C8</f>
        <v>0</v>
      </c>
      <c r="E24" s="1025">
        <f>+landbouw!D8</f>
        <v>90.248515441490994</v>
      </c>
      <c r="F24" s="1025">
        <f>+landbouw!E8</f>
        <v>5.3165714494233951</v>
      </c>
      <c r="G24" s="1025">
        <f>+landbouw!F8</f>
        <v>1456.3317431662122</v>
      </c>
      <c r="H24" s="1025">
        <f>+landbouw!G8</f>
        <v>0</v>
      </c>
      <c r="I24" s="1025">
        <f>+landbouw!H8</f>
        <v>0</v>
      </c>
      <c r="J24" s="1025">
        <f>+landbouw!I8</f>
        <v>0</v>
      </c>
      <c r="K24" s="1025">
        <f>+landbouw!J8</f>
        <v>87.999662995061897</v>
      </c>
      <c r="L24" s="1025">
        <f>+landbouw!K8</f>
        <v>0</v>
      </c>
      <c r="M24" s="1025">
        <f>+landbouw!L8</f>
        <v>0</v>
      </c>
      <c r="N24" s="1025">
        <f>+landbouw!M8</f>
        <v>0</v>
      </c>
      <c r="O24" s="1025">
        <f>+landbouw!N8</f>
        <v>0</v>
      </c>
      <c r="P24" s="1025">
        <f>+landbouw!O8</f>
        <v>0</v>
      </c>
      <c r="Q24" s="1026">
        <f>+landbouw!P8</f>
        <v>0</v>
      </c>
      <c r="R24" s="701">
        <f>SUM(C24:Q24)</f>
        <v>2213.8903430521887</v>
      </c>
      <c r="S24" s="67"/>
    </row>
    <row r="25" spans="1:19" s="474" customFormat="1" ht="15" thickBot="1">
      <c r="A25" s="832" t="s">
        <v>864</v>
      </c>
      <c r="B25" s="1028"/>
      <c r="C25" s="1029">
        <f>IF(Onbekend_ele_kWh="---",0,Onbekend_ele_kWh)/1000+IF(REST_rest_ele_kWh="---",0,REST_rest_ele_kWh)/1000</f>
        <v>958.84819999999991</v>
      </c>
      <c r="D25" s="1029"/>
      <c r="E25" s="1029">
        <f>IF(onbekend_gas_kWh="---",0,onbekend_gas_kWh)/1000+IF(REST_rest_gas_kWh="---",0,REST_rest_gas_kWh)/1000</f>
        <v>1428.46269783499</v>
      </c>
      <c r="F25" s="1029"/>
      <c r="G25" s="1029"/>
      <c r="H25" s="1029"/>
      <c r="I25" s="1029"/>
      <c r="J25" s="1029"/>
      <c r="K25" s="1029"/>
      <c r="L25" s="1029"/>
      <c r="M25" s="1029"/>
      <c r="N25" s="1029"/>
      <c r="O25" s="1029"/>
      <c r="P25" s="1029"/>
      <c r="Q25" s="1030"/>
      <c r="R25" s="701">
        <f>SUM(C25:Q25)</f>
        <v>2387.3108978349901</v>
      </c>
      <c r="S25" s="67"/>
    </row>
    <row r="26" spans="1:19" s="474" customFormat="1" ht="15.75" thickBot="1">
      <c r="A26" s="706" t="s">
        <v>865</v>
      </c>
      <c r="B26" s="818"/>
      <c r="C26" s="813">
        <f>SUM(C24:C25)</f>
        <v>1532.8420499999997</v>
      </c>
      <c r="D26" s="813">
        <f t="shared" ref="D26:R26" si="2">SUM(D24:D25)</f>
        <v>0</v>
      </c>
      <c r="E26" s="813">
        <f t="shared" si="2"/>
        <v>1518.711213276481</v>
      </c>
      <c r="F26" s="813">
        <f t="shared" si="2"/>
        <v>5.3165714494233951</v>
      </c>
      <c r="G26" s="813">
        <f t="shared" si="2"/>
        <v>1456.3317431662122</v>
      </c>
      <c r="H26" s="813">
        <f t="shared" si="2"/>
        <v>0</v>
      </c>
      <c r="I26" s="813">
        <f t="shared" si="2"/>
        <v>0</v>
      </c>
      <c r="J26" s="813">
        <f t="shared" si="2"/>
        <v>0</v>
      </c>
      <c r="K26" s="813">
        <f t="shared" si="2"/>
        <v>87.999662995061897</v>
      </c>
      <c r="L26" s="813">
        <f t="shared" si="2"/>
        <v>0</v>
      </c>
      <c r="M26" s="813">
        <f t="shared" si="2"/>
        <v>0</v>
      </c>
      <c r="N26" s="813">
        <f t="shared" si="2"/>
        <v>0</v>
      </c>
      <c r="O26" s="813">
        <f t="shared" si="2"/>
        <v>0</v>
      </c>
      <c r="P26" s="813">
        <f t="shared" si="2"/>
        <v>0</v>
      </c>
      <c r="Q26" s="813">
        <f t="shared" si="2"/>
        <v>0</v>
      </c>
      <c r="R26" s="813">
        <f t="shared" si="2"/>
        <v>4601.2012408871788</v>
      </c>
      <c r="S26" s="67"/>
    </row>
    <row r="27" spans="1:19" s="474" customFormat="1" ht="17.25" thickTop="1" thickBot="1">
      <c r="A27" s="707" t="s">
        <v>116</v>
      </c>
      <c r="B27" s="806"/>
      <c r="C27" s="708">
        <f ca="1">C22+C16+C26</f>
        <v>86171.085277603837</v>
      </c>
      <c r="D27" s="708">
        <f t="shared" ref="D27:R27" ca="1" si="3">D22+D16+D26</f>
        <v>50.625</v>
      </c>
      <c r="E27" s="708">
        <f t="shared" ca="1" si="3"/>
        <v>82742.878846623775</v>
      </c>
      <c r="F27" s="708">
        <f t="shared" si="3"/>
        <v>10339.773401360058</v>
      </c>
      <c r="G27" s="708">
        <f t="shared" ca="1" si="3"/>
        <v>63382.493949841795</v>
      </c>
      <c r="H27" s="708">
        <f t="shared" si="3"/>
        <v>135588.47887097122</v>
      </c>
      <c r="I27" s="708">
        <f t="shared" si="3"/>
        <v>26622.773701188871</v>
      </c>
      <c r="J27" s="708">
        <f t="shared" si="3"/>
        <v>0</v>
      </c>
      <c r="K27" s="708">
        <f t="shared" si="3"/>
        <v>238.44925671790526</v>
      </c>
      <c r="L27" s="708">
        <f t="shared" si="3"/>
        <v>0</v>
      </c>
      <c r="M27" s="708">
        <f t="shared" ca="1" si="3"/>
        <v>0</v>
      </c>
      <c r="N27" s="708">
        <f t="shared" si="3"/>
        <v>8661.3797782655729</v>
      </c>
      <c r="O27" s="708">
        <f t="shared" ca="1" si="3"/>
        <v>17386.703700946106</v>
      </c>
      <c r="P27" s="708">
        <f t="shared" si="3"/>
        <v>312.66666666666669</v>
      </c>
      <c r="Q27" s="708">
        <f t="shared" si="3"/>
        <v>991.4666666666667</v>
      </c>
      <c r="R27" s="708">
        <f t="shared" ca="1" si="3"/>
        <v>432488.77511685248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3382.1489684436006</v>
      </c>
      <c r="D40" s="1025">
        <f ca="1">tertiair!C20</f>
        <v>0</v>
      </c>
      <c r="E40" s="1025">
        <f ca="1">tertiair!D20</f>
        <v>2347.8903427310979</v>
      </c>
      <c r="F40" s="1025">
        <f>tertiair!E20</f>
        <v>39.661492755788707</v>
      </c>
      <c r="G40" s="1025">
        <f ca="1">tertiair!F20</f>
        <v>641.45423745588494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6411.1550413863715</v>
      </c>
    </row>
    <row r="41" spans="1:18">
      <c r="A41" s="823" t="s">
        <v>225</v>
      </c>
      <c r="B41" s="830"/>
      <c r="C41" s="1025">
        <f ca="1">huishoudens!B12</f>
        <v>6523.130825055634</v>
      </c>
      <c r="D41" s="1025">
        <f ca="1">huishoudens!C12</f>
        <v>0</v>
      </c>
      <c r="E41" s="1025">
        <f>huishoudens!D12</f>
        <v>7644.5469508831129</v>
      </c>
      <c r="F41" s="1025">
        <f>huishoudens!E12</f>
        <v>1695.6651156607447</v>
      </c>
      <c r="G41" s="1025">
        <f>huishoudens!F12</f>
        <v>13419.280990329902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29282.623881929394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7806.3476893960533</v>
      </c>
      <c r="D43" s="1025">
        <f ca="1">industrie!C22</f>
        <v>0</v>
      </c>
      <c r="E43" s="1025">
        <f>industrie!D22</f>
        <v>6400.9086039052745</v>
      </c>
      <c r="F43" s="1025">
        <f>industrie!E22</f>
        <v>499.40383095226065</v>
      </c>
      <c r="G43" s="1025">
        <f>industrie!F22</f>
        <v>2473.5500813965932</v>
      </c>
      <c r="H43" s="1025">
        <f>industrie!G22</f>
        <v>0</v>
      </c>
      <c r="I43" s="1025">
        <f>industrie!H22</f>
        <v>0</v>
      </c>
      <c r="J43" s="1025">
        <f>industrie!I22</f>
        <v>0</v>
      </c>
      <c r="K43" s="1025">
        <f>industrie!J22</f>
        <v>53.259156177886545</v>
      </c>
      <c r="L43" s="1025">
        <f>industrie!K22</f>
        <v>0</v>
      </c>
      <c r="M43" s="1025">
        <f>industrie!L22</f>
        <v>0</v>
      </c>
      <c r="N43" s="1025">
        <f>industrie!M22</f>
        <v>0</v>
      </c>
      <c r="O43" s="1025">
        <f>industrie!N22</f>
        <v>0</v>
      </c>
      <c r="P43" s="1025">
        <f>industrie!O22</f>
        <v>0</v>
      </c>
      <c r="Q43" s="775">
        <f>industrie!P22</f>
        <v>0</v>
      </c>
      <c r="R43" s="850">
        <f t="shared" ca="1" si="4"/>
        <v>17233.469361828069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17711.627482895288</v>
      </c>
      <c r="D46" s="733">
        <f t="shared" ref="D46:Q46" ca="1" si="5">SUM(D39:D45)</f>
        <v>0</v>
      </c>
      <c r="E46" s="733">
        <f t="shared" ca="1" si="5"/>
        <v>16393.345897519484</v>
      </c>
      <c r="F46" s="733">
        <f t="shared" si="5"/>
        <v>2234.7304393687941</v>
      </c>
      <c r="G46" s="733">
        <f t="shared" ca="1" si="5"/>
        <v>16534.285309182378</v>
      </c>
      <c r="H46" s="733">
        <f t="shared" si="5"/>
        <v>0</v>
      </c>
      <c r="I46" s="733">
        <f t="shared" si="5"/>
        <v>0</v>
      </c>
      <c r="J46" s="733">
        <f t="shared" si="5"/>
        <v>0</v>
      </c>
      <c r="K46" s="733">
        <f t="shared" si="5"/>
        <v>53.259156177886545</v>
      </c>
      <c r="L46" s="733">
        <f t="shared" si="5"/>
        <v>0</v>
      </c>
      <c r="M46" s="733">
        <f t="shared" ca="1" si="5"/>
        <v>0</v>
      </c>
      <c r="N46" s="733">
        <f t="shared" si="5"/>
        <v>0</v>
      </c>
      <c r="O46" s="733">
        <f t="shared" ca="1" si="5"/>
        <v>0</v>
      </c>
      <c r="P46" s="733">
        <f t="shared" si="5"/>
        <v>0</v>
      </c>
      <c r="Q46" s="733">
        <f t="shared" si="5"/>
        <v>0</v>
      </c>
      <c r="R46" s="733">
        <f ca="1">SUM(R39:R45)</f>
        <v>52927.24828514384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439.3193511831974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439.3193511831974</v>
      </c>
    </row>
    <row r="50" spans="1:18">
      <c r="A50" s="826" t="s">
        <v>307</v>
      </c>
      <c r="B50" s="836"/>
      <c r="C50" s="704">
        <f ca="1">transport!B18</f>
        <v>5.6033839698139296</v>
      </c>
      <c r="D50" s="704">
        <f>transport!C18</f>
        <v>0</v>
      </c>
      <c r="E50" s="704">
        <f>transport!D18</f>
        <v>13.935964416671151</v>
      </c>
      <c r="F50" s="704">
        <f>transport!E18</f>
        <v>111.19126102092035</v>
      </c>
      <c r="G50" s="704">
        <f>transport!F18</f>
        <v>0</v>
      </c>
      <c r="H50" s="704">
        <f>transport!G18</f>
        <v>35762.80450736612</v>
      </c>
      <c r="I50" s="704">
        <f>transport!H18</f>
        <v>6629.0706515960292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42522.605768369554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5.6033839698139296</v>
      </c>
      <c r="D52" s="733">
        <f t="shared" ref="D52:Q52" ca="1" si="6">SUM(D48:D51)</f>
        <v>0</v>
      </c>
      <c r="E52" s="733">
        <f t="shared" si="6"/>
        <v>13.935964416671151</v>
      </c>
      <c r="F52" s="733">
        <f t="shared" si="6"/>
        <v>111.19126102092035</v>
      </c>
      <c r="G52" s="733">
        <f t="shared" si="6"/>
        <v>0</v>
      </c>
      <c r="H52" s="733">
        <f t="shared" si="6"/>
        <v>36202.123858549319</v>
      </c>
      <c r="I52" s="733">
        <f t="shared" si="6"/>
        <v>6629.0706515960292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42961.925119552754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120.15350471374197</v>
      </c>
      <c r="D54" s="704">
        <f ca="1">+landbouw!C12</f>
        <v>0</v>
      </c>
      <c r="E54" s="704">
        <f>+landbouw!D12</f>
        <v>18.23020011918118</v>
      </c>
      <c r="F54" s="704">
        <f>+landbouw!E12</f>
        <v>1.2068617190191107</v>
      </c>
      <c r="G54" s="704">
        <f>+landbouw!F12</f>
        <v>388.84057542537869</v>
      </c>
      <c r="H54" s="704">
        <f>+landbouw!G12</f>
        <v>0</v>
      </c>
      <c r="I54" s="704">
        <f>+landbouw!H12</f>
        <v>0</v>
      </c>
      <c r="J54" s="704">
        <f>+landbouw!I12</f>
        <v>0</v>
      </c>
      <c r="K54" s="704">
        <f>+landbouw!J12</f>
        <v>31.151880700251908</v>
      </c>
      <c r="L54" s="704">
        <f>+landbouw!K12</f>
        <v>0</v>
      </c>
      <c r="M54" s="704">
        <f>+landbouw!L12</f>
        <v>0</v>
      </c>
      <c r="N54" s="704">
        <f>+landbouw!M12</f>
        <v>0</v>
      </c>
      <c r="O54" s="704">
        <f>+landbouw!N12</f>
        <v>0</v>
      </c>
      <c r="P54" s="704">
        <f>+landbouw!O12</f>
        <v>0</v>
      </c>
      <c r="Q54" s="705">
        <f>+landbouw!P12</f>
        <v>0</v>
      </c>
      <c r="R54" s="732">
        <f ca="1">SUM(C54:Q54)</f>
        <v>559.5830226775729</v>
      </c>
    </row>
    <row r="55" spans="1:18" ht="15" thickBot="1">
      <c r="A55" s="826" t="s">
        <v>864</v>
      </c>
      <c r="B55" s="836"/>
      <c r="C55" s="704">
        <f ca="1">C25*'EF ele_warmte'!B12</f>
        <v>200.714644797088</v>
      </c>
      <c r="D55" s="704"/>
      <c r="E55" s="704">
        <f>E25*EF_CO2_aardgas</f>
        <v>288.54946496266797</v>
      </c>
      <c r="F55" s="704"/>
      <c r="G55" s="704"/>
      <c r="H55" s="704"/>
      <c r="I55" s="704"/>
      <c r="J55" s="704"/>
      <c r="K55" s="704"/>
      <c r="L55" s="704"/>
      <c r="M55" s="704"/>
      <c r="N55" s="704"/>
      <c r="O55" s="704"/>
      <c r="P55" s="704"/>
      <c r="Q55" s="705"/>
      <c r="R55" s="732">
        <f ca="1">SUM(C55:Q55)</f>
        <v>489.26410975975597</v>
      </c>
    </row>
    <row r="56" spans="1:18" ht="15.75" thickBot="1">
      <c r="A56" s="824" t="s">
        <v>865</v>
      </c>
      <c r="B56" s="837"/>
      <c r="C56" s="733">
        <f ca="1">SUM(C54:C55)</f>
        <v>320.86814951082999</v>
      </c>
      <c r="D56" s="733">
        <f t="shared" ref="D56:Q56" ca="1" si="7">SUM(D54:D55)</f>
        <v>0</v>
      </c>
      <c r="E56" s="733">
        <f t="shared" si="7"/>
        <v>306.77966508184915</v>
      </c>
      <c r="F56" s="733">
        <f t="shared" si="7"/>
        <v>1.2068617190191107</v>
      </c>
      <c r="G56" s="733">
        <f t="shared" si="7"/>
        <v>388.84057542537869</v>
      </c>
      <c r="H56" s="733">
        <f t="shared" si="7"/>
        <v>0</v>
      </c>
      <c r="I56" s="733">
        <f t="shared" si="7"/>
        <v>0</v>
      </c>
      <c r="J56" s="733">
        <f t="shared" si="7"/>
        <v>0</v>
      </c>
      <c r="K56" s="733">
        <f t="shared" si="7"/>
        <v>31.151880700251908</v>
      </c>
      <c r="L56" s="733">
        <f t="shared" si="7"/>
        <v>0</v>
      </c>
      <c r="M56" s="733">
        <f t="shared" si="7"/>
        <v>0</v>
      </c>
      <c r="N56" s="733">
        <f t="shared" si="7"/>
        <v>0</v>
      </c>
      <c r="O56" s="733">
        <f t="shared" si="7"/>
        <v>0</v>
      </c>
      <c r="P56" s="733">
        <f t="shared" si="7"/>
        <v>0</v>
      </c>
      <c r="Q56" s="734">
        <f t="shared" si="7"/>
        <v>0</v>
      </c>
      <c r="R56" s="735">
        <f ca="1">SUM(R54:R55)</f>
        <v>1048.8471324373288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18038.099016375931</v>
      </c>
      <c r="D61" s="741">
        <f t="shared" ref="D61:Q61" ca="1" si="8">D46+D52+D56</f>
        <v>0</v>
      </c>
      <c r="E61" s="741">
        <f t="shared" ca="1" si="8"/>
        <v>16714.061527018006</v>
      </c>
      <c r="F61" s="741">
        <f t="shared" si="8"/>
        <v>2347.1285621087331</v>
      </c>
      <c r="G61" s="741">
        <f t="shared" ca="1" si="8"/>
        <v>16923.125884607758</v>
      </c>
      <c r="H61" s="741">
        <f t="shared" si="8"/>
        <v>36202.123858549319</v>
      </c>
      <c r="I61" s="741">
        <f t="shared" si="8"/>
        <v>6629.0706515960292</v>
      </c>
      <c r="J61" s="741">
        <f t="shared" si="8"/>
        <v>0</v>
      </c>
      <c r="K61" s="741">
        <f t="shared" si="8"/>
        <v>84.411036878138447</v>
      </c>
      <c r="L61" s="741">
        <f t="shared" si="8"/>
        <v>0</v>
      </c>
      <c r="M61" s="741">
        <f t="shared" ca="1" si="8"/>
        <v>0</v>
      </c>
      <c r="N61" s="741">
        <f t="shared" si="8"/>
        <v>0</v>
      </c>
      <c r="O61" s="741">
        <f t="shared" ca="1" si="8"/>
        <v>0</v>
      </c>
      <c r="P61" s="741">
        <f t="shared" si="8"/>
        <v>0</v>
      </c>
      <c r="Q61" s="741">
        <f t="shared" si="8"/>
        <v>0</v>
      </c>
      <c r="R61" s="741">
        <f ca="1">R46+R52+R56</f>
        <v>96938.020537133925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0.20932890607406676</v>
      </c>
      <c r="D63" s="782">
        <f t="shared" ca="1" si="9"/>
        <v>0</v>
      </c>
      <c r="E63" s="1036">
        <f t="shared" ca="1" si="9"/>
        <v>0.20200000000000004</v>
      </c>
      <c r="F63" s="782">
        <f t="shared" si="9"/>
        <v>0.22699999999999998</v>
      </c>
      <c r="G63" s="782">
        <f t="shared" ca="1" si="9"/>
        <v>0.26699999999999996</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216.96143497757845</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4288.7663024636577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52.941176470588232</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4550.7277374412361</v>
      </c>
      <c r="C78" s="756">
        <f>SUM(C72:C77)</f>
        <v>0</v>
      </c>
      <c r="D78" s="757">
        <f t="shared" ref="D78:H78" si="10">SUM(D76:D77)</f>
        <v>0</v>
      </c>
      <c r="E78" s="757">
        <f t="shared" si="10"/>
        <v>0</v>
      </c>
      <c r="F78" s="757">
        <f t="shared" si="10"/>
        <v>0</v>
      </c>
      <c r="G78" s="757">
        <f t="shared" si="10"/>
        <v>0</v>
      </c>
      <c r="H78" s="757">
        <f t="shared" si="10"/>
        <v>0</v>
      </c>
      <c r="I78" s="757">
        <f>SUM(I76:I77)</f>
        <v>52.941176470588232</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50.625</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59.558823529411768</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50.625</v>
      </c>
      <c r="C90" s="756">
        <f>SUM(C87:C89)</f>
        <v>0</v>
      </c>
      <c r="D90" s="756">
        <f t="shared" ref="D90:H90" si="12">SUM(D87:D89)</f>
        <v>0</v>
      </c>
      <c r="E90" s="756">
        <f t="shared" si="12"/>
        <v>0</v>
      </c>
      <c r="F90" s="756">
        <f t="shared" si="12"/>
        <v>0</v>
      </c>
      <c r="G90" s="756">
        <f t="shared" si="12"/>
        <v>0</v>
      </c>
      <c r="H90" s="756">
        <f t="shared" si="12"/>
        <v>0</v>
      </c>
      <c r="I90" s="756">
        <f>SUM(I87:I89)</f>
        <v>59.558823529411768</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216.96143497757845</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4288.7663024636577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45</v>
      </c>
      <c r="C8" s="571">
        <f>B101</f>
        <v>0</v>
      </c>
      <c r="D8" s="1056"/>
      <c r="E8" s="1056">
        <f>E101</f>
        <v>0</v>
      </c>
      <c r="F8" s="1057"/>
      <c r="G8" s="572"/>
      <c r="H8" s="1056">
        <f>I101</f>
        <v>0</v>
      </c>
      <c r="I8" s="1056">
        <f>G101+F101</f>
        <v>52.941176470588232</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4550.7277374412361</v>
      </c>
      <c r="C10" s="584">
        <f t="shared" ref="C10:L10" si="0">SUM(C8:C9)</f>
        <v>0</v>
      </c>
      <c r="D10" s="584">
        <f t="shared" si="0"/>
        <v>0</v>
      </c>
      <c r="E10" s="584">
        <f t="shared" si="0"/>
        <v>0</v>
      </c>
      <c r="F10" s="584">
        <f t="shared" si="0"/>
        <v>0</v>
      </c>
      <c r="G10" s="584">
        <f t="shared" si="0"/>
        <v>0</v>
      </c>
      <c r="H10" s="584">
        <f t="shared" si="0"/>
        <v>0</v>
      </c>
      <c r="I10" s="584">
        <f t="shared" si="0"/>
        <v>52.941176470588232</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50.625</v>
      </c>
      <c r="C17" s="596">
        <f>B102</f>
        <v>0</v>
      </c>
      <c r="D17" s="597"/>
      <c r="E17" s="597">
        <f>E102</f>
        <v>0</v>
      </c>
      <c r="F17" s="1062"/>
      <c r="G17" s="598"/>
      <c r="H17" s="596">
        <f>I102</f>
        <v>0</v>
      </c>
      <c r="I17" s="597">
        <f>G102+F102</f>
        <v>59.558823529411768</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50.625</v>
      </c>
      <c r="C20" s="583">
        <f>SUM(C17:C19)</f>
        <v>0</v>
      </c>
      <c r="D20" s="583">
        <f t="shared" ref="D20:L20" si="1">SUM(D17:D19)</f>
        <v>0</v>
      </c>
      <c r="E20" s="583">
        <f t="shared" si="1"/>
        <v>0</v>
      </c>
      <c r="F20" s="583">
        <f t="shared" si="1"/>
        <v>0</v>
      </c>
      <c r="G20" s="583">
        <f t="shared" si="1"/>
        <v>0</v>
      </c>
      <c r="H20" s="583">
        <f t="shared" si="1"/>
        <v>0</v>
      </c>
      <c r="I20" s="583">
        <f t="shared" si="1"/>
        <v>59.558823529411768</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24094</v>
      </c>
      <c r="C28" s="797">
        <v>3118</v>
      </c>
      <c r="D28" s="654" t="s">
        <v>907</v>
      </c>
      <c r="E28" s="653" t="s">
        <v>908</v>
      </c>
      <c r="F28" s="653" t="s">
        <v>909</v>
      </c>
      <c r="G28" s="653" t="s">
        <v>910</v>
      </c>
      <c r="H28" s="653" t="s">
        <v>911</v>
      </c>
      <c r="I28" s="653" t="s">
        <v>908</v>
      </c>
      <c r="J28" s="796">
        <v>38718</v>
      </c>
      <c r="K28" s="796">
        <v>38991</v>
      </c>
      <c r="L28" s="653" t="s">
        <v>912</v>
      </c>
      <c r="M28" s="653">
        <v>10</v>
      </c>
      <c r="N28" s="653">
        <v>45</v>
      </c>
      <c r="O28" s="653">
        <v>50.625</v>
      </c>
      <c r="P28" s="653">
        <v>0</v>
      </c>
      <c r="Q28" s="653">
        <v>0</v>
      </c>
      <c r="R28" s="653">
        <v>0</v>
      </c>
      <c r="S28" s="653">
        <v>0</v>
      </c>
      <c r="T28" s="653">
        <v>112.5</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10</v>
      </c>
      <c r="N58" s="611">
        <f>SUM(N28:N57)</f>
        <v>45</v>
      </c>
      <c r="O58" s="611">
        <f t="shared" ref="O58:W58" si="2">SUM(O28:O57)</f>
        <v>50.625</v>
      </c>
      <c r="P58" s="611">
        <f t="shared" si="2"/>
        <v>0</v>
      </c>
      <c r="Q58" s="611">
        <f t="shared" si="2"/>
        <v>0</v>
      </c>
      <c r="R58" s="611">
        <f t="shared" si="2"/>
        <v>0</v>
      </c>
      <c r="S58" s="611">
        <f t="shared" si="2"/>
        <v>0</v>
      </c>
      <c r="T58" s="611">
        <f t="shared" si="2"/>
        <v>112.5</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10</v>
      </c>
      <c r="N60" s="611">
        <f ca="1">SUMIF($Z$28:AD57,"tertiair",N28:N57)</f>
        <v>45</v>
      </c>
      <c r="O60" s="611">
        <f ca="1">SUMIF($Z$28:AE57,"tertiair",O28:O57)</f>
        <v>50.625</v>
      </c>
      <c r="P60" s="611">
        <f ca="1">SUMIF($Z$28:AF57,"tertiair",P28:P57)</f>
        <v>0</v>
      </c>
      <c r="Q60" s="611">
        <f ca="1">SUMIF($Z$28:AG57,"tertiair",Q28:Q57)</f>
        <v>0</v>
      </c>
      <c r="R60" s="611">
        <f ca="1">SUMIF($Z$28:AH57,"tertiair",R28:R57)</f>
        <v>0</v>
      </c>
      <c r="S60" s="611">
        <f ca="1">SUMIF($Z$28:AI57,"tertiair",S28:S57)</f>
        <v>0</v>
      </c>
      <c r="T60" s="611">
        <f ca="1">SUMIF($Z$28:AJ57,"tertiair",T28:T57)</f>
        <v>112.5</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0.52941176470588236</v>
      </c>
      <c r="C98" s="636">
        <f>IF(ISERROR(N58/(O58+N58)),0,N58/(N58+O58))</f>
        <v>0.47058823529411764</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52.941176470588232</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59.558823529411768</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31162.112043654193</v>
      </c>
      <c r="C4" s="478">
        <f>huishoudens!C8</f>
        <v>0</v>
      </c>
      <c r="D4" s="478">
        <f>huishoudens!D8</f>
        <v>37844.29183605501</v>
      </c>
      <c r="E4" s="478">
        <f>huishoudens!E8</f>
        <v>7469.8903773601087</v>
      </c>
      <c r="F4" s="478">
        <f>huishoudens!F8</f>
        <v>50259.479364531464</v>
      </c>
      <c r="G4" s="478">
        <f>huishoudens!G8</f>
        <v>0</v>
      </c>
      <c r="H4" s="478">
        <f>huishoudens!H8</f>
        <v>0</v>
      </c>
      <c r="I4" s="478">
        <f>huishoudens!I8</f>
        <v>0</v>
      </c>
      <c r="J4" s="478">
        <f>huishoudens!J8</f>
        <v>0</v>
      </c>
      <c r="K4" s="478">
        <f>huishoudens!K8</f>
        <v>0</v>
      </c>
      <c r="L4" s="478">
        <f>huishoudens!L8</f>
        <v>0</v>
      </c>
      <c r="M4" s="478">
        <f>huishoudens!M8</f>
        <v>0</v>
      </c>
      <c r="N4" s="478">
        <f>huishoudens!N8</f>
        <v>8206.0608753128108</v>
      </c>
      <c r="O4" s="478">
        <f>huishoudens!O8</f>
        <v>311.10333333333335</v>
      </c>
      <c r="P4" s="479">
        <f>huishoudens!P8</f>
        <v>991.4666666666667</v>
      </c>
      <c r="Q4" s="480">
        <f>SUM(B4:P4)</f>
        <v>136244.4044969136</v>
      </c>
    </row>
    <row r="5" spans="1:17">
      <c r="A5" s="477" t="s">
        <v>156</v>
      </c>
      <c r="B5" s="478">
        <f ca="1">tertiair!B16</f>
        <v>15250.363299999999</v>
      </c>
      <c r="C5" s="478">
        <f ca="1">tertiair!C16</f>
        <v>50.625</v>
      </c>
      <c r="D5" s="478">
        <f ca="1">tertiair!D16</f>
        <v>11623.219518470782</v>
      </c>
      <c r="E5" s="478">
        <f>tertiair!E16</f>
        <v>174.72023240435553</v>
      </c>
      <c r="F5" s="478">
        <f ca="1">tertiair!F16</f>
        <v>2402.4503275501306</v>
      </c>
      <c r="G5" s="478">
        <f>tertiair!G16</f>
        <v>0</v>
      </c>
      <c r="H5" s="478">
        <f>tertiair!H16</f>
        <v>0</v>
      </c>
      <c r="I5" s="478">
        <f>tertiair!I16</f>
        <v>0</v>
      </c>
      <c r="J5" s="478">
        <f>tertiair!J16</f>
        <v>0</v>
      </c>
      <c r="K5" s="478">
        <f>tertiair!K16</f>
        <v>0</v>
      </c>
      <c r="L5" s="478">
        <f ca="1">tertiair!L16</f>
        <v>0</v>
      </c>
      <c r="M5" s="478">
        <f>tertiair!M16</f>
        <v>0</v>
      </c>
      <c r="N5" s="478">
        <f ca="1">tertiair!N16</f>
        <v>1994.2724707867651</v>
      </c>
      <c r="O5" s="478">
        <f>tertiair!O16</f>
        <v>1.5633333333333335</v>
      </c>
      <c r="P5" s="479">
        <f>tertiair!P16</f>
        <v>0</v>
      </c>
      <c r="Q5" s="477">
        <f t="shared" ref="Q5:Q14" ca="1" si="0">SUM(B5:P5)</f>
        <v>31497.214182545358</v>
      </c>
    </row>
    <row r="6" spans="1:17">
      <c r="A6" s="477" t="s">
        <v>194</v>
      </c>
      <c r="B6" s="478">
        <f>'openbare verlichting'!B8</f>
        <v>906.74099999999999</v>
      </c>
      <c r="C6" s="478"/>
      <c r="D6" s="478"/>
      <c r="E6" s="478"/>
      <c r="F6" s="478"/>
      <c r="G6" s="478"/>
      <c r="H6" s="478"/>
      <c r="I6" s="478"/>
      <c r="J6" s="478"/>
      <c r="K6" s="478"/>
      <c r="L6" s="478"/>
      <c r="M6" s="478"/>
      <c r="N6" s="478"/>
      <c r="O6" s="478"/>
      <c r="P6" s="479"/>
      <c r="Q6" s="477">
        <f t="shared" si="0"/>
        <v>906.74099999999999</v>
      </c>
    </row>
    <row r="7" spans="1:17">
      <c r="A7" s="477" t="s">
        <v>112</v>
      </c>
      <c r="B7" s="478">
        <f>landbouw!B8</f>
        <v>573.99384999999995</v>
      </c>
      <c r="C7" s="478">
        <f>landbouw!C8</f>
        <v>0</v>
      </c>
      <c r="D7" s="478">
        <f>landbouw!D8</f>
        <v>90.248515441490994</v>
      </c>
      <c r="E7" s="478">
        <f>landbouw!E8</f>
        <v>5.3165714494233951</v>
      </c>
      <c r="F7" s="478">
        <f>landbouw!F8</f>
        <v>1456.3317431662122</v>
      </c>
      <c r="G7" s="478">
        <f>landbouw!G8</f>
        <v>0</v>
      </c>
      <c r="H7" s="478">
        <f>landbouw!H8</f>
        <v>0</v>
      </c>
      <c r="I7" s="478">
        <f>landbouw!I8</f>
        <v>0</v>
      </c>
      <c r="J7" s="478">
        <f>landbouw!J8</f>
        <v>87.999662995061897</v>
      </c>
      <c r="K7" s="478">
        <f>landbouw!K8</f>
        <v>0</v>
      </c>
      <c r="L7" s="478">
        <f>landbouw!L8</f>
        <v>0</v>
      </c>
      <c r="M7" s="478">
        <f>landbouw!M8</f>
        <v>0</v>
      </c>
      <c r="N7" s="478">
        <f>landbouw!N8</f>
        <v>0</v>
      </c>
      <c r="O7" s="478">
        <f>landbouw!O8</f>
        <v>0</v>
      </c>
      <c r="P7" s="479">
        <f>landbouw!P8</f>
        <v>0</v>
      </c>
      <c r="Q7" s="477">
        <f t="shared" si="0"/>
        <v>2213.8903430521887</v>
      </c>
    </row>
    <row r="8" spans="1:17">
      <c r="A8" s="477" t="s">
        <v>650</v>
      </c>
      <c r="B8" s="478">
        <f>industrie!B18</f>
        <v>37292.258560000002</v>
      </c>
      <c r="C8" s="478">
        <f>industrie!C18</f>
        <v>0</v>
      </c>
      <c r="D8" s="478">
        <f>industrie!D18</f>
        <v>31687.666355966703</v>
      </c>
      <c r="E8" s="478">
        <f>industrie!E18</f>
        <v>2200.0168764416767</v>
      </c>
      <c r="F8" s="478">
        <f>industrie!F18</f>
        <v>9264.2325145939813</v>
      </c>
      <c r="G8" s="478">
        <f>industrie!G18</f>
        <v>0</v>
      </c>
      <c r="H8" s="478">
        <f>industrie!H18</f>
        <v>0</v>
      </c>
      <c r="I8" s="478">
        <f>industrie!I18</f>
        <v>0</v>
      </c>
      <c r="J8" s="478">
        <f>industrie!J18</f>
        <v>150.44959372284336</v>
      </c>
      <c r="K8" s="478">
        <f>industrie!K18</f>
        <v>0</v>
      </c>
      <c r="L8" s="478">
        <f>industrie!L18</f>
        <v>0</v>
      </c>
      <c r="M8" s="478">
        <f>industrie!M18</f>
        <v>0</v>
      </c>
      <c r="N8" s="478">
        <f>industrie!N18</f>
        <v>7186.3703548465282</v>
      </c>
      <c r="O8" s="478">
        <f>industrie!O18</f>
        <v>0</v>
      </c>
      <c r="P8" s="479">
        <f>industrie!P18</f>
        <v>0</v>
      </c>
      <c r="Q8" s="477">
        <f t="shared" si="0"/>
        <v>87780.994255571743</v>
      </c>
    </row>
    <row r="9" spans="1:17" s="483" customFormat="1">
      <c r="A9" s="481" t="s">
        <v>571</v>
      </c>
      <c r="B9" s="482">
        <f>transport!B14</f>
        <v>26.768323949637828</v>
      </c>
      <c r="C9" s="482">
        <f>transport!C14</f>
        <v>0</v>
      </c>
      <c r="D9" s="482">
        <f>transport!D14</f>
        <v>68.989922854807674</v>
      </c>
      <c r="E9" s="482">
        <f>transport!E14</f>
        <v>489.82934370449493</v>
      </c>
      <c r="F9" s="482">
        <f>transport!F14</f>
        <v>0</v>
      </c>
      <c r="G9" s="482">
        <f>transport!G14</f>
        <v>133943.08804256973</v>
      </c>
      <c r="H9" s="482">
        <f>transport!H14</f>
        <v>26622.773701188871</v>
      </c>
      <c r="I9" s="482">
        <f>transport!I14</f>
        <v>0</v>
      </c>
      <c r="J9" s="482">
        <f>transport!J14</f>
        <v>0</v>
      </c>
      <c r="K9" s="482">
        <f>transport!K14</f>
        <v>0</v>
      </c>
      <c r="L9" s="482">
        <f>transport!L14</f>
        <v>0</v>
      </c>
      <c r="M9" s="482">
        <f>transport!M14</f>
        <v>8567.5479358952107</v>
      </c>
      <c r="N9" s="482">
        <f>transport!N14</f>
        <v>0</v>
      </c>
      <c r="O9" s="482">
        <f>transport!O14</f>
        <v>0</v>
      </c>
      <c r="P9" s="482">
        <f>transport!P14</f>
        <v>0</v>
      </c>
      <c r="Q9" s="481">
        <f>SUM(B9:P9)</f>
        <v>169718.99727016277</v>
      </c>
    </row>
    <row r="10" spans="1:17">
      <c r="A10" s="477" t="s">
        <v>561</v>
      </c>
      <c r="B10" s="478">
        <f>transport!B54</f>
        <v>0</v>
      </c>
      <c r="C10" s="478">
        <f>transport!C54</f>
        <v>0</v>
      </c>
      <c r="D10" s="478">
        <f>transport!D54</f>
        <v>0</v>
      </c>
      <c r="E10" s="478">
        <f>transport!E54</f>
        <v>0</v>
      </c>
      <c r="F10" s="478">
        <f>transport!F54</f>
        <v>0</v>
      </c>
      <c r="G10" s="478">
        <f>transport!G54</f>
        <v>1645.3908284014883</v>
      </c>
      <c r="H10" s="478">
        <f>transport!H54</f>
        <v>0</v>
      </c>
      <c r="I10" s="478">
        <f>transport!I54</f>
        <v>0</v>
      </c>
      <c r="J10" s="478">
        <f>transport!J54</f>
        <v>0</v>
      </c>
      <c r="K10" s="478">
        <f>transport!K54</f>
        <v>0</v>
      </c>
      <c r="L10" s="478">
        <f>transport!L54</f>
        <v>0</v>
      </c>
      <c r="M10" s="478">
        <f>transport!M54</f>
        <v>93.831842370362395</v>
      </c>
      <c r="N10" s="478">
        <f>transport!N54</f>
        <v>0</v>
      </c>
      <c r="O10" s="478">
        <f>transport!O54</f>
        <v>0</v>
      </c>
      <c r="P10" s="479">
        <f>transport!P54</f>
        <v>0</v>
      </c>
      <c r="Q10" s="477">
        <f t="shared" si="0"/>
        <v>1739.2226707718507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958.84819999999991</v>
      </c>
      <c r="C14" s="485"/>
      <c r="D14" s="485">
        <f>'SEAP template'!E25</f>
        <v>1428.46269783499</v>
      </c>
      <c r="E14" s="485"/>
      <c r="F14" s="485"/>
      <c r="G14" s="485"/>
      <c r="H14" s="485"/>
      <c r="I14" s="485"/>
      <c r="J14" s="485"/>
      <c r="K14" s="485"/>
      <c r="L14" s="485"/>
      <c r="M14" s="485"/>
      <c r="N14" s="485"/>
      <c r="O14" s="485"/>
      <c r="P14" s="486"/>
      <c r="Q14" s="477">
        <f t="shared" si="0"/>
        <v>2387.3108978349901</v>
      </c>
    </row>
    <row r="15" spans="1:17" s="487" customFormat="1">
      <c r="A15" s="1051" t="s">
        <v>565</v>
      </c>
      <c r="B15" s="991">
        <f ca="1">SUM(B4:B14)</f>
        <v>86171.085277603823</v>
      </c>
      <c r="C15" s="991">
        <f t="shared" ref="C15:Q15" ca="1" si="1">SUM(C4:C14)</f>
        <v>50.625</v>
      </c>
      <c r="D15" s="991">
        <f t="shared" ca="1" si="1"/>
        <v>82742.878846623775</v>
      </c>
      <c r="E15" s="991">
        <f t="shared" si="1"/>
        <v>10339.77340136006</v>
      </c>
      <c r="F15" s="991">
        <f t="shared" ca="1" si="1"/>
        <v>63382.493949841795</v>
      </c>
      <c r="G15" s="991">
        <f t="shared" si="1"/>
        <v>135588.47887097122</v>
      </c>
      <c r="H15" s="991">
        <f t="shared" si="1"/>
        <v>26622.773701188871</v>
      </c>
      <c r="I15" s="991">
        <f t="shared" si="1"/>
        <v>0</v>
      </c>
      <c r="J15" s="991">
        <f t="shared" si="1"/>
        <v>238.44925671790526</v>
      </c>
      <c r="K15" s="991">
        <f t="shared" si="1"/>
        <v>0</v>
      </c>
      <c r="L15" s="991">
        <f t="shared" ca="1" si="1"/>
        <v>0</v>
      </c>
      <c r="M15" s="991">
        <f t="shared" si="1"/>
        <v>8661.3797782655729</v>
      </c>
      <c r="N15" s="991">
        <f t="shared" ca="1" si="1"/>
        <v>17386.703700946106</v>
      </c>
      <c r="O15" s="991">
        <f t="shared" si="1"/>
        <v>312.66666666666669</v>
      </c>
      <c r="P15" s="991">
        <f t="shared" si="1"/>
        <v>991.4666666666667</v>
      </c>
      <c r="Q15" s="991">
        <f t="shared" ca="1" si="1"/>
        <v>432488.77511685248</v>
      </c>
    </row>
    <row r="17" spans="1:17">
      <c r="A17" s="488" t="s">
        <v>566</v>
      </c>
      <c r="B17" s="787">
        <f ca="1">huishoudens!B10</f>
        <v>0.20932890607406679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6523.130825055634</v>
      </c>
      <c r="C22" s="478">
        <f t="shared" ref="C22:C32" ca="1" si="3">C4*$C$17</f>
        <v>0</v>
      </c>
      <c r="D22" s="478">
        <f t="shared" ref="D22:D32" si="4">D4*$D$17</f>
        <v>7644.5469508831129</v>
      </c>
      <c r="E22" s="478">
        <f t="shared" ref="E22:E32" si="5">E4*$E$17</f>
        <v>1695.6651156607447</v>
      </c>
      <c r="F22" s="478">
        <f t="shared" ref="F22:F32" si="6">F4*$F$17</f>
        <v>13419.280990329902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29282.623881929394</v>
      </c>
    </row>
    <row r="23" spans="1:17">
      <c r="A23" s="477" t="s">
        <v>156</v>
      </c>
      <c r="B23" s="478">
        <f t="shared" ca="1" si="2"/>
        <v>3192.3418668210952</v>
      </c>
      <c r="C23" s="478">
        <f t="shared" ca="1" si="3"/>
        <v>0</v>
      </c>
      <c r="D23" s="478">
        <f t="shared" ca="1" si="4"/>
        <v>2347.8903427310979</v>
      </c>
      <c r="E23" s="478">
        <f t="shared" si="5"/>
        <v>39.661492755788707</v>
      </c>
      <c r="F23" s="478">
        <f t="shared" ca="1" si="6"/>
        <v>641.45423745588494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6221.3479397638666</v>
      </c>
    </row>
    <row r="24" spans="1:17">
      <c r="A24" s="477" t="s">
        <v>194</v>
      </c>
      <c r="B24" s="478">
        <f t="shared" ca="1" si="2"/>
        <v>189.8071016225054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189.8071016225054</v>
      </c>
    </row>
    <row r="25" spans="1:17">
      <c r="A25" s="477" t="s">
        <v>112</v>
      </c>
      <c r="B25" s="478">
        <f t="shared" ca="1" si="2"/>
        <v>120.15350471374197</v>
      </c>
      <c r="C25" s="478">
        <f t="shared" ca="1" si="3"/>
        <v>0</v>
      </c>
      <c r="D25" s="478">
        <f t="shared" si="4"/>
        <v>18.23020011918118</v>
      </c>
      <c r="E25" s="478">
        <f t="shared" si="5"/>
        <v>1.2068617190191107</v>
      </c>
      <c r="F25" s="478">
        <f t="shared" si="6"/>
        <v>388.84057542537869</v>
      </c>
      <c r="G25" s="478">
        <f t="shared" si="7"/>
        <v>0</v>
      </c>
      <c r="H25" s="478">
        <f t="shared" si="8"/>
        <v>0</v>
      </c>
      <c r="I25" s="478">
        <f t="shared" si="9"/>
        <v>0</v>
      </c>
      <c r="J25" s="478">
        <f t="shared" si="10"/>
        <v>31.151880700251908</v>
      </c>
      <c r="K25" s="478">
        <f t="shared" si="11"/>
        <v>0</v>
      </c>
      <c r="L25" s="478">
        <f t="shared" si="12"/>
        <v>0</v>
      </c>
      <c r="M25" s="478">
        <f t="shared" si="13"/>
        <v>0</v>
      </c>
      <c r="N25" s="478">
        <f t="shared" si="14"/>
        <v>0</v>
      </c>
      <c r="O25" s="478">
        <f t="shared" si="15"/>
        <v>0</v>
      </c>
      <c r="P25" s="479">
        <f t="shared" si="16"/>
        <v>0</v>
      </c>
      <c r="Q25" s="477">
        <f t="shared" ca="1" si="17"/>
        <v>559.5830226775729</v>
      </c>
    </row>
    <row r="26" spans="1:17">
      <c r="A26" s="477" t="s">
        <v>650</v>
      </c>
      <c r="B26" s="478">
        <f t="shared" ca="1" si="2"/>
        <v>7806.3476893960533</v>
      </c>
      <c r="C26" s="478">
        <f t="shared" ca="1" si="3"/>
        <v>0</v>
      </c>
      <c r="D26" s="478">
        <f t="shared" si="4"/>
        <v>6400.9086039052745</v>
      </c>
      <c r="E26" s="478">
        <f t="shared" si="5"/>
        <v>499.40383095226065</v>
      </c>
      <c r="F26" s="478">
        <f t="shared" si="6"/>
        <v>2473.5500813965932</v>
      </c>
      <c r="G26" s="478">
        <f t="shared" si="7"/>
        <v>0</v>
      </c>
      <c r="H26" s="478">
        <f t="shared" si="8"/>
        <v>0</v>
      </c>
      <c r="I26" s="478">
        <f t="shared" si="9"/>
        <v>0</v>
      </c>
      <c r="J26" s="478">
        <f t="shared" si="10"/>
        <v>53.259156177886545</v>
      </c>
      <c r="K26" s="478">
        <f t="shared" si="11"/>
        <v>0</v>
      </c>
      <c r="L26" s="478">
        <f t="shared" si="12"/>
        <v>0</v>
      </c>
      <c r="M26" s="478">
        <f t="shared" si="13"/>
        <v>0</v>
      </c>
      <c r="N26" s="478">
        <f t="shared" si="14"/>
        <v>0</v>
      </c>
      <c r="O26" s="478">
        <f t="shared" si="15"/>
        <v>0</v>
      </c>
      <c r="P26" s="479">
        <f t="shared" si="16"/>
        <v>0</v>
      </c>
      <c r="Q26" s="477">
        <f t="shared" ca="1" si="17"/>
        <v>17233.469361828069</v>
      </c>
    </row>
    <row r="27" spans="1:17" s="483" customFormat="1">
      <c r="A27" s="481" t="s">
        <v>571</v>
      </c>
      <c r="B27" s="781">
        <f t="shared" ca="1" si="2"/>
        <v>5.6033839698139296</v>
      </c>
      <c r="C27" s="482">
        <f t="shared" ca="1" si="3"/>
        <v>0</v>
      </c>
      <c r="D27" s="482">
        <f t="shared" si="4"/>
        <v>13.935964416671151</v>
      </c>
      <c r="E27" s="482">
        <f t="shared" si="5"/>
        <v>111.19126102092035</v>
      </c>
      <c r="F27" s="482">
        <f t="shared" si="6"/>
        <v>0</v>
      </c>
      <c r="G27" s="482">
        <f t="shared" si="7"/>
        <v>35762.80450736612</v>
      </c>
      <c r="H27" s="482">
        <f t="shared" si="8"/>
        <v>6629.0706515960292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42522.605768369554</v>
      </c>
    </row>
    <row r="28" spans="1:17">
      <c r="A28" s="477" t="s">
        <v>561</v>
      </c>
      <c r="B28" s="478">
        <f t="shared" ca="1" si="2"/>
        <v>0</v>
      </c>
      <c r="C28" s="478">
        <f t="shared" ca="1" si="3"/>
        <v>0</v>
      </c>
      <c r="D28" s="478">
        <f t="shared" si="4"/>
        <v>0</v>
      </c>
      <c r="E28" s="478">
        <f t="shared" si="5"/>
        <v>0</v>
      </c>
      <c r="F28" s="478">
        <f t="shared" si="6"/>
        <v>0</v>
      </c>
      <c r="G28" s="478">
        <f t="shared" si="7"/>
        <v>439.3193511831974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439.3193511831974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200.714644797088</v>
      </c>
      <c r="C32" s="478">
        <f t="shared" ca="1" si="3"/>
        <v>0</v>
      </c>
      <c r="D32" s="478">
        <f t="shared" si="4"/>
        <v>288.54946496266797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489.26410975975597</v>
      </c>
    </row>
    <row r="33" spans="1:17" s="487" customFormat="1">
      <c r="A33" s="1051" t="s">
        <v>565</v>
      </c>
      <c r="B33" s="991">
        <f ca="1">SUM(B22:B32)</f>
        <v>18038.099016375934</v>
      </c>
      <c r="C33" s="991">
        <f t="shared" ref="C33:Q33" ca="1" si="18">SUM(C22:C32)</f>
        <v>0</v>
      </c>
      <c r="D33" s="991">
        <f t="shared" ca="1" si="18"/>
        <v>16714.061527018006</v>
      </c>
      <c r="E33" s="991">
        <f t="shared" si="18"/>
        <v>2347.1285621087331</v>
      </c>
      <c r="F33" s="991">
        <f t="shared" ca="1" si="18"/>
        <v>16923.125884607758</v>
      </c>
      <c r="G33" s="991">
        <f t="shared" si="18"/>
        <v>36202.123858549319</v>
      </c>
      <c r="H33" s="991">
        <f t="shared" si="18"/>
        <v>6629.0706515960292</v>
      </c>
      <c r="I33" s="991">
        <f t="shared" si="18"/>
        <v>0</v>
      </c>
      <c r="J33" s="991">
        <f t="shared" si="18"/>
        <v>84.411036878138447</v>
      </c>
      <c r="K33" s="991">
        <f t="shared" si="18"/>
        <v>0</v>
      </c>
      <c r="L33" s="991">
        <f t="shared" ca="1" si="18"/>
        <v>0</v>
      </c>
      <c r="M33" s="991">
        <f t="shared" si="18"/>
        <v>0</v>
      </c>
      <c r="N33" s="991">
        <f t="shared" ca="1" si="18"/>
        <v>0</v>
      </c>
      <c r="O33" s="991">
        <f t="shared" si="18"/>
        <v>0</v>
      </c>
      <c r="P33" s="991">
        <f t="shared" si="18"/>
        <v>0</v>
      </c>
      <c r="Q33" s="991">
        <f t="shared" ca="1" si="18"/>
        <v>96938.020537133911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216.96143497757845</v>
      </c>
      <c r="C5" s="1068"/>
      <c r="D5" s="1068"/>
      <c r="E5" s="1068"/>
      <c r="F5" s="1068"/>
      <c r="G5" s="1068"/>
      <c r="H5" s="1068"/>
      <c r="I5" s="1068"/>
      <c r="J5" s="1068"/>
      <c r="K5" s="1068"/>
      <c r="L5" s="1068"/>
      <c r="M5" s="1068"/>
      <c r="N5" s="1068"/>
      <c r="O5" s="1068"/>
      <c r="P5" s="1069">
        <f>'SEAP template'!Q73</f>
        <v>0</v>
      </c>
    </row>
    <row r="6" spans="1:16">
      <c r="A6" s="1070" t="s">
        <v>251</v>
      </c>
      <c r="B6" s="1068">
        <f>'SEAP template'!B74</f>
        <v>4288.7663024636577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45</v>
      </c>
      <c r="C8" s="1068">
        <f>'SEAP template'!C76</f>
        <v>0</v>
      </c>
      <c r="D8" s="1068">
        <f>'SEAP template'!D76</f>
        <v>0</v>
      </c>
      <c r="E8" s="1068">
        <f>'SEAP template'!E76</f>
        <v>0</v>
      </c>
      <c r="F8" s="1068">
        <f>'SEAP template'!F76</f>
        <v>0</v>
      </c>
      <c r="G8" s="1068">
        <f>'SEAP template'!G76</f>
        <v>0</v>
      </c>
      <c r="H8" s="1068">
        <f>'SEAP template'!H76</f>
        <v>0</v>
      </c>
      <c r="I8" s="1068">
        <f>'SEAP template'!I76</f>
        <v>52.941176470588232</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4550.7277374412361</v>
      </c>
      <c r="C10" s="1072">
        <f>SUM(C4:C9)</f>
        <v>0</v>
      </c>
      <c r="D10" s="1072">
        <f t="shared" ref="D10:H10" si="0">SUM(D8:D9)</f>
        <v>0</v>
      </c>
      <c r="E10" s="1072">
        <f t="shared" si="0"/>
        <v>0</v>
      </c>
      <c r="F10" s="1072">
        <f t="shared" si="0"/>
        <v>0</v>
      </c>
      <c r="G10" s="1072">
        <f t="shared" si="0"/>
        <v>0</v>
      </c>
      <c r="H10" s="1072">
        <f t="shared" si="0"/>
        <v>0</v>
      </c>
      <c r="I10" s="1072">
        <f>SUM(I8:I9)</f>
        <v>52.941176470588232</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0.20932890607406679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50.625</v>
      </c>
      <c r="C17" s="1074">
        <f>'SEAP template'!C87</f>
        <v>0</v>
      </c>
      <c r="D17" s="1069">
        <f>'SEAP template'!D87</f>
        <v>0</v>
      </c>
      <c r="E17" s="1069">
        <f>'SEAP template'!E87</f>
        <v>0</v>
      </c>
      <c r="F17" s="1069">
        <f>'SEAP template'!F87</f>
        <v>0</v>
      </c>
      <c r="G17" s="1069">
        <f>'SEAP template'!G87</f>
        <v>0</v>
      </c>
      <c r="H17" s="1069">
        <f>'SEAP template'!H87</f>
        <v>0</v>
      </c>
      <c r="I17" s="1069">
        <f>'SEAP template'!I87</f>
        <v>59.558823529411768</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50.625</v>
      </c>
      <c r="C20" s="1072">
        <f>SUM(C17:C19)</f>
        <v>0</v>
      </c>
      <c r="D20" s="1072">
        <f t="shared" ref="D20:H20" si="2">SUM(D17:D19)</f>
        <v>0</v>
      </c>
      <c r="E20" s="1072">
        <f t="shared" si="2"/>
        <v>0</v>
      </c>
      <c r="F20" s="1072">
        <f t="shared" si="2"/>
        <v>0</v>
      </c>
      <c r="G20" s="1072">
        <f t="shared" si="2"/>
        <v>0</v>
      </c>
      <c r="H20" s="1072">
        <f t="shared" si="2"/>
        <v>0</v>
      </c>
      <c r="I20" s="1072">
        <f>SUM(I17:I19)</f>
        <v>59.558823529411768</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0.20932890607406679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2019-08-12T08:08:07Z</dcterms:modified>
</cp:coreProperties>
</file>