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<sst xmlns="http://schemas.openxmlformats.org/spreadsheetml/2006/main" count="2419" uniqueCount="907">
  <si>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</si>
  <si>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</si>
  <si>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</si>
  <si>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</si>
  <si>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</si>
  <si>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</si>
  <si>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</si>
  <si>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</si>
  <si>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</si>
  <si>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</si>
  <si>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</si>
  <si>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</si>
  <si>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</si>
  <si>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</si>
  <si>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</si>
  <si>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</si>
  <si>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</si>
  <si>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</si>
  <si>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</si>
  <si>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</si>
  <si>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</si>
  <si>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</si>
  <si>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</si>
  <si>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</si>
  <si>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</si>
  <si>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</si>
  <si>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</si>
  <si>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</si>
  <si>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</si>
  <si>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</si>
  <si>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</si>
  <si>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</si>
  <si>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</si>
  <si>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</si>
  <si>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</si>
  <si>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</si>
  <si>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</si>
  <si>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</si>
  <si>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</si>
  <si>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</si>
  <si>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</si>
  <si>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</si>
  <si>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</si>
  <si>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</si>
  <si>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</si>
  <si>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</si>
  <si>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</si>
  <si>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</si>
  <si>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</si>
  <si>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</si>
  <si>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</si>
  <si>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</si>
  <si>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</si>
  <si>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</si>
  <si>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</si>
  <si>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</si>
  <si>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</si>
  <si>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</si>
  <si>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</si>
  <si>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</si>
  <si>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</si>
  <si>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</si>
  <si>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</si>
  <si>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</si>
  <si>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</si>
  <si>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</si>
  <si>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</si>
  <si>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</si>
  <si>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</si>
  <si>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</si>
  <si>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</si>
  <si>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</si>
  <si>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</si>
  <si>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</si>
  <si>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</si>
  <si>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</si>
  <si>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</si>
  <si>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</si>
  <si>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</si>
  <si>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</si>
  <si>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</si>
  <si>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</si>
  <si>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</si>
  <si>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</si>
  <si>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</si>
  <si>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</si>
  <si>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</si>
  <si>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</si>
  <si>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</si>
  <si>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</si>
  <si>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</si>
  <si>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</si>
  <si>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</si>
  <si>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</si>
  <si>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</si>
  <si>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</si>
  <si>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</si>
  <si>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</si>
  <si>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</si>
  <si>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</si>
  <si>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</si>
  <si>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</si>
  <si>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</si>
  <si>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</si>
  <si>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</si>
  <si>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</si>
  <si>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</si>
  <si>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</si>
  <si>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</si>
  <si>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</si>
  <si>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</si>
  <si>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</si>
  <si>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</si>
  <si>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</si>
  <si>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</si>
  <si>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</si>
  <si>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</si>
  <si>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</si>
  <si>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</si>
  <si>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</si>
  <si>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</si>
  <si>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</si>
  <si>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</si>
  <si>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</si>
  <si>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</si>
  <si>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</si>
  <si>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</si>
  <si>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</si>
  <si>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</si>
  <si>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</si>
  <si>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</si>
  <si>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</si>
  <si>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</si>
  <si>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</si>
  <si>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</si>
  <si>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</si>
  <si>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</si>
  <si>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</si>
  <si>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</si>
  <si>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</si>
  <si>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</si>
  <si>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</si>
  <si>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</si>
  <si>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</si>
  <si>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</si>
  <si>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</si>
  <si>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</si>
  <si>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</si>
  <si>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</si>
  <si>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</si>
  <si>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</si>
  <si>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</si>
  <si>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</si>
  <si>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</si>
  <si>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</si>
  <si>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</si>
  <si>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</si>
  <si>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</si>
  <si>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</si>
  <si>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</si>
  <si>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</si>
  <si>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</si>
  <si>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</si>
  <si>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</si>
  <si>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</si>
  <si>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</si>
  <si>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</si>
  <si>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</si>
  <si>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</si>
  <si>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</si>
  <si>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</si>
  <si>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</si>
  <si>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</si>
  <si>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</si>
  <si>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</si>
  <si>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</si>
  <si>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</si>
  <si>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</si>
  <si>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</si>
  <si>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</si>
  <si>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</si>
  <si>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</si>
  <si>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</si>
  <si>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</si>
  <si>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</si>
  <si>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</si>
  <si>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</si>
  <si>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</si>
  <si>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</si>
  <si>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</si>
  <si>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</si>
  <si>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</si>
  <si>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</si>
  <si>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</si>
  <si>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</si>
  <si>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</si>
  <si>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</si>
  <si>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</si>
  <si>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</si>
  <si>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</si>
  <si>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</si>
  <si>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</si>
  <si>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</si>
  <si>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</si>
  <si>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</si>
  <si>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</si>
  <si>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</si>
  <si>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</si>
  <si>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</si>
  <si>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</si>
  <si>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</si>
  <si>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</si>
  <si>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</si>
  <si>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</si>
  <si>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</si>
  <si>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</si>
  <si>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</si>
  <si>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</si>
  <si>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</si>
  <si>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</si>
  <si>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</si>
  <si>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</si>
  <si>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</si>
  <si>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</si>
  <si>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</si>
  <si>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</si>
  <si>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</si>
  <si>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</si>
  <si>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</si>
  <si>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</si>
  <si>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</si>
  <si>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</si>
  <si>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</si>
  <si>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</si>
  <si>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</si>
  <si>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</si>
  <si>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</si>
  <si>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</si>
  <si>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</si>
  <si>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</si>
  <si>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</si>
  <si>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</si>
  <si>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</si>
  <si>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</si>
  <si>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</si>
  <si>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</si>
  <si>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</si>
  <si>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</si>
  <si>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</si>
  <si>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</si>
  <si>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</si>
  <si>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</si>
  <si>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</si>
  <si>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</si>
  <si>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</si>
  <si>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</si>
  <si>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</si>
  <si>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</si>
  <si>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</si>
  <si>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</si>
  <si>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</si>
  <si>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</si>
  <si>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</si>
  <si>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</si>
  <si>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</si>
  <si>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</si>
  <si>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</si>
  <si>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</si>
  <si>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</si>
  <si>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</si>
  <si>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</si>
  <si>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</si>
  <si>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</si>
  <si>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</si>
  <si>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</si>
  <si>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</si>
  <si>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</si>
  <si>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</si>
  <si>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</si>
  <si>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</si>
  <si>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</si>
  <si>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</si>
  <si>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</si>
  <si>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</si>
  <si>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</si>
  <si>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</si>
  <si>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</si>
  <si>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</si>
  <si>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</si>
  <si>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</si>
  <si>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</si>
  <si>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</si>
  <si>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</si>
  <si>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</si>
  <si>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</si>
  <si>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</si>
  <si>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</si>
  <si>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</si>
  <si>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</si>
  <si>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</si>
  <si>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</si>
  <si>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</si>
  <si>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</si>
  <si>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</si>
  <si>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</si>
  <si>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</si>
  <si>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</si>
  <si>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</si>
  <si>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</si>
  <si>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</si>
  <si>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</si>
  <si>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</si>
  <si>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</si>
  <si>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</si>
  <si>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</si>
  <si>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</si>
  <si>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</si>
  <si>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</si>
  <si>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</si>
  <si>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</si>
  <si>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</si>
  <si>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</si>
  <si>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</si>
  <si>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</si>
  <si>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</si>
  <si>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</si>
  <si>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</si>
  <si>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</si>
  <si>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</si>
  <si>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</si>
  <si>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</si>
  <si>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</si>
  <si>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</si>
  <si>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</si>
  <si>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</si>
  <si>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</si>
  <si>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</si>
  <si>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</si>
  <si>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</si>
  <si>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</si>
  <si>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</si>
  <si>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</si>
  <si>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</si>
  <si>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</si>
  <si>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</si>
  <si>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</si>
  <si>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</si>
  <si>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</si>
  <si>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</si>
  <si>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</si>
  <si>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</si>
  <si>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</si>
  <si>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</si>
  <si>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</si>
  <si>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</si>
  <si>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</si>
  <si>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</si>
  <si>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</si>
  <si>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</si>
  <si>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</si>
  <si>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</si>
  <si>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</si>
  <si>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</si>
  <si>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</si>
  <si>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</si>
  <si>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</si>
  <si>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</si>
  <si>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</si>
  <si>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</si>
  <si>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</si>
  <si>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</si>
  <si>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</si>
  <si>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</si>
  <si>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</si>
  <si>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</si>
  <si>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</si>
  <si>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</si>
  <si>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</si>
  <si>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</si>
  <si>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</si>
  <si>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</si>
  <si>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</si>
  <si>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</si>
  <si>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</si>
  <si>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</si>
  <si>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</si>
  <si>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</si>
  <si>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</si>
  <si>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</si>
  <si>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</si>
  <si>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</si>
  <si>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</si>
  <si>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</si>
  <si>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</si>
  <si>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</si>
  <si>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</si>
  <si>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</si>
  <si>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</si>
  <si>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</si>
  <si>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</si>
  <si>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</si>
  <si>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</si>
  <si>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</si>
  <si>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</si>
  <si>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</si>
  <si>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</si>
  <si>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</si>
  <si>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</si>
  <si>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</si>
  <si>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</si>
  <si>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</si>
  <si>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</si>
  <si>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</si>
  <si>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</si>
  <si>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</si>
  <si>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</si>
  <si>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</si>
  <si>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</si>
  <si>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</si>
  <si>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</si>
  <si>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</si>
  <si>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</si>
  <si>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</si>
  <si>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</si>
  <si>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</si>
  <si>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</si>
  <si>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</si>
  <si>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</si>
  <si>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</si>
  <si>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</si>
  <si>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</si>
  <si>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</si>
  <si>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</si>
  <si>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</si>
  <si>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</si>
  <si>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</si>
  <si>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</si>
  <si>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</si>
  <si>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</si>
  <si>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</si>
  <si>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</si>
  <si>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</si>
  <si>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</si>
  <si>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</si>
  <si>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</si>
  <si>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</si>
  <si>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</si>
  <si>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</si>
  <si>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</si>
  <si>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</si>
  <si>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</si>
  <si>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</si>
  <si>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</si>
  <si>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</si>
  <si>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</si>
  <si>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</si>
  <si>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</si>
  <si>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</si>
  <si>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</si>
  <si>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</si>
  <si>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</si>
  <si>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</si>
  <si>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</si>
  <si>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</si>
  <si>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</si>
  <si>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</si>
  <si>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</si>
  <si>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</si>
  <si>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</si>
  <si>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</si>
  <si>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</si>
  <si>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</si>
  <si>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</si>
  <si>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</si>
  <si>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</si>
  <si>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</si>
  <si>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</si>
  <si>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</si>
  <si>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</si>
  <si>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</si>
  <si>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</si>
  <si>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</si>
  <si>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</si>
  <si>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</si>
  <si>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</si>
  <si>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</si>
  <si>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</si>
  <si>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</si>
  <si>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</si>
  <si>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</si>
  <si>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</si>
  <si>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</si>
  <si>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</si>
  <si>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</si>
  <si>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</si>
  <si>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</si>
  <si>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</si>
  <si>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</si>
  <si>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</si>
  <si>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</si>
  <si>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</si>
  <si>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</si>
  <si>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</si>
  <si>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</si>
  <si>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</si>
  <si>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</si>
  <si>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</si>
  <si>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</si>
  <si>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</si>
  <si>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</si>
  <si>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</si>
  <si>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</si>
  <si>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</si>
  <si>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</si>
  <si>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</si>
  <si>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</si>
  <si>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</si>
  <si>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</si>
  <si>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</si>
  <si>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</si>
  <si>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</si>
  <si>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</si>
  <si>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</si>
  <si>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</si>
  <si>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</si>
  <si>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</si>
  <si>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</si>
  <si>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</si>
  <si>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</si>
  <si>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</si>
  <si>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</si>
  <si>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</si>
  <si>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</si>
  <si>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</si>
  <si>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</si>
  <si>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</si>
  <si>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</si>
  <si>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</si>
  <si>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</si>
  <si>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</si>
  <si>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</si>
  <si>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</si>
  <si>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</si>
  <si>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</si>
  <si>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</si>
  <si>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</si>
  <si>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</si>
  <si>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</si>
  <si>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</si>
  <si>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</si>
  <si>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</si>
  <si>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</si>
  <si>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</si>
  <si>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</si>
  <si>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</si>
  <si>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</si>
  <si>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</si>
  <si>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</si>
  <si>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</si>
  <si>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</si>
  <si>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</si>
  <si>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</si>
  <si>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</si>
  <si>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</si>
  <si>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</si>
  <si>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</si>
  <si>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</si>
  <si>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</si>
  <si>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</si>
  <si>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</si>
  <si>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</si>
  <si>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</si>
  <si>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</si>
  <si>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</si>
  <si>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</si>
  <si>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</si>
  <si>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</si>
  <si>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</si>
  <si>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</si>
  <si>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</si>
  <si>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</si>
  <si>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</si>
  <si>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</si>
  <si>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</si>
  <si>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</si>
  <si>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</si>
  <si>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</si>
  <si>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</si>
  <si>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</si>
  <si>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</si>
  <si>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</si>
  <si>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</si>
  <si>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</si>
  <si>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</si>
  <si>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</si>
  <si>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</si>
  <si>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</si>
  <si>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</si>
  <si>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</si>
  <si>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</si>
  <si>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</si>
  <si>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</si>
  <si>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</si>
  <si>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</si>
  <si>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</si>
  <si>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</si>
  <si>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</si>
  <si>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</si>
  <si>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</si>
  <si>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</si>
  <si>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</si>
  <si>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</si>
  <si>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</si>
  <si>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</si>
  <si>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</si>
  <si>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</si>
  <si>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</si>
  <si>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</si>
  <si>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</si>
  <si>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</si>
  <si>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</si>
  <si>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</si>
  <si>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</si>
  <si>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</si>
  <si>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</si>
  <si>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</si>
  <si>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</si>
  <si>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</si>
  <si>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</si>
  <si>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</si>
  <si>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</si>
  <si>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</si>
  <si>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</si>
  <si>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</si>
  <si>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</si>
  <si>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</si>
  <si>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</si>
  <si>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</si>
  <si>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</si>
  <si>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</si>
  <si>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</si>
  <si>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</si>
  <si>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</si>
  <si>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</si>
  <si>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</si>
  <si>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</si>
  <si>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</si>
  <si>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</si>
  <si>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</si>
  <si>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</si>
  <si>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</si>
  <si>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</si>
  <si>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</si>
  <si>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</si>
  <si>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</si>
  <si>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</si>
  <si>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</si>
  <si>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</si>
  <si>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</si>
  <si>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</si>
  <si>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</si>
  <si>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</si>
  <si>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</si>
  <si>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</si>
  <si>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</si>
  <si>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</si>
  <si>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</si>
  <si>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</si>
  <si>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</si>
  <si>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</si>
  <si>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</si>
  <si>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</si>
  <si>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</si>
  <si>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</si>
  <si>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</si>
  <si>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</si>
  <si>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</si>
  <si>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</si>
  <si>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</si>
  <si>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</si>
  <si>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</si>
  <si>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</si>
  <si>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</si>
  <si>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</si>
  <si>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</si>
  <si>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</si>
  <si>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</si>
  <si>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</si>
  <si>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</si>
  <si>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</si>
  <si>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</si>
  <si>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</si>
  <si>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</si>
  <si>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</si>
  <si>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</si>
  <si>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</si>
  <si>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</si>
  <si>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</si>
  <si>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</si>
  <si>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</si>
  <si>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</si>
  <si>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</si>
  <si>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</si>
  <si>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</si>
  <si>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</si>
  <si>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</si>
  <si>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</si>
  <si>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</si>
  <si>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</si>
  <si>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</si>
  <si>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</si>
  <si>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</si>
  <si>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</si>
  <si>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</si>
  <si>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</si>
  <si>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</si>
  <si>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</si>
  <si>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</si>
  <si>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</si>
  <si>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</si>
  <si>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</si>
  <si>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</si>
  <si>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</si>
  <si>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</si>
  <si>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</si>
  <si>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</si>
  <si>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</si>
  <si>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</si>
  <si>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</si>
  <si>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</si>
  <si>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</si>
  <si>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</si>
  <si>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</si>
  <si>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</si>
  <si>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</si>
  <si>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</si>
  <si>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</si>
  <si>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</si>
  <si>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</si>
  <si>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</si>
  <si>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</si>
  <si>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</si>
  <si>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</si>
  <si>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</si>
  <si>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</si>
  <si>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</si>
  <si>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</si>
  <si>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</si>
  <si>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</si>
  <si>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</si>
  <si>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</si>
  <si>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</si>
  <si>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</si>
  <si>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</si>
  <si>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</si>
  <si>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</si>
  <si>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</si>
  <si>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</si>
  <si>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</si>
  <si>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</si>
  <si>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</si>
  <si>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</si>
  <si>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</si>
  <si>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</si>
  <si>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</si>
  <si>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</si>
  <si>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</si>
  <si>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</si>
  <si>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</si>
  <si>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</si>
  <si>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</si>
  <si>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</si>
  <si>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</si>
  <si>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</si>
  <si>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</si>
  <si>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</si>
  <si>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</si>
  <si>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</si>
  <si>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</si>
  <si>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</si>
  <si>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</si>
  <si>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</si>
  <si>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</si>
  <si>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</si>
  <si>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</si>
  <si>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</si>
  <si>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</si>
  <si>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</si>
  <si>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</si>
  <si>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</si>
  <si>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</si>
  <si>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</si>
  <si>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</si>
  <si>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</si>
  <si>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</si>
  <si>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</si>
  <si>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</si>
  <si>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</si>
  <si>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</si>
  <si>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</si>
  <si>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</si>
  <si>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</si>
  <si>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</si>
  <si>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</si>
  <si>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</si>
  <si>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</si>
  <si>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</si>
  <si>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</si>
  <si>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</si>
  <si>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</si>
  <si>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</si>
  <si>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</si>
  <si>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</si>
  <si>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</si>
  <si>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</si>
  <si>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</si>
  <si>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</si>
  <si>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</si>
  <si>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</si>
  <si>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</si>
  <si>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</si>
  <si>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</si>
  <si>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</si>
  <si>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</si>
  <si>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</si>
  <si>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</si>
  <si>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</si>
  <si>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</si>
  <si>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</si>
  <si>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</si>
  <si>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</si>
  <si>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</si>
  <si>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</si>
  <si>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</si>
  <si>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</si>
  <si>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</si>
  <si>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</si>
  <si>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</si>
  <si>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</si>
  <si>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</si>
  <si>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</si>
  <si>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</si>
  <si>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</si>
  <si>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</si>
  <si>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</si>
  <si>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</si>
  <si>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</si>
  <si>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</si>
  <si>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</si>
  <si>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</si>
  <si>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</si>
  <si>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</si>
  <si>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</si>
  <si>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</si>
  <si>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</si>
  <si>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</si>
  <si>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</si>
  <si>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</si>
  <si>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</si>
  <si>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</si>
  <si>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</si>
  <si>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</si>
  <si>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</si>
  <si>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</si>
  <si>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</si>
  <si>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</si>
  <si>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</si>
  <si>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</si>
  <si>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</si>
  <si>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</si>
  <si>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</si>
  <si>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</si>
  <si>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</si>
  <si>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</si>
  <si>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</si>
  <si>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</si>
  <si>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</si>
  <si>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</si>
  <si>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</si>
  <si>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</si>
  <si>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</si>
  <si>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</si>
  <si>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</si>
  <si>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</si>
  <si>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</si>
  <si>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</si>
  <si>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</si>
  <si>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</si>
  <si>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</si>
  <si>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</si>
  <si>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</si>
  <si>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</si>
  <si>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</si>
  <si>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</si>
  <si>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</si>
  <si>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</si>
  <si>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</si>
  <si>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</si>
  <si>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</si>
  <si>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24086</t>
  </si>
  <si>
    <t>OUD-HEVERLEE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</si>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</sst>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97413.119179931513</c:v>
                </c:pt>
                <c:pt idx="1">
                  <c:v>16559.949008986441</c:v>
                </c:pt>
                <c:pt idx="2">
                  <c:v>673.495</c:v>
                </c:pt>
                <c:pt idx="3">
                  <c:v>262.70705113957956</c:v>
                </c:pt>
                <c:pt idx="4">
                  <c:v>1120.7289906371477</c:v>
                </c:pt>
                <c:pt idx="5">
                  <c:v>91847.15173934694</c:v>
                </c:pt>
                <c:pt idx="6">
                  <c:v>1096.9334019440289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97413.119179931513</c:v>
                </c:pt>
                <c:pt idx="1">
                  <c:v>16559.949008986441</c:v>
                </c:pt>
                <c:pt idx="2">
                  <c:v>673.495</c:v>
                </c:pt>
                <c:pt idx="3">
                  <c:v>262.70705113957956</c:v>
                </c:pt>
                <c:pt idx="4">
                  <c:v>1120.7289906371477</c:v>
                </c:pt>
                <c:pt idx="5">
                  <c:v>91847.15173934694</c:v>
                </c:pt>
                <c:pt idx="6">
                  <c:v>1096.9334019440289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20547.140888860355</c:v>
                </c:pt>
                <c:pt idx="2">
                  <c:v>3313.9638228235299</c:v>
                </c:pt>
                <c:pt idx="3">
                  <c:v>138.93424788870476</c:v>
                </c:pt>
                <c:pt idx="4">
                  <c:v>63.815587773766026</c:v>
                </c:pt>
                <c:pt idx="5">
                  <c:v>224.80607550533006</c:v>
                </c:pt>
                <c:pt idx="6">
                  <c:v>23003.147045604048</c:v>
                </c:pt>
                <c:pt idx="7">
                  <c:v>277.08014536135488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20547.140888860355</c:v>
                </c:pt>
                <c:pt idx="2">
                  <c:v>3313.9638228235299</c:v>
                </c:pt>
                <c:pt idx="3">
                  <c:v>138.93424788870476</c:v>
                </c:pt>
                <c:pt idx="4">
                  <c:v>63.815587773766026</c:v>
                </c:pt>
                <c:pt idx="5">
                  <c:v>224.80607550533006</c:v>
                </c:pt>
                <c:pt idx="6">
                  <c:v>23003.147045604048</c:v>
                </c:pt>
                <c:pt idx="7">
                  <c:v>277.08014536135488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24086</v>
      </c>
      <c r="B6" s="416"/>
      <c r="C6" s="417"/>
    </row>
    <row r="7" spans="1:7" s="414" customFormat="1" ht="15.75" customHeight="1">
      <c r="A7" s="418" t="str">
        <f>txtMunicipality</f>
        <v>OUD-HEVERLEE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0.20628846225837572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0.20628846225837572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4242</v>
      </c>
      <c r="C9" s="342">
        <v>4389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684</v>
      </c>
    </row>
    <row r="15" spans="1:6">
      <c r="A15" s="348" t="s">
        <v>184</v>
      </c>
      <c r="B15" s="334">
        <v>0</v>
      </c>
    </row>
    <row r="16" spans="1:6">
      <c r="A16" s="348" t="s">
        <v>6</v>
      </c>
      <c r="B16" s="334">
        <v>0</v>
      </c>
    </row>
    <row r="17" spans="1:6">
      <c r="A17" s="348" t="s">
        <v>7</v>
      </c>
      <c r="B17" s="334">
        <v>116</v>
      </c>
    </row>
    <row r="18" spans="1:6">
      <c r="A18" s="348" t="s">
        <v>8</v>
      </c>
      <c r="B18" s="334">
        <v>107</v>
      </c>
    </row>
    <row r="19" spans="1:6">
      <c r="A19" s="348" t="s">
        <v>9</v>
      </c>
      <c r="B19" s="334">
        <v>174</v>
      </c>
    </row>
    <row r="20" spans="1:6">
      <c r="A20" s="348" t="s">
        <v>10</v>
      </c>
      <c r="B20" s="334">
        <v>56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94</v>
      </c>
    </row>
    <row r="27" spans="1:6">
      <c r="A27" s="348" t="s">
        <v>17</v>
      </c>
      <c r="B27" s="334">
        <v>0</v>
      </c>
    </row>
    <row r="28" spans="1:6" s="356" customFormat="1">
      <c r="A28" s="355" t="s">
        <v>18</v>
      </c>
      <c r="B28" s="355">
        <v>0</v>
      </c>
    </row>
    <row r="29" spans="1:6">
      <c r="A29" s="355" t="s">
        <v>901</v>
      </c>
      <c r="B29" s="355">
        <v>277</v>
      </c>
      <c r="C29" s="356"/>
      <c r="D29" s="356"/>
      <c r="E29" s="356"/>
      <c r="F29" s="356"/>
    </row>
    <row r="30" spans="1:6">
      <c r="A30" s="341" t="s">
        <v>902</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4047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1664</v>
      </c>
      <c r="D39" s="334">
        <v>33463372</v>
      </c>
      <c r="E39" s="334">
        <v>4221</v>
      </c>
      <c r="F39" s="334">
        <v>20280957</v>
      </c>
    </row>
    <row r="40" spans="1:6">
      <c r="A40" s="348" t="s">
        <v>30</v>
      </c>
      <c r="B40" s="348" t="s">
        <v>29</v>
      </c>
      <c r="C40" s="334">
        <v>0</v>
      </c>
      <c r="D40" s="334">
        <v>0</v>
      </c>
      <c r="E40" s="334">
        <v>0</v>
      </c>
      <c r="F40" s="334">
        <v>0</v>
      </c>
    </row>
    <row r="41" spans="1:6">
      <c r="A41" s="348" t="s">
        <v>32</v>
      </c>
      <c r="B41" s="348" t="s">
        <v>33</v>
      </c>
      <c r="C41" s="334">
        <v>7</v>
      </c>
      <c r="D41" s="334">
        <v>132582</v>
      </c>
      <c r="E41" s="334">
        <v>31</v>
      </c>
      <c r="F41" s="334">
        <v>284788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32922</v>
      </c>
    </row>
    <row r="48" spans="1:6">
      <c r="A48" s="348" t="s">
        <v>32</v>
      </c>
      <c r="B48" s="348" t="s">
        <v>29</v>
      </c>
      <c r="C48" s="334">
        <v>2</v>
      </c>
      <c r="D48" s="334">
        <v>23794</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5</v>
      </c>
      <c r="F50" s="334">
        <v>69237</v>
      </c>
    </row>
    <row r="51" spans="1:6">
      <c r="A51" s="348" t="s">
        <v>42</v>
      </c>
      <c r="B51" s="348" t="s">
        <v>43</v>
      </c>
      <c r="C51" s="334">
        <v>3</v>
      </c>
      <c r="D51" s="334">
        <v>62504</v>
      </c>
      <c r="E51" s="334">
        <v>15</v>
      </c>
      <c r="F51" s="334">
        <v>55768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673495</v>
      </c>
    </row>
    <row r="55" spans="1:6">
      <c r="A55" s="348" t="s">
        <v>46</v>
      </c>
      <c r="B55" s="348" t="s">
        <v>29</v>
      </c>
      <c r="C55" s="334">
        <v>0</v>
      </c>
      <c r="D55" s="334">
        <v>0</v>
      </c>
      <c r="E55" s="334">
        <v>0</v>
      </c>
      <c r="F55" s="334">
        <v>0</v>
      </c>
    </row>
    <row r="56" spans="1:6">
      <c r="A56" s="348" t="s">
        <v>48</v>
      </c>
      <c r="B56" s="348" t="s">
        <v>29</v>
      </c>
      <c r="C56" s="334">
        <v>24</v>
      </c>
      <c r="D56" s="334">
        <v>581979</v>
      </c>
      <c r="E56" s="334">
        <v>95</v>
      </c>
      <c r="F56" s="334">
        <v>675070</v>
      </c>
    </row>
    <row r="57" spans="1:6">
      <c r="A57" s="348" t="s">
        <v>49</v>
      </c>
      <c r="B57" s="348" t="s">
        <v>50</v>
      </c>
      <c r="C57" s="334">
        <v>11</v>
      </c>
      <c r="D57" s="334">
        <v>673131</v>
      </c>
      <c r="E57" s="334">
        <v>48</v>
      </c>
      <c r="F57" s="334">
        <v>854176</v>
      </c>
    </row>
    <row r="58" spans="1:6">
      <c r="A58" s="348" t="s">
        <v>49</v>
      </c>
      <c r="B58" s="348" t="s">
        <v>51</v>
      </c>
      <c r="C58" s="334">
        <v>5</v>
      </c>
      <c r="D58" s="334">
        <v>162905</v>
      </c>
      <c r="E58" s="334">
        <v>17</v>
      </c>
      <c r="F58" s="334">
        <v>242029</v>
      </c>
    </row>
    <row r="59" spans="1:6">
      <c r="A59" s="348" t="s">
        <v>49</v>
      </c>
      <c r="B59" s="348" t="s">
        <v>52</v>
      </c>
      <c r="C59" s="334">
        <v>22</v>
      </c>
      <c r="D59" s="334">
        <v>982893</v>
      </c>
      <c r="E59" s="334">
        <v>72</v>
      </c>
      <c r="F59" s="334">
        <v>1460668</v>
      </c>
    </row>
    <row r="60" spans="1:6">
      <c r="A60" s="348" t="s">
        <v>49</v>
      </c>
      <c r="B60" s="348" t="s">
        <v>53</v>
      </c>
      <c r="C60" s="334">
        <v>21</v>
      </c>
      <c r="D60" s="334">
        <v>1699524</v>
      </c>
      <c r="E60" s="334">
        <v>32</v>
      </c>
      <c r="F60" s="334">
        <v>1249878</v>
      </c>
    </row>
    <row r="61" spans="1:6">
      <c r="A61" s="348" t="s">
        <v>49</v>
      </c>
      <c r="B61" s="348" t="s">
        <v>54</v>
      </c>
      <c r="C61" s="334">
        <v>88</v>
      </c>
      <c r="D61" s="334">
        <v>4084134</v>
      </c>
      <c r="E61" s="334">
        <v>233</v>
      </c>
      <c r="F61" s="334">
        <v>3163043</v>
      </c>
    </row>
    <row r="62" spans="1:6">
      <c r="A62" s="348" t="s">
        <v>49</v>
      </c>
      <c r="B62" s="348" t="s">
        <v>55</v>
      </c>
      <c r="C62" s="334">
        <v>4</v>
      </c>
      <c r="D62" s="334">
        <v>547342</v>
      </c>
      <c r="E62" s="334">
        <v>7</v>
      </c>
      <c r="F62" s="334">
        <v>261232</v>
      </c>
    </row>
    <row r="63" spans="1:6">
      <c r="A63" s="348" t="s">
        <v>49</v>
      </c>
      <c r="B63" s="348" t="s">
        <v>29</v>
      </c>
      <c r="C63" s="334">
        <v>0</v>
      </c>
      <c r="D63" s="334">
        <v>0</v>
      </c>
      <c r="E63" s="334">
        <v>1</v>
      </c>
      <c r="F63" s="334">
        <v>97719</v>
      </c>
    </row>
    <row r="64" spans="1:6">
      <c r="A64" s="348" t="s">
        <v>56</v>
      </c>
      <c r="B64" s="348" t="s">
        <v>57</v>
      </c>
      <c r="C64" s="334">
        <v>0</v>
      </c>
      <c r="D64" s="334">
        <v>0</v>
      </c>
      <c r="E64" s="334">
        <v>0</v>
      </c>
      <c r="F64" s="334">
        <v>0</v>
      </c>
    </row>
    <row r="65" spans="1:6">
      <c r="A65" s="348" t="s">
        <v>56</v>
      </c>
      <c r="B65" s="348" t="s">
        <v>29</v>
      </c>
      <c r="C65" s="334">
        <v>0</v>
      </c>
      <c r="D65" s="334">
        <v>0</v>
      </c>
      <c r="E65" s="334">
        <v>1</v>
      </c>
      <c r="F65" s="334">
        <v>2496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32121129</v>
      </c>
      <c r="E73" s="476">
        <v>33303154.066235978</v>
      </c>
    </row>
    <row r="74" spans="1:6">
      <c r="A74" s="348" t="s">
        <v>64</v>
      </c>
      <c r="B74" s="348" t="s">
        <v>714</v>
      </c>
      <c r="C74" s="1311" t="s">
        <v>716</v>
      </c>
      <c r="D74" s="476">
        <v>2144316.603105959</v>
      </c>
      <c r="E74" s="476">
        <v>2260352.2478493839</v>
      </c>
    </row>
    <row r="75" spans="1:6">
      <c r="A75" s="348" t="s">
        <v>65</v>
      </c>
      <c r="B75" s="348" t="s">
        <v>713</v>
      </c>
      <c r="C75" s="1311" t="s">
        <v>717</v>
      </c>
      <c r="D75" s="476">
        <v>29911303</v>
      </c>
      <c r="E75" s="476">
        <v>30884270.304384068</v>
      </c>
    </row>
    <row r="76" spans="1:6">
      <c r="A76" s="348" t="s">
        <v>65</v>
      </c>
      <c r="B76" s="348" t="s">
        <v>714</v>
      </c>
      <c r="C76" s="1311" t="s">
        <v>718</v>
      </c>
      <c r="D76" s="476">
        <v>1554972.603105959</v>
      </c>
      <c r="E76" s="476">
        <v>1624579.5014443861</v>
      </c>
    </row>
    <row r="77" spans="1:6">
      <c r="A77" s="348" t="s">
        <v>66</v>
      </c>
      <c r="B77" s="348" t="s">
        <v>713</v>
      </c>
      <c r="C77" s="1311" t="s">
        <v>719</v>
      </c>
      <c r="D77" s="476">
        <v>38653007</v>
      </c>
      <c r="E77" s="476">
        <v>40648609.146945447</v>
      </c>
    </row>
    <row r="78" spans="1:6">
      <c r="A78" s="341" t="s">
        <v>66</v>
      </c>
      <c r="B78" s="341" t="s">
        <v>714</v>
      </c>
      <c r="C78" s="341" t="s">
        <v>720</v>
      </c>
      <c r="D78" s="1307">
        <v>3304312</v>
      </c>
      <c r="E78" s="1307">
        <v>3406363.2261817218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293126.79378808191</v>
      </c>
      <c r="C83" s="476">
        <v>291374.66124190914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2098.4320662606337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3</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31523.114360198622</v>
      </c>
      <c r="C3" s="43" t="s">
        <v>170</v>
      </c>
      <c r="D3" s="43"/>
      <c r="E3" s="154"/>
      <c r="F3" s="43"/>
      <c r="G3" s="43"/>
      <c r="H3" s="43"/>
      <c r="I3" s="43"/>
      <c r="J3" s="43"/>
      <c r="K3" s="96"/>
    </row>
    <row r="4" spans="1:11">
      <c r="A4" s="384" t="s">
        <v>171</v>
      </c>
      <c r="B4" s="49">
        <f>IF(ISERROR('SEAP template'!B78+'SEAP template'!C78),0,'SEAP template'!B78+'SEAP template'!C78)</f>
        <v>2098.4320662606337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0.20628846225837572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673.495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673.495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0.20628846225837572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138.93424788870476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20280.956999999999</v>
      </c>
      <c r="C5" s="17">
        <f>IF(ISERROR('Eigen informatie GS &amp; warmtenet'!B57),0,'Eigen informatie GS &amp; warmtenet'!B57)</f>
        <v>0</v>
      </c>
      <c r="D5" s="30">
        <f>(SUM(HH_hh_gas_kWh,HH_rest_gas_kWh)/1000)*0.902</f>
        <v>30183.961544000005</v>
      </c>
      <c r="E5" s="17">
        <f>B46*B57</f>
        <v>2180.6975138865178</v>
      </c>
      <c r="F5" s="17">
        <f>B51*B62</f>
        <v>34975.103238049807</v>
      </c>
      <c r="G5" s="18"/>
      <c r="H5" s="17"/>
      <c r="I5" s="17"/>
      <c r="J5" s="17">
        <f>B50*B61+C50*C61</f>
        <v>0</v>
      </c>
      <c r="K5" s="17"/>
      <c r="L5" s="17"/>
      <c r="M5" s="17"/>
      <c r="N5" s="17">
        <f>B48*B59+C48*C59</f>
        <v>7136.9278177345732</v>
      </c>
      <c r="O5" s="17">
        <f>B69*B70*B71</f>
        <v>137.57333333333335</v>
      </c>
      <c r="P5" s="17">
        <f>B77*B78*B79/1000-B77*B78*B79/1000/B80</f>
        <v>419.4666666666667</v>
      </c>
    </row>
    <row r="6" spans="1:16">
      <c r="A6" s="16" t="s">
        <v>631</v>
      </c>
      <c r="B6" s="789">
        <f>kWh_PV_kleiner_dan_10kW</f>
        <v>2098.4320662606337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22379.389066260632</v>
      </c>
      <c r="C8" s="21">
        <f>C5</f>
        <v>0</v>
      </c>
      <c r="D8" s="21">
        <f>D5</f>
        <v>30183.961544000005</v>
      </c>
      <c r="E8" s="21">
        <f>E5</f>
        <v>2180.6975138865178</v>
      </c>
      <c r="F8" s="21">
        <f>F5</f>
        <v>34975.103238049807</v>
      </c>
      <c r="G8" s="21"/>
      <c r="H8" s="21"/>
      <c r="I8" s="21"/>
      <c r="J8" s="21">
        <f>J5</f>
        <v>0</v>
      </c>
      <c r="K8" s="21"/>
      <c r="L8" s="21">
        <f>L5</f>
        <v>0</v>
      </c>
      <c r="M8" s="21">
        <f>M5</f>
        <v>0</v>
      </c>
      <c r="N8" s="21">
        <f>N5</f>
        <v>7136.9278177345732</v>
      </c>
      <c r="O8" s="21">
        <f>O5</f>
        <v>137.57333333333335</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0.20628846225837572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4616.6097567608122</v>
      </c>
      <c r="C12" s="23">
        <f ca="1">C10*C8</f>
        <v>0</v>
      </c>
      <c r="D12" s="23">
        <f>D8*D10</f>
        <v>6097.1602318880014</v>
      </c>
      <c r="E12" s="23">
        <f>E10*E8</f>
        <v>495.01833565223956</v>
      </c>
      <c r="F12" s="23">
        <f>F10*F8</f>
        <v>9338.3525645592999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4242</v>
      </c>
      <c r="C28" s="36"/>
      <c r="D28" s="228"/>
    </row>
    <row r="29" spans="1:7" s="15" customFormat="1">
      <c r="A29" s="230" t="s">
        <v>741</v>
      </c>
      <c r="B29" s="37">
        <f>SUM(HH_hh_gas_aantal,HH_rest_gas_aantal)</f>
        <v>1664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1664</v>
      </c>
      <c r="C32" s="167">
        <f>IF(ISERROR(B32/SUM($B$32,$B$34,$B$35,$B$36,$B$38,$B$39)*100),0,B32/SUM($B$32,$B$34,$B$35,$B$36,$B$38,$B$39)*100)</f>
        <v>39.431279620853083</v>
      </c>
      <c r="D32" s="233"/>
      <c r="G32" s="15"/>
    </row>
    <row r="33" spans="1:7">
      <c r="A33" s="171" t="s">
        <v>72</v>
      </c>
      <c r="B33" s="34" t="s">
        <v>111</v>
      </c>
      <c r="C33" s="167"/>
      <c r="D33" s="233"/>
      <c r="G33" s="15"/>
    </row>
    <row r="34" spans="1:7">
      <c r="A34" s="171" t="s">
        <v>73</v>
      </c>
      <c r="B34" s="33">
        <f>IF((($B$28-$B$32-$B$39-$B$77-$B$38)*C20/100)&lt;0,0,($B$28-$B$32-$B$39-$B$77-$B$38)*C20/100)</f>
        <v>146.15449735449735</v>
      </c>
      <c r="C34" s="167">
        <f>IF(ISERROR(B34/SUM($B$32,$B$34,$B$35,$B$36,$B$38,$B$39)*100),0,B34/SUM($B$32,$B$34,$B$35,$B$36,$B$38,$B$39)*100)</f>
        <v>3.4633767145615488</v>
      </c>
      <c r="D34" s="233"/>
      <c r="G34" s="15"/>
    </row>
    <row r="35" spans="1:7">
      <c r="A35" s="171" t="s">
        <v>74</v>
      </c>
      <c r="B35" s="33">
        <f>IF((($B$28-$B$32-$B$39-$B$77-$B$38)*C21/100)&lt;0,0,($B$28-$B$32-$B$39-$B$77-$B$38)*C21/100)</f>
        <v>862.91216931216945</v>
      </c>
      <c r="C35" s="167">
        <f>IF(ISERROR(B35/SUM($B$32,$B$34,$B$35,$B$36,$B$38,$B$39)*100),0,B35/SUM($B$32,$B$34,$B$35,$B$36,$B$38,$B$39)*100)</f>
        <v>20.448155670904487</v>
      </c>
      <c r="D35" s="233"/>
      <c r="G35" s="15"/>
    </row>
    <row r="36" spans="1:7">
      <c r="A36" s="171" t="s">
        <v>75</v>
      </c>
      <c r="B36" s="33">
        <f>IF((($B$28-$B$32-$B$39-$B$77-$B$38)*C22/100)&lt;0,0,($B$28-$B$32-$B$39-$B$77-$B$38)*C22/100)</f>
        <v>126.13333333333334</v>
      </c>
      <c r="C36" s="167">
        <f>IF(ISERROR(B36/SUM($B$32,$B$34,$B$35,$B$36,$B$38,$B$39)*100),0,B36/SUM($B$32,$B$34,$B$35,$B$36,$B$38,$B$39)*100)</f>
        <v>2.9889415481832544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1420.8</v>
      </c>
      <c r="C39" s="167">
        <f>IF(ISERROR(B39/SUM($B$32,$B$34,$B$35,$B$36,$B$38,$B$39)*100),0,B39/SUM($B$32,$B$34,$B$35,$B$36,$B$38,$B$39)*100)</f>
        <v>33.66824644549763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1664</v>
      </c>
      <c r="C44" s="34" t="s">
        <v>111</v>
      </c>
      <c r="D44" s="174"/>
    </row>
    <row r="45" spans="1:7">
      <c r="A45" s="171" t="s">
        <v>72</v>
      </c>
      <c r="B45" s="33" t="str">
        <f t="shared" si="0"/>
        <v>-</v>
      </c>
      <c r="C45" s="34" t="s">
        <v>111</v>
      </c>
      <c r="D45" s="174"/>
    </row>
    <row r="46" spans="1:7">
      <c r="A46" s="171" t="s">
        <v>73</v>
      </c>
      <c r="B46" s="33">
        <f t="shared" si="0"/>
        <v>146.15449735449735</v>
      </c>
      <c r="C46" s="34" t="s">
        <v>111</v>
      </c>
      <c r="D46" s="174"/>
    </row>
    <row r="47" spans="1:7">
      <c r="A47" s="171" t="s">
        <v>74</v>
      </c>
      <c r="B47" s="33">
        <f t="shared" si="0"/>
        <v>862.91216931216945</v>
      </c>
      <c r="C47" s="34" t="s">
        <v>111</v>
      </c>
      <c r="D47" s="174"/>
    </row>
    <row r="48" spans="1:7">
      <c r="A48" s="171" t="s">
        <v>75</v>
      </c>
      <c r="B48" s="33">
        <f t="shared" si="0"/>
        <v>126.13333333333334</v>
      </c>
      <c r="C48" s="33">
        <f>B48*10</f>
        <v>1261.3333333333335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7328.7450000000008</v>
      </c>
      <c r="C5" s="17">
        <f>IF(ISERROR('Eigen informatie GS &amp; warmtenet'!B58),0,'Eigen informatie GS &amp; warmtenet'!B58)</f>
        <v>0</v>
      </c>
      <c r="D5" s="30">
        <f>SUM(D6:D12)</f>
        <v>7351.2359580000011</v>
      </c>
      <c r="E5" s="17">
        <f>SUM(E6:E12)</f>
        <v>81.50302657349043</v>
      </c>
      <c r="F5" s="17">
        <f>SUM(F6:F12)</f>
        <v>1118.642082178231</v>
      </c>
      <c r="G5" s="18"/>
      <c r="H5" s="17"/>
      <c r="I5" s="17"/>
      <c r="J5" s="17">
        <f>SUM(J6:J12)</f>
        <v>0</v>
      </c>
      <c r="K5" s="17"/>
      <c r="L5" s="17"/>
      <c r="M5" s="17"/>
      <c r="N5" s="17">
        <f>SUM(N6:N12)</f>
        <v>656.06627556805415</v>
      </c>
      <c r="O5" s="17">
        <f>B38*B39*B40</f>
        <v>4.6900000000000004</v>
      </c>
      <c r="P5" s="17">
        <f>B46*B47*B48/1000-B46*B47*B48/1000/B49</f>
        <v>19.066666666666666</v>
      </c>
      <c r="R5" s="32"/>
    </row>
    <row r="6" spans="1:18">
      <c r="A6" s="32" t="s">
        <v>54</v>
      </c>
      <c r="B6" s="37">
        <f>B26</f>
        <v>3163.0430000000001</v>
      </c>
      <c r="C6" s="33"/>
      <c r="D6" s="37">
        <f>IF(ISERROR(TER_kantoor_gas_kWh/1000),0,TER_kantoor_gas_kWh/1000)*0.902</f>
        <v>3683.888868</v>
      </c>
      <c r="E6" s="33">
        <f>$C$26*'E Balans VL '!I12/100/3.6*1000000</f>
        <v>9.1637996552118075</v>
      </c>
      <c r="F6" s="33">
        <f>$C$26*('E Balans VL '!L12+'E Balans VL '!N12)/100/3.6*1000000</f>
        <v>357.98678035969488</v>
      </c>
      <c r="G6" s="34"/>
      <c r="H6" s="33"/>
      <c r="I6" s="33"/>
      <c r="J6" s="33">
        <f>$C$26*('E Balans VL '!D12+'E Balans VL '!E12)/100/3.6*1000000</f>
        <v>0</v>
      </c>
      <c r="K6" s="33"/>
      <c r="L6" s="33"/>
      <c r="M6" s="33"/>
      <c r="N6" s="33">
        <f>$C$26*'E Balans VL '!Y12/100/3.6*1000000</f>
        <v>31.659729795857661</v>
      </c>
      <c r="O6" s="33"/>
      <c r="P6" s="33"/>
      <c r="R6" s="32"/>
    </row>
    <row r="7" spans="1:18">
      <c r="A7" s="32" t="s">
        <v>53</v>
      </c>
      <c r="B7" s="37">
        <f t="shared" ref="B7:B12" si="0">B27</f>
        <v>1249.8779999999999</v>
      </c>
      <c r="C7" s="33"/>
      <c r="D7" s="37">
        <f>IF(ISERROR(TER_horeca_gas_kWh/1000),0,TER_horeca_gas_kWh/1000)*0.902</f>
        <v>1532.970648</v>
      </c>
      <c r="E7" s="33">
        <f>$C$27*'E Balans VL '!I9/100/3.6*1000000</f>
        <v>52.466386349885092</v>
      </c>
      <c r="F7" s="33">
        <f>$C$27*('E Balans VL '!L9+'E Balans VL '!N9)/100/3.6*1000000</f>
        <v>268.56191946240847</v>
      </c>
      <c r="G7" s="34"/>
      <c r="H7" s="33"/>
      <c r="I7" s="33"/>
      <c r="J7" s="33">
        <f>$C$27*('E Balans VL '!D9+'E Balans VL '!E9)/100/3.6*1000000</f>
        <v>0</v>
      </c>
      <c r="K7" s="33"/>
      <c r="L7" s="33"/>
      <c r="M7" s="33"/>
      <c r="N7" s="33">
        <f>$C$27*'E Balans VL '!Y9/100/3.6*1000000</f>
        <v>0.32208263002035797</v>
      </c>
      <c r="O7" s="33"/>
      <c r="P7" s="33"/>
      <c r="R7" s="32"/>
    </row>
    <row r="8" spans="1:18">
      <c r="A8" s="6" t="s">
        <v>52</v>
      </c>
      <c r="B8" s="37">
        <f t="shared" si="0"/>
        <v>1460.6679999999999</v>
      </c>
      <c r="C8" s="33"/>
      <c r="D8" s="37">
        <f>IF(ISERROR(TER_handel_gas_kWh/1000),0,TER_handel_gas_kWh/1000)*0.902</f>
        <v>886.5694860000001</v>
      </c>
      <c r="E8" s="33">
        <f>$C$28*'E Balans VL '!I13/100/3.6*1000000</f>
        <v>15.688789999418777</v>
      </c>
      <c r="F8" s="33">
        <f>$C$28*('E Balans VL '!L13+'E Balans VL '!N13)/100/3.6*1000000</f>
        <v>189.09553454768943</v>
      </c>
      <c r="G8" s="34"/>
      <c r="H8" s="33"/>
      <c r="I8" s="33"/>
      <c r="J8" s="33">
        <f>$C$28*('E Balans VL '!D13+'E Balans VL '!E13)/100/3.6*1000000</f>
        <v>0</v>
      </c>
      <c r="K8" s="33"/>
      <c r="L8" s="33"/>
      <c r="M8" s="33"/>
      <c r="N8" s="33">
        <f>$C$28*'E Balans VL '!Y13/100/3.6*1000000</f>
        <v>11.849018571940547</v>
      </c>
      <c r="O8" s="33"/>
      <c r="P8" s="33"/>
      <c r="R8" s="32"/>
    </row>
    <row r="9" spans="1:18">
      <c r="A9" s="32" t="s">
        <v>51</v>
      </c>
      <c r="B9" s="37">
        <f t="shared" si="0"/>
        <v>242.029</v>
      </c>
      <c r="C9" s="33"/>
      <c r="D9" s="37">
        <f>IF(ISERROR(TER_gezond_gas_kWh/1000),0,TER_gezond_gas_kWh/1000)*0.902</f>
        <v>146.94031000000001</v>
      </c>
      <c r="E9" s="33">
        <f>$C$29*'E Balans VL '!I10/100/3.6*1000000</f>
        <v>0.19267073801633652</v>
      </c>
      <c r="F9" s="33">
        <f>$C$29*('E Balans VL '!L10+'E Balans VL '!N10)/100/3.6*1000000</f>
        <v>29.422122584083318</v>
      </c>
      <c r="G9" s="34"/>
      <c r="H9" s="33"/>
      <c r="I9" s="33"/>
      <c r="J9" s="33">
        <f>$C$29*('E Balans VL '!D10+'E Balans VL '!E10)/100/3.6*1000000</f>
        <v>0</v>
      </c>
      <c r="K9" s="33"/>
      <c r="L9" s="33"/>
      <c r="M9" s="33"/>
      <c r="N9" s="33">
        <f>$C$29*'E Balans VL '!Y10/100/3.6*1000000</f>
        <v>1.9550461406294619</v>
      </c>
      <c r="O9" s="33"/>
      <c r="P9" s="33"/>
      <c r="R9" s="32"/>
    </row>
    <row r="10" spans="1:18">
      <c r="A10" s="32" t="s">
        <v>50</v>
      </c>
      <c r="B10" s="37">
        <f t="shared" si="0"/>
        <v>854.17600000000004</v>
      </c>
      <c r="C10" s="33"/>
      <c r="D10" s="37">
        <f>IF(ISERROR(TER_ander_gas_kWh/1000),0,TER_ander_gas_kWh/1000)*0.902</f>
        <v>607.16416200000003</v>
      </c>
      <c r="E10" s="33">
        <f>$C$30*'E Balans VL '!I14/100/3.6*1000000</f>
        <v>2.9273060246549965</v>
      </c>
      <c r="F10" s="33">
        <f>$C$30*('E Balans VL '!L14+'E Balans VL '!N14)/100/3.6*1000000</f>
        <v>190.78820877603229</v>
      </c>
      <c r="G10" s="34"/>
      <c r="H10" s="33"/>
      <c r="I10" s="33"/>
      <c r="J10" s="33">
        <f>$C$30*('E Balans VL '!D14+'E Balans VL '!E14)/100/3.6*1000000</f>
        <v>0</v>
      </c>
      <c r="K10" s="33"/>
      <c r="L10" s="33"/>
      <c r="M10" s="33"/>
      <c r="N10" s="33">
        <f>$C$30*'E Balans VL '!Y14/100/3.6*1000000</f>
        <v>601.68624067227506</v>
      </c>
      <c r="O10" s="33"/>
      <c r="P10" s="33"/>
      <c r="R10" s="32"/>
    </row>
    <row r="11" spans="1:18">
      <c r="A11" s="32" t="s">
        <v>55</v>
      </c>
      <c r="B11" s="37">
        <f t="shared" si="0"/>
        <v>261.23200000000003</v>
      </c>
      <c r="C11" s="33"/>
      <c r="D11" s="37">
        <f>IF(ISERROR(TER_onderwijs_gas_kWh/1000),0,TER_onderwijs_gas_kWh/1000)*0.902</f>
        <v>493.70248400000003</v>
      </c>
      <c r="E11" s="33">
        <f>$C$31*'E Balans VL '!I11/100/3.6*1000000</f>
        <v>0.18058163628757609</v>
      </c>
      <c r="F11" s="33">
        <f>$C$31*('E Balans VL '!L11+'E Balans VL '!N11)/100/3.6*1000000</f>
        <v>68.382949325276812</v>
      </c>
      <c r="G11" s="34"/>
      <c r="H11" s="33"/>
      <c r="I11" s="33"/>
      <c r="J11" s="33">
        <f>$C$31*('E Balans VL '!D11+'E Balans VL '!E11)/100/3.6*1000000</f>
        <v>0</v>
      </c>
      <c r="K11" s="33"/>
      <c r="L11" s="33"/>
      <c r="M11" s="33"/>
      <c r="N11" s="33">
        <f>$C$31*'E Balans VL '!Y11/100/3.6*1000000</f>
        <v>0.26003420599392429</v>
      </c>
      <c r="O11" s="33"/>
      <c r="P11" s="33"/>
      <c r="R11" s="32"/>
    </row>
    <row r="12" spans="1:18">
      <c r="A12" s="32" t="s">
        <v>260</v>
      </c>
      <c r="B12" s="37">
        <f t="shared" si="0"/>
        <v>97.718999999999994</v>
      </c>
      <c r="C12" s="33"/>
      <c r="D12" s="37">
        <f>IF(ISERROR(TER_rest_gas_kWh/1000),0,TER_rest_gas_kWh/1000)*0.902</f>
        <v>0</v>
      </c>
      <c r="E12" s="33">
        <f>$C$32*'E Balans VL '!I8/100/3.6*1000000</f>
        <v>0.88349217001585478</v>
      </c>
      <c r="F12" s="33">
        <f>$C$32*('E Balans VL '!L8+'E Balans VL '!N8)/100/3.6*1000000</f>
        <v>14.404567123045771</v>
      </c>
      <c r="G12" s="34"/>
      <c r="H12" s="33"/>
      <c r="I12" s="33"/>
      <c r="J12" s="33">
        <f>$C$32*('E Balans VL '!D8+'E Balans VL '!E8)/100/3.6*1000000</f>
        <v>0</v>
      </c>
      <c r="K12" s="33"/>
      <c r="L12" s="33"/>
      <c r="M12" s="33"/>
      <c r="N12" s="33">
        <f>$C$32*'E Balans VL '!Y8/100/3.6*1000000</f>
        <v>8.3341235513370417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7328.7450000000008</v>
      </c>
      <c r="C16" s="21">
        <f t="shared" ca="1" si="1"/>
        <v>0</v>
      </c>
      <c r="D16" s="21">
        <f t="shared" ca="1" si="1"/>
        <v>7351.2359580000011</v>
      </c>
      <c r="E16" s="21">
        <f t="shared" si="1"/>
        <v>81.50302657349043</v>
      </c>
      <c r="F16" s="21">
        <f t="shared" ca="1" si="1"/>
        <v>1118.642082178231</v>
      </c>
      <c r="G16" s="21">
        <f t="shared" si="1"/>
        <v>0</v>
      </c>
      <c r="H16" s="21">
        <f t="shared" si="1"/>
        <v>0</v>
      </c>
      <c r="I16" s="21">
        <f t="shared" si="1"/>
        <v>0</v>
      </c>
      <c r="J16" s="21">
        <f t="shared" si="1"/>
        <v>0</v>
      </c>
      <c r="K16" s="21">
        <f t="shared" si="1"/>
        <v>0</v>
      </c>
      <c r="L16" s="21">
        <f t="shared" ca="1" si="1"/>
        <v>0</v>
      </c>
      <c r="M16" s="21">
        <f t="shared" si="1"/>
        <v>0</v>
      </c>
      <c r="N16" s="21">
        <f t="shared" ca="1" si="1"/>
        <v>656.06627556805415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0.20628846225837572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1511.8355363337598</v>
      </c>
      <c r="C20" s="23">
        <f t="shared" ref="C20:P20" ca="1" si="2">C16*C18</f>
        <v>0</v>
      </c>
      <c r="D20" s="23">
        <f t="shared" ca="1" si="2"/>
        <v>1484.9496635160003</v>
      </c>
      <c r="E20" s="23">
        <f t="shared" si="2"/>
        <v>18.50118703218233</v>
      </c>
      <c r="F20" s="23">
        <f t="shared" ca="1" si="2"/>
        <v>298.6774359415877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3163.0430000000001</v>
      </c>
      <c r="C26" s="39">
        <f>IF(ISERROR(B26*3.6/1000000/'E Balans VL '!Z12*100),0,B26*3.6/1000000/'E Balans VL '!Z12*100)</f>
        <v>6.9479896338894273E-2</v>
      </c>
      <c r="D26" s="237" t="s">
        <v>692</v>
      </c>
      <c r="F26" s="6"/>
    </row>
    <row r="27" spans="1:18">
      <c r="A27" s="231" t="s">
        <v>53</v>
      </c>
      <c r="B27" s="33">
        <f>IF(ISERROR(TER_horeca_ele_kWh/1000),0,TER_horeca_ele_kWh/1000)</f>
        <v>1249.8779999999999</v>
      </c>
      <c r="C27" s="39">
        <f>IF(ISERROR(B27*3.6/1000000/'E Balans VL '!Z9*100),0,B27*3.6/1000000/'E Balans VL '!Z9*100)</f>
        <v>0.10044015623105743</v>
      </c>
      <c r="D27" s="237" t="s">
        <v>692</v>
      </c>
      <c r="F27" s="6"/>
    </row>
    <row r="28" spans="1:18">
      <c r="A28" s="171" t="s">
        <v>52</v>
      </c>
      <c r="B28" s="33">
        <f>IF(ISERROR(TER_handel_ele_kWh/1000),0,TER_handel_ele_kWh/1000)</f>
        <v>1460.6679999999999</v>
      </c>
      <c r="C28" s="39">
        <f>IF(ISERROR(B28*3.6/1000000/'E Balans VL '!Z13*100),0,B28*3.6/1000000/'E Balans VL '!Z13*100)</f>
        <v>4.3190932315909362E-2</v>
      </c>
      <c r="D28" s="237" t="s">
        <v>692</v>
      </c>
      <c r="F28" s="6"/>
    </row>
    <row r="29" spans="1:18">
      <c r="A29" s="231" t="s">
        <v>51</v>
      </c>
      <c r="B29" s="33">
        <f>IF(ISERROR(TER_gezond_ele_kWh/1000),0,TER_gezond_ele_kWh/1000)</f>
        <v>242.029</v>
      </c>
      <c r="C29" s="39">
        <f>IF(ISERROR(B29*3.6/1000000/'E Balans VL '!Z10*100),0,B29*3.6/1000000/'E Balans VL '!Z10*100)</f>
        <v>2.7270419662038831E-2</v>
      </c>
      <c r="D29" s="237" t="s">
        <v>692</v>
      </c>
      <c r="F29" s="6"/>
    </row>
    <row r="30" spans="1:18">
      <c r="A30" s="231" t="s">
        <v>50</v>
      </c>
      <c r="B30" s="33">
        <f>IF(ISERROR(TER_ander_ele_kWh/1000),0,TER_ander_ele_kWh/1000)</f>
        <v>854.17600000000004</v>
      </c>
      <c r="C30" s="39">
        <f>IF(ISERROR(B30*3.6/1000000/'E Balans VL '!Z14*100),0,B30*3.6/1000000/'E Balans VL '!Z14*100)</f>
        <v>6.4599870732082981E-2</v>
      </c>
      <c r="D30" s="237" t="s">
        <v>692</v>
      </c>
      <c r="F30" s="6"/>
    </row>
    <row r="31" spans="1:18">
      <c r="A31" s="231" t="s">
        <v>55</v>
      </c>
      <c r="B31" s="33">
        <f>IF(ISERROR(TER_onderwijs_ele_kWh/1000),0,TER_onderwijs_ele_kWh/1000)</f>
        <v>261.23200000000003</v>
      </c>
      <c r="C31" s="39">
        <f>IF(ISERROR(B31*3.6/1000000/'E Balans VL '!Z11*100),0,B31*3.6/1000000/'E Balans VL '!Z11*100)</f>
        <v>5.4225698959460424E-2</v>
      </c>
      <c r="D31" s="237" t="s">
        <v>692</v>
      </c>
    </row>
    <row r="32" spans="1:18">
      <c r="A32" s="231" t="s">
        <v>260</v>
      </c>
      <c r="B32" s="33">
        <f>IF(ISERROR(TER_rest_ele_kWh/1000),0,TER_rest_ele_kWh/1000)</f>
        <v>97.718999999999994</v>
      </c>
      <c r="C32" s="39">
        <f>IF(ISERROR(B32*3.6/1000000/'E Balans VL '!Z8*100),0,B32*3.6/1000000/'E Balans VL '!Z8*100)</f>
        <v>8.2322508885904764E-4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396.84800000000007</v>
      </c>
      <c r="C5" s="17">
        <f>IF(ISERROR('Eigen informatie GS &amp; warmtenet'!B59),0,'Eigen informatie GS &amp; warmtenet'!B59)</f>
        <v>0</v>
      </c>
      <c r="D5" s="30">
        <f>SUM(D6:D15)</f>
        <v>141.051152</v>
      </c>
      <c r="E5" s="17">
        <f>SUM(E6:E15)</f>
        <v>79.326823537890363</v>
      </c>
      <c r="F5" s="17">
        <f>SUM(F6:F15)</f>
        <v>359.00669712369927</v>
      </c>
      <c r="G5" s="18"/>
      <c r="H5" s="17"/>
      <c r="I5" s="17"/>
      <c r="J5" s="17">
        <f>SUM(J6:J15)</f>
        <v>1.6570679544896567</v>
      </c>
      <c r="K5" s="17"/>
      <c r="L5" s="17"/>
      <c r="M5" s="17"/>
      <c r="N5" s="17">
        <f>SUM(N6:N15)</f>
        <v>142.8392500210683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9.9009999999999998</v>
      </c>
      <c r="C8" s="33"/>
      <c r="D8" s="37">
        <f>IF( ISERROR(IND_metaal_Gas_kWH/1000),0,IND_metaal_Gas_kWH/1000)*0.902</f>
        <v>0</v>
      </c>
      <c r="E8" s="33">
        <f>C30*'E Balans VL '!I18/100/3.6*1000000</f>
        <v>0.24778737724238695</v>
      </c>
      <c r="F8" s="33">
        <f>C30*'E Balans VL '!L18/100/3.6*1000000+C30*'E Balans VL '!N18/100/3.6*1000000</f>
        <v>3.103022650106833</v>
      </c>
      <c r="G8" s="34"/>
      <c r="H8" s="33"/>
      <c r="I8" s="33"/>
      <c r="J8" s="40">
        <f>C30*'E Balans VL '!D18/100/3.6*1000000+C30*'E Balans VL '!E18/100/3.6*1000000</f>
        <v>0</v>
      </c>
      <c r="K8" s="33"/>
      <c r="L8" s="33"/>
      <c r="M8" s="33"/>
      <c r="N8" s="33">
        <f>C30*'E Balans VL '!Y18/100/3.6*1000000</f>
        <v>0.24873881533565054</v>
      </c>
      <c r="O8" s="33"/>
      <c r="P8" s="33"/>
      <c r="R8" s="32"/>
    </row>
    <row r="9" spans="1:18">
      <c r="A9" s="6" t="s">
        <v>33</v>
      </c>
      <c r="B9" s="37">
        <f t="shared" si="0"/>
        <v>284.78800000000001</v>
      </c>
      <c r="C9" s="33"/>
      <c r="D9" s="37">
        <f>IF( ISERROR(IND_andere_gas_kWh/1000),0,IND_andere_gas_kWh/1000)*0.902</f>
        <v>119.588964</v>
      </c>
      <c r="E9" s="33">
        <f>C31*'E Balans VL '!I19/100/3.6*1000000</f>
        <v>78.305019404347433</v>
      </c>
      <c r="F9" s="33">
        <f>C31*'E Balans VL '!L19/100/3.6*1000000+C31*'E Balans VL '!N19/100/3.6*1000000</f>
        <v>224.46250067006778</v>
      </c>
      <c r="G9" s="34"/>
      <c r="H9" s="33"/>
      <c r="I9" s="33"/>
      <c r="J9" s="40">
        <f>C31*'E Balans VL '!D19/100/3.6*1000000+C31*'E Balans VL '!E19/100/3.6*1000000</f>
        <v>0</v>
      </c>
      <c r="K9" s="33"/>
      <c r="L9" s="33"/>
      <c r="M9" s="33"/>
      <c r="N9" s="33">
        <f>C31*'E Balans VL '!Y19/100/3.6*1000000</f>
        <v>92.193392745287326</v>
      </c>
      <c r="O9" s="33"/>
      <c r="P9" s="33"/>
      <c r="R9" s="32"/>
    </row>
    <row r="10" spans="1:18">
      <c r="A10" s="6" t="s">
        <v>41</v>
      </c>
      <c r="B10" s="37">
        <f t="shared" si="0"/>
        <v>69.236999999999995</v>
      </c>
      <c r="C10" s="33"/>
      <c r="D10" s="37">
        <f>IF( ISERROR(IND_voed_gas_kWh/1000),0,IND_voed_gas_kWh/1000)*0.902</f>
        <v>0</v>
      </c>
      <c r="E10" s="33">
        <f>C32*'E Balans VL '!I20/100/3.6*1000000</f>
        <v>0.70583307211905566</v>
      </c>
      <c r="F10" s="33">
        <f>C32*'E Balans VL '!L20/100/3.6*1000000+C32*'E Balans VL '!N20/100/3.6*1000000</f>
        <v>130.78825996436635</v>
      </c>
      <c r="G10" s="34"/>
      <c r="H10" s="33"/>
      <c r="I10" s="33"/>
      <c r="J10" s="40">
        <f>C32*'E Balans VL '!D20/100/3.6*1000000+C32*'E Balans VL '!E20/100/3.6*1000000</f>
        <v>1.6570679544896567</v>
      </c>
      <c r="K10" s="33"/>
      <c r="L10" s="33"/>
      <c r="M10" s="33"/>
      <c r="N10" s="33">
        <f>C32*'E Balans VL '!Y20/100/3.6*1000000</f>
        <v>36.495874124461785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32.921999999999997</v>
      </c>
      <c r="C13" s="33"/>
      <c r="D13" s="37">
        <f>IF( ISERROR(IND_papier_gas_kWh/1000),0,IND_papier_gas_kWh/1000)*0.902</f>
        <v>0</v>
      </c>
      <c r="E13" s="33">
        <f>C35*'E Balans VL '!I23/100/3.6*1000000</f>
        <v>6.8183684181490803E-2</v>
      </c>
      <c r="F13" s="33">
        <f>C35*'E Balans VL '!L23/100/3.6*1000000+C35*'E Balans VL '!N23/100/3.6*1000000</f>
        <v>0.65291383915831336</v>
      </c>
      <c r="G13" s="34"/>
      <c r="H13" s="33"/>
      <c r="I13" s="33"/>
      <c r="J13" s="40">
        <f>C35*'E Balans VL '!D23/100/3.6*1000000+C35*'E Balans VL '!E23/100/3.6*1000000</f>
        <v>0</v>
      </c>
      <c r="K13" s="33"/>
      <c r="L13" s="33"/>
      <c r="M13" s="33"/>
      <c r="N13" s="33">
        <f>C35*'E Balans VL '!Y23/100/3.6*1000000</f>
        <v>13.901244335983534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21.462188000000001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396.84800000000007</v>
      </c>
      <c r="C18" s="21">
        <f>C5+C16</f>
        <v>0</v>
      </c>
      <c r="D18" s="21">
        <f>MAX((D5+D16),0)</f>
        <v>141.051152</v>
      </c>
      <c r="E18" s="21">
        <f>MAX((E5+E16),0)</f>
        <v>79.326823537890363</v>
      </c>
      <c r="F18" s="21">
        <f>MAX((F5+F16),0)</f>
        <v>359.00669712369927</v>
      </c>
      <c r="G18" s="21"/>
      <c r="H18" s="21"/>
      <c r="I18" s="21"/>
      <c r="J18" s="21">
        <f>MAX((J5+J16),0)</f>
        <v>1.6570679544896567</v>
      </c>
      <c r="K18" s="21"/>
      <c r="L18" s="21">
        <f>MAX((L5+L16),0)</f>
        <v>0</v>
      </c>
      <c r="M18" s="21"/>
      <c r="N18" s="21">
        <f>MAX((N5+N16),0)</f>
        <v>142.8392500210683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0.20628846225837572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81.865163670311901</v>
      </c>
      <c r="C22" s="23">
        <f ca="1">C18*C20</f>
        <v>0</v>
      </c>
      <c r="D22" s="23">
        <f>D18*D20</f>
        <v>28.492332704000003</v>
      </c>
      <c r="E22" s="23">
        <f>E18*E20</f>
        <v>18.007188943101113</v>
      </c>
      <c r="F22" s="23">
        <f>F18*F20</f>
        <v>95.854788132027707</v>
      </c>
      <c r="G22" s="23"/>
      <c r="H22" s="23"/>
      <c r="I22" s="23"/>
      <c r="J22" s="23">
        <f>J18*J20</f>
        <v>0.58660205588933845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9.9009999999999998</v>
      </c>
      <c r="C30" s="39">
        <f>IF(ISERROR(B30*3.6/1000000/'E Balans VL '!Z18*100),0,B30*3.6/1000000/'E Balans VL '!Z18*100)</f>
        <v>1.3858100455298923E-3</v>
      </c>
      <c r="D30" s="237" t="s">
        <v>692</v>
      </c>
    </row>
    <row r="31" spans="1:18">
      <c r="A31" s="6" t="s">
        <v>33</v>
      </c>
      <c r="B31" s="37">
        <f>IF( ISERROR(IND_ander_ele_kWh/1000),0,IND_ander_ele_kWh/1000)</f>
        <v>284.78800000000001</v>
      </c>
      <c r="C31" s="39">
        <f>IF(ISERROR(B31*3.6/1000000/'E Balans VL '!Z19*100),0,B31*3.6/1000000/'E Balans VL '!Z19*100)</f>
        <v>1.2465124560822683E-2</v>
      </c>
      <c r="D31" s="237" t="s">
        <v>692</v>
      </c>
    </row>
    <row r="32" spans="1:18">
      <c r="A32" s="171" t="s">
        <v>41</v>
      </c>
      <c r="B32" s="37">
        <f>IF( ISERROR(IND_voed_ele_kWh/1000),0,IND_voed_ele_kWh/1000)</f>
        <v>69.236999999999995</v>
      </c>
      <c r="C32" s="39">
        <f>IF(ISERROR(B32*3.6/1000000/'E Balans VL '!Z20*100),0,B32*3.6/1000000/'E Balans VL '!Z20*100)</f>
        <v>1.7140781952641477E-2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32.921999999999997</v>
      </c>
      <c r="C35" s="39">
        <f>IF(ISERROR(B35*3.6/1000000/'E Balans VL '!Z22*100),0,B35*3.6/1000000/'E Balans VL '!Z22*100)</f>
        <v>9.3419204545866193E-4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55.768000000000001</v>
      </c>
      <c r="C5" s="17">
        <f>'Eigen informatie GS &amp; warmtenet'!B60</f>
        <v>0</v>
      </c>
      <c r="D5" s="30">
        <f>IF(ISERROR(SUM(LB_lb_gas_kWh,LB_rest_gas_kWh)/1000),0,SUM(LB_lb_gas_kWh,LB_rest_gas_kWh)/1000)*0.902</f>
        <v>56.378608</v>
      </c>
      <c r="E5" s="17">
        <f>B17*'E Balans VL '!I25/3.6*1000000/100</f>
        <v>0.51654657378549251</v>
      </c>
      <c r="F5" s="17">
        <f>B17*('E Balans VL '!L25/3.6*1000000+'E Balans VL '!N25/3.6*1000000)/100</f>
        <v>141.49403979309764</v>
      </c>
      <c r="G5" s="18"/>
      <c r="H5" s="17"/>
      <c r="I5" s="17"/>
      <c r="J5" s="17">
        <f>('E Balans VL '!D25+'E Balans VL '!E25)/3.6*1000000*landbouw!B17/100</f>
        <v>8.5498567726964545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55.768000000000001</v>
      </c>
      <c r="C8" s="21">
        <f>C5+C6</f>
        <v>0</v>
      </c>
      <c r="D8" s="21">
        <f>MAX((D5+D6),0)</f>
        <v>56.378608</v>
      </c>
      <c r="E8" s="21">
        <f>MAX((E5+E6),0)</f>
        <v>0.51654657378549251</v>
      </c>
      <c r="F8" s="21">
        <f>MAX((F5+F6),0)</f>
        <v>141.49403979309764</v>
      </c>
      <c r="G8" s="21"/>
      <c r="H8" s="21"/>
      <c r="I8" s="21"/>
      <c r="J8" s="21">
        <f>MAX((J5+J6),0)</f>
        <v>8.5498567726964545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0.20628846225837572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11.504294963225098</v>
      </c>
      <c r="C12" s="23">
        <f ca="1">C8*C10</f>
        <v>0</v>
      </c>
      <c r="D12" s="23">
        <f>D8*D10</f>
        <v>11.388478816000001</v>
      </c>
      <c r="E12" s="23">
        <f>E8*E10</f>
        <v>0.1172560722493068</v>
      </c>
      <c r="F12" s="23">
        <f>F8*F10</f>
        <v>37.778908624757072</v>
      </c>
      <c r="G12" s="23"/>
      <c r="H12" s="23"/>
      <c r="I12" s="23"/>
      <c r="J12" s="23">
        <f>J8*J10</f>
        <v>3.0266492975345449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7.9290271140083964E-3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31.02700215557638</v>
      </c>
      <c r="C26" s="247">
        <f>B26*'GWP N2O_CH4'!B5</f>
        <v>651.56704526710394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2.7766551417050112</v>
      </c>
      <c r="C27" s="247">
        <f>B27*'GWP N2O_CH4'!B5</f>
        <v>58.309757975805233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0.44026199071340694</v>
      </c>
      <c r="C28" s="247">
        <f>B28*'GWP N2O_CH4'!B4</f>
        <v>136.48121712115616</v>
      </c>
      <c r="D28" s="50"/>
    </row>
    <row r="29" spans="1:4">
      <c r="A29" s="41" t="s">
        <v>277</v>
      </c>
      <c r="B29" s="247">
        <f>B34*'ha_N2O bodem landbouw'!B4</f>
        <v>4.5279344089511344</v>
      </c>
      <c r="C29" s="247">
        <f>B29*'GWP N2O_CH4'!B4</f>
        <v>1403.6596667748518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1.0155359179019384E-3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4.9677458176749191E-5</v>
      </c>
      <c r="C5" s="464" t="s">
        <v>211</v>
      </c>
      <c r="D5" s="449">
        <f>SUM(D6:D11)</f>
        <v>1.4329040627204941E-4</v>
      </c>
      <c r="E5" s="449">
        <f>SUM(E6:E11)</f>
        <v>9.7702027945450239E-4</v>
      </c>
      <c r="F5" s="462" t="s">
        <v>211</v>
      </c>
      <c r="G5" s="449">
        <f>SUM(G6:G11)</f>
        <v>0.25822365331531805</v>
      </c>
      <c r="H5" s="449">
        <f>SUM(H6:H11)</f>
        <v>5.4637099506125851E-2</v>
      </c>
      <c r="I5" s="464" t="s">
        <v>211</v>
      </c>
      <c r="J5" s="464" t="s">
        <v>211</v>
      </c>
      <c r="K5" s="464" t="s">
        <v>211</v>
      </c>
      <c r="L5" s="464" t="s">
        <v>211</v>
      </c>
      <c r="M5" s="449">
        <f>SUM(M6:M11)</f>
        <v>1.6619005296301777E-2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1.5848329791634175E-5</v>
      </c>
      <c r="C6" s="450"/>
      <c r="D6" s="893">
        <f>vkm_2011_GW_PW*SUMIFS(TableVerdeelsleutelVkm[CNG],TableVerdeelsleutelVkm[Voertuigtype],"Lichte voertuigen")*SUMIFS(TableECFTransport[EnergieConsumptieFactor (PJ per km)],TableECFTransport[Index],CONCATENATE($A6,"_CNG_CNG"))</f>
        <v>3.6658931636880916E-5</v>
      </c>
      <c r="E6" s="893">
        <f>vkm_2011_GW_PW*SUMIFS(TableVerdeelsleutelVkm[LPG],TableVerdeelsleutelVkm[Voertuigtype],"Lichte voertuigen")*SUMIFS(TableECFTransport[EnergieConsumptieFactor (PJ per km)],TableECFTransport[Index],CONCATENATE($A6,"_LPG_LPG"))</f>
        <v>2.3870082511064545E-4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4.9588330443604285E-2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1.3977925578585959E-2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3.2987591644154583E-3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2.000399608434323E-2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6.841003371353637E-6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1.1573445612747518E-3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1.4758017828124805E-5</v>
      </c>
      <c r="C8" s="450"/>
      <c r="D8" s="452">
        <f>vkm_2011_NGW_PW*SUMIFS(TableVerdeelsleutelVkm[CNG],TableVerdeelsleutelVkm[Voertuigtype],"Lichte voertuigen")*SUMIFS(TableECFTransport[EnergieConsumptieFactor (PJ per km)],TableECFTransport[Index],CONCATENATE($A8,"_CNG_CNG"))</f>
        <v>6.0378235219410109E-5</v>
      </c>
      <c r="E8" s="452">
        <f>vkm_2011_NGW_PW*SUMIFS(TableVerdeelsleutelVkm[LPG],TableVerdeelsleutelVkm[Voertuigtype],"Lichte voertuigen")*SUMIFS(TableECFTransport[EnergieConsumptieFactor (PJ per km)],TableECFTransport[Index],CONCATENATE($A8,"_LPG_LPG"))</f>
        <v>3.6283341550251723E-4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7.0461716264889993E-2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2.2260663858607178E-2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4.761170034901686E-3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1.8505967019181637E-2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5.9883153572318469E-6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1.0706646096402838E-3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1.9071110556990209E-5</v>
      </c>
      <c r="C10" s="450"/>
      <c r="D10" s="452">
        <f>vkm_2011_SW_PW*SUMIFS(TableVerdeelsleutelVkm[CNG],TableVerdeelsleutelVkm[Voertuigtype],"Lichte voertuigen")*SUMIFS(TableECFTransport[EnergieConsumptieFactor (PJ per km)],TableECFTransport[Index],CONCATENATE($A10,"_CNG_CNG"))</f>
        <v>4.625323941575839E-5</v>
      </c>
      <c r="E10" s="452">
        <f>vkm_2011_SW_PW*SUMIFS(TableVerdeelsleutelVkm[LPG],TableVerdeelsleutelVkm[Voertuigtype],"Lichte voertuigen")*SUMIFS(TableECFTransport[EnergieConsumptieFactor (PJ per km)],TableECFTransport[Index],CONCATENATE($A10,"_LPG_LPG"))</f>
        <v>3.7548603884133977E-4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7.0226670400554053E-2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1.8374831392791186E-2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4.6279470878341335E-3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2.9436973102744866E-2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1.0849357412943404E-5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1.7031198382354638E-3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13.799293937985887</v>
      </c>
      <c r="C14" s="21"/>
      <c r="D14" s="21">
        <f t="shared" ref="D14:M14" si="0">((D5)*10^9/3600)+D12</f>
        <v>39.802890631124839</v>
      </c>
      <c r="E14" s="21">
        <f t="shared" si="0"/>
        <v>271.39452207069513</v>
      </c>
      <c r="F14" s="21"/>
      <c r="G14" s="21">
        <f t="shared" si="0"/>
        <v>71728.792587588352</v>
      </c>
      <c r="H14" s="21">
        <f t="shared" si="0"/>
        <v>15176.972085034959</v>
      </c>
      <c r="I14" s="21"/>
      <c r="J14" s="21"/>
      <c r="K14" s="21"/>
      <c r="L14" s="21"/>
      <c r="M14" s="21">
        <f t="shared" si="0"/>
        <v>4616.3903600838266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0.20628846225837572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2.8466351267184344</v>
      </c>
      <c r="C18" s="23"/>
      <c r="D18" s="23">
        <f t="shared" ref="D18:M18" si="1">D14*D16</f>
        <v>8.0401839074872186</v>
      </c>
      <c r="E18" s="23">
        <f t="shared" si="1"/>
        <v>61.606556510047795</v>
      </c>
      <c r="F18" s="23"/>
      <c r="G18" s="23">
        <f t="shared" si="1"/>
        <v>19151.58762088609</v>
      </c>
      <c r="H18" s="23">
        <f t="shared" si="1"/>
        <v>3779.0660491737049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3.7359120722879301E-3</v>
      </c>
      <c r="H50" s="321">
        <f t="shared" si="2"/>
        <v>0</v>
      </c>
      <c r="I50" s="321">
        <f t="shared" si="2"/>
        <v>0</v>
      </c>
      <c r="J50" s="321">
        <f t="shared" si="2"/>
        <v>0</v>
      </c>
      <c r="K50" s="321">
        <f t="shared" si="2"/>
        <v>0</v>
      </c>
      <c r="L50" s="321">
        <f t="shared" si="2"/>
        <v>0</v>
      </c>
      <c r="M50" s="321">
        <f t="shared" si="2"/>
        <v>2.1304817471057315E-4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3.7359120722879301E-3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2.1304817471057315E-4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1037.753353413314</v>
      </c>
      <c r="H54" s="21">
        <f t="shared" si="3"/>
        <v>0</v>
      </c>
      <c r="I54" s="21">
        <f t="shared" si="3"/>
        <v>0</v>
      </c>
      <c r="J54" s="21">
        <f t="shared" si="3"/>
        <v>0</v>
      </c>
      <c r="K54" s="21">
        <f t="shared" si="3"/>
        <v>0</v>
      </c>
      <c r="L54" s="21">
        <f t="shared" si="3"/>
        <v>0</v>
      </c>
      <c r="M54" s="21">
        <f t="shared" si="3"/>
        <v>59.180048530714771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0.20628846225837572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277.08014536135488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8002.2400000000007</v>
      </c>
      <c r="D10" s="1025">
        <f ca="1">tertiair!C16</f>
        <v>0</v>
      </c>
      <c r="E10" s="1025">
        <f ca="1">tertiair!D16</f>
        <v>7351.2359580000011</v>
      </c>
      <c r="F10" s="1025">
        <f>tertiair!E16</f>
        <v>81.50302657349043</v>
      </c>
      <c r="G10" s="1025">
        <f ca="1">tertiair!F16</f>
        <v>1118.642082178231</v>
      </c>
      <c r="H10" s="1025">
        <f>tertiair!G16</f>
        <v>0</v>
      </c>
      <c r="I10" s="1025">
        <f>tertiair!H16</f>
        <v>0</v>
      </c>
      <c r="J10" s="1025">
        <f>tertiair!I16</f>
        <v>0</v>
      </c>
      <c r="K10" s="1025">
        <f>tertiair!J16</f>
        <v>0</v>
      </c>
      <c r="L10" s="1025">
        <f>tertiair!K16</f>
        <v>0</v>
      </c>
      <c r="M10" s="1025">
        <f ca="1">tertiair!L16</f>
        <v>0</v>
      </c>
      <c r="N10" s="1025">
        <f>tertiair!M16</f>
        <v>0</v>
      </c>
      <c r="O10" s="1025">
        <f ca="1">tertiair!N16</f>
        <v>656.06627556805415</v>
      </c>
      <c r="P10" s="1025">
        <f>tertiair!O16</f>
        <v>4.6900000000000004</v>
      </c>
      <c r="Q10" s="1026">
        <f>tertiair!P16</f>
        <v>19.066666666666666</v>
      </c>
      <c r="R10" s="701">
        <f ca="1">SUM(C10:Q10)</f>
        <v>17233.444008986444</v>
      </c>
      <c r="S10" s="67"/>
    </row>
    <row r="11" spans="1:19" s="474" customFormat="1">
      <c r="A11" s="810" t="s">
        <v>225</v>
      </c>
      <c r="B11" s="815"/>
      <c r="C11" s="1025">
        <f>huishoudens!B8</f>
        <v>22379.389066260632</v>
      </c>
      <c r="D11" s="1025">
        <f>huishoudens!C8</f>
        <v>0</v>
      </c>
      <c r="E11" s="1025">
        <f>huishoudens!D8</f>
        <v>30183.961544000005</v>
      </c>
      <c r="F11" s="1025">
        <f>huishoudens!E8</f>
        <v>2180.6975138865178</v>
      </c>
      <c r="G11" s="1025">
        <f>huishoudens!F8</f>
        <v>34975.103238049807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7136.9278177345732</v>
      </c>
      <c r="P11" s="1025">
        <f>huishoudens!O8</f>
        <v>137.57333333333335</v>
      </c>
      <c r="Q11" s="1026">
        <f>huishoudens!P8</f>
        <v>419.4666666666667</v>
      </c>
      <c r="R11" s="701">
        <f>SUM(C11:Q11)</f>
        <v>97413.119179931513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396.84800000000007</v>
      </c>
      <c r="D13" s="1025">
        <f>industrie!C18</f>
        <v>0</v>
      </c>
      <c r="E13" s="1025">
        <f>industrie!D18</f>
        <v>141.051152</v>
      </c>
      <c r="F13" s="1025">
        <f>industrie!E18</f>
        <v>79.326823537890363</v>
      </c>
      <c r="G13" s="1025">
        <f>industrie!F18</f>
        <v>359.00669712369927</v>
      </c>
      <c r="H13" s="1025">
        <f>industrie!G18</f>
        <v>0</v>
      </c>
      <c r="I13" s="1025">
        <f>industrie!H18</f>
        <v>0</v>
      </c>
      <c r="J13" s="1025">
        <f>industrie!I18</f>
        <v>0</v>
      </c>
      <c r="K13" s="1025">
        <f>industrie!J18</f>
        <v>1.6570679544896567</v>
      </c>
      <c r="L13" s="1025">
        <f>industrie!K18</f>
        <v>0</v>
      </c>
      <c r="M13" s="1025">
        <f>industrie!L18</f>
        <v>0</v>
      </c>
      <c r="N13" s="1025">
        <f>industrie!M18</f>
        <v>0</v>
      </c>
      <c r="O13" s="1025">
        <f>industrie!N18</f>
        <v>142.8392500210683</v>
      </c>
      <c r="P13" s="1025">
        <f>industrie!O18</f>
        <v>0</v>
      </c>
      <c r="Q13" s="1026">
        <f>industrie!P18</f>
        <v>0</v>
      </c>
      <c r="R13" s="701">
        <f>SUM(C13:Q13)</f>
        <v>1120.7289906371477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30778.477066260635</v>
      </c>
      <c r="D16" s="733">
        <f t="shared" ref="D16:R16" ca="1" si="0">SUM(D9:D15)</f>
        <v>0</v>
      </c>
      <c r="E16" s="733">
        <f t="shared" ca="1" si="0"/>
        <v>37676.24865400001</v>
      </c>
      <c r="F16" s="733">
        <f t="shared" si="0"/>
        <v>2341.5273639978986</v>
      </c>
      <c r="G16" s="733">
        <f t="shared" ca="1" si="0"/>
        <v>36452.752017351741</v>
      </c>
      <c r="H16" s="733">
        <f t="shared" si="0"/>
        <v>0</v>
      </c>
      <c r="I16" s="733">
        <f t="shared" si="0"/>
        <v>0</v>
      </c>
      <c r="J16" s="733">
        <f t="shared" si="0"/>
        <v>0</v>
      </c>
      <c r="K16" s="733">
        <f t="shared" si="0"/>
        <v>1.6570679544896567</v>
      </c>
      <c r="L16" s="733">
        <f t="shared" si="0"/>
        <v>0</v>
      </c>
      <c r="M16" s="733">
        <f t="shared" ca="1" si="0"/>
        <v>0</v>
      </c>
      <c r="N16" s="733">
        <f t="shared" si="0"/>
        <v>0</v>
      </c>
      <c r="O16" s="733">
        <f t="shared" ca="1" si="0"/>
        <v>7935.8333433236958</v>
      </c>
      <c r="P16" s="733">
        <f t="shared" si="0"/>
        <v>142.26333333333335</v>
      </c>
      <c r="Q16" s="733">
        <f t="shared" si="0"/>
        <v>438.53333333333336</v>
      </c>
      <c r="R16" s="733">
        <f t="shared" ca="1" si="0"/>
        <v>115767.29217955511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1037.753353413314</v>
      </c>
      <c r="I19" s="1025">
        <f>transport!H54</f>
        <v>0</v>
      </c>
      <c r="J19" s="1025">
        <f>transport!I54</f>
        <v>0</v>
      </c>
      <c r="K19" s="1025">
        <f>transport!J54</f>
        <v>0</v>
      </c>
      <c r="L19" s="1025">
        <f>transport!K54</f>
        <v>0</v>
      </c>
      <c r="M19" s="1025">
        <f>transport!L54</f>
        <v>0</v>
      </c>
      <c r="N19" s="1025">
        <f>transport!M54</f>
        <v>59.180048530714771</v>
      </c>
      <c r="O19" s="1025">
        <f>transport!N54</f>
        <v>0</v>
      </c>
      <c r="P19" s="1025">
        <f>transport!O54</f>
        <v>0</v>
      </c>
      <c r="Q19" s="1026">
        <f>transport!P54</f>
        <v>0</v>
      </c>
      <c r="R19" s="701">
        <f>SUM(C19:Q19)</f>
        <v>1096.9334019440289</v>
      </c>
      <c r="S19" s="67"/>
    </row>
    <row r="20" spans="1:19" s="474" customFormat="1">
      <c r="A20" s="810" t="s">
        <v>307</v>
      </c>
      <c r="B20" s="815"/>
      <c r="C20" s="1025">
        <f>transport!B14</f>
        <v>13.799293937985887</v>
      </c>
      <c r="D20" s="1025">
        <f>transport!C14</f>
        <v>0</v>
      </c>
      <c r="E20" s="1025">
        <f>transport!D14</f>
        <v>39.802890631124839</v>
      </c>
      <c r="F20" s="1025">
        <f>transport!E14</f>
        <v>271.39452207069513</v>
      </c>
      <c r="G20" s="1025">
        <f>transport!F14</f>
        <v>0</v>
      </c>
      <c r="H20" s="1025">
        <f>transport!G14</f>
        <v>71728.792587588352</v>
      </c>
      <c r="I20" s="1025">
        <f>transport!H14</f>
        <v>15176.972085034959</v>
      </c>
      <c r="J20" s="1025">
        <f>transport!I14</f>
        <v>0</v>
      </c>
      <c r="K20" s="1025">
        <f>transport!J14</f>
        <v>0</v>
      </c>
      <c r="L20" s="1025">
        <f>transport!K14</f>
        <v>0</v>
      </c>
      <c r="M20" s="1025">
        <f>transport!L14</f>
        <v>0</v>
      </c>
      <c r="N20" s="1025">
        <f>transport!M14</f>
        <v>4616.3903600838266</v>
      </c>
      <c r="O20" s="1025">
        <f>transport!N14</f>
        <v>0</v>
      </c>
      <c r="P20" s="1025">
        <f>transport!O14</f>
        <v>0</v>
      </c>
      <c r="Q20" s="1026">
        <f>transport!P14</f>
        <v>0</v>
      </c>
      <c r="R20" s="701">
        <f>SUM(C20:Q20)</f>
        <v>91847.15173934694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13.799293937985887</v>
      </c>
      <c r="D22" s="813">
        <f t="shared" ref="D22:R22" si="1">SUM(D18:D21)</f>
        <v>0</v>
      </c>
      <c r="E22" s="813">
        <f t="shared" si="1"/>
        <v>39.802890631124839</v>
      </c>
      <c r="F22" s="813">
        <f t="shared" si="1"/>
        <v>271.39452207069513</v>
      </c>
      <c r="G22" s="813">
        <f t="shared" si="1"/>
        <v>0</v>
      </c>
      <c r="H22" s="813">
        <f t="shared" si="1"/>
        <v>72766.545941001663</v>
      </c>
      <c r="I22" s="813">
        <f t="shared" si="1"/>
        <v>15176.972085034959</v>
      </c>
      <c r="J22" s="813">
        <f t="shared" si="1"/>
        <v>0</v>
      </c>
      <c r="K22" s="813">
        <f t="shared" si="1"/>
        <v>0</v>
      </c>
      <c r="L22" s="813">
        <f t="shared" si="1"/>
        <v>0</v>
      </c>
      <c r="M22" s="813">
        <f t="shared" si="1"/>
        <v>0</v>
      </c>
      <c r="N22" s="813">
        <f t="shared" si="1"/>
        <v>4675.5704086145415</v>
      </c>
      <c r="O22" s="813">
        <f t="shared" si="1"/>
        <v>0</v>
      </c>
      <c r="P22" s="813">
        <f t="shared" si="1"/>
        <v>0</v>
      </c>
      <c r="Q22" s="813">
        <f t="shared" si="1"/>
        <v>0</v>
      </c>
      <c r="R22" s="813">
        <f t="shared" si="1"/>
        <v>92944.085141290969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55.768000000000001</v>
      </c>
      <c r="D24" s="1025">
        <f>+landbouw!C8</f>
        <v>0</v>
      </c>
      <c r="E24" s="1025">
        <f>+landbouw!D8</f>
        <v>56.378608</v>
      </c>
      <c r="F24" s="1025">
        <f>+landbouw!E8</f>
        <v>0.51654657378549251</v>
      </c>
      <c r="G24" s="1025">
        <f>+landbouw!F8</f>
        <v>141.49403979309764</v>
      </c>
      <c r="H24" s="1025">
        <f>+landbouw!G8</f>
        <v>0</v>
      </c>
      <c r="I24" s="1025">
        <f>+landbouw!H8</f>
        <v>0</v>
      </c>
      <c r="J24" s="1025">
        <f>+landbouw!I8</f>
        <v>0</v>
      </c>
      <c r="K24" s="1025">
        <f>+landbouw!J8</f>
        <v>8.5498567726964545</v>
      </c>
      <c r="L24" s="1025">
        <f>+landbouw!K8</f>
        <v>0</v>
      </c>
      <c r="M24" s="1025">
        <f>+landbouw!L8</f>
        <v>0</v>
      </c>
      <c r="N24" s="1025">
        <f>+landbouw!M8</f>
        <v>0</v>
      </c>
      <c r="O24" s="1025">
        <f>+landbouw!N8</f>
        <v>0</v>
      </c>
      <c r="P24" s="1025">
        <f>+landbouw!O8</f>
        <v>0</v>
      </c>
      <c r="Q24" s="1026">
        <f>+landbouw!P8</f>
        <v>0</v>
      </c>
      <c r="R24" s="701">
        <f>SUM(C24:Q24)</f>
        <v>262.70705113957956</v>
      </c>
      <c r="S24" s="67"/>
    </row>
    <row r="25" spans="1:19" s="474" customFormat="1" ht="15" thickBot="1">
      <c r="A25" s="832" t="s">
        <v>864</v>
      </c>
      <c r="B25" s="1028"/>
      <c r="C25" s="1029">
        <f>IF(Onbekend_ele_kWh="---",0,Onbekend_ele_kWh)/1000+IF(REST_rest_ele_kWh="---",0,REST_rest_ele_kWh)/1000</f>
        <v>675.07</v>
      </c>
      <c r="D25" s="1029"/>
      <c r="E25" s="1029">
        <f>IF(onbekend_gas_kWh="---",0,onbekend_gas_kWh)/1000+IF(REST_rest_gas_kWh="---",0,REST_rest_gas_kWh)/1000</f>
        <v>581.97900000000004</v>
      </c>
      <c r="F25" s="1029"/>
      <c r="G25" s="1029"/>
      <c r="H25" s="1029"/>
      <c r="I25" s="1029"/>
      <c r="J25" s="1029"/>
      <c r="K25" s="1029"/>
      <c r="L25" s="1029"/>
      <c r="M25" s="1029"/>
      <c r="N25" s="1029"/>
      <c r="O25" s="1029"/>
      <c r="P25" s="1029"/>
      <c r="Q25" s="1030"/>
      <c r="R25" s="701">
        <f>SUM(C25:Q25)</f>
        <v>1257.049</v>
      </c>
      <c r="S25" s="67"/>
    </row>
    <row r="26" spans="1:19" s="474" customFormat="1" ht="15.75" thickBot="1">
      <c r="A26" s="706" t="s">
        <v>865</v>
      </c>
      <c r="B26" s="818"/>
      <c r="C26" s="813">
        <f>SUM(C24:C25)</f>
        <v>730.83800000000008</v>
      </c>
      <c r="D26" s="813">
        <f t="shared" ref="D26:R26" si="2">SUM(D24:D25)</f>
        <v>0</v>
      </c>
      <c r="E26" s="813">
        <f t="shared" si="2"/>
        <v>638.35760800000003</v>
      </c>
      <c r="F26" s="813">
        <f t="shared" si="2"/>
        <v>0.51654657378549251</v>
      </c>
      <c r="G26" s="813">
        <f t="shared" si="2"/>
        <v>141.49403979309764</v>
      </c>
      <c r="H26" s="813">
        <f t="shared" si="2"/>
        <v>0</v>
      </c>
      <c r="I26" s="813">
        <f t="shared" si="2"/>
        <v>0</v>
      </c>
      <c r="J26" s="813">
        <f t="shared" si="2"/>
        <v>0</v>
      </c>
      <c r="K26" s="813">
        <f t="shared" si="2"/>
        <v>8.5498567726964545</v>
      </c>
      <c r="L26" s="813">
        <f t="shared" si="2"/>
        <v>0</v>
      </c>
      <c r="M26" s="813">
        <f t="shared" si="2"/>
        <v>0</v>
      </c>
      <c r="N26" s="813">
        <f t="shared" si="2"/>
        <v>0</v>
      </c>
      <c r="O26" s="813">
        <f t="shared" si="2"/>
        <v>0</v>
      </c>
      <c r="P26" s="813">
        <f t="shared" si="2"/>
        <v>0</v>
      </c>
      <c r="Q26" s="813">
        <f t="shared" si="2"/>
        <v>0</v>
      </c>
      <c r="R26" s="813">
        <f t="shared" si="2"/>
        <v>1519.7560511395795</v>
      </c>
      <c r="S26" s="67"/>
    </row>
    <row r="27" spans="1:19" s="474" customFormat="1" ht="17.25" thickTop="1" thickBot="1">
      <c r="A27" s="707" t="s">
        <v>116</v>
      </c>
      <c r="B27" s="806"/>
      <c r="C27" s="708">
        <f ca="1">C22+C16+C26</f>
        <v>31523.114360198622</v>
      </c>
      <c r="D27" s="708">
        <f t="shared" ref="D27:R27" ca="1" si="3">D22+D16+D26</f>
        <v>0</v>
      </c>
      <c r="E27" s="708">
        <f t="shared" ca="1" si="3"/>
        <v>38354.409152631131</v>
      </c>
      <c r="F27" s="708">
        <f t="shared" si="3"/>
        <v>2613.4384326423792</v>
      </c>
      <c r="G27" s="708">
        <f t="shared" ca="1" si="3"/>
        <v>36594.246057144839</v>
      </c>
      <c r="H27" s="708">
        <f t="shared" si="3"/>
        <v>72766.545941001663</v>
      </c>
      <c r="I27" s="708">
        <f t="shared" si="3"/>
        <v>15176.972085034959</v>
      </c>
      <c r="J27" s="708">
        <f t="shared" si="3"/>
        <v>0</v>
      </c>
      <c r="K27" s="708">
        <f t="shared" si="3"/>
        <v>10.206924727186111</v>
      </c>
      <c r="L27" s="708">
        <f t="shared" si="3"/>
        <v>0</v>
      </c>
      <c r="M27" s="708">
        <f t="shared" ca="1" si="3"/>
        <v>0</v>
      </c>
      <c r="N27" s="708">
        <f t="shared" si="3"/>
        <v>4675.5704086145415</v>
      </c>
      <c r="O27" s="708">
        <f t="shared" ca="1" si="3"/>
        <v>7935.8333433236958</v>
      </c>
      <c r="P27" s="708">
        <f t="shared" si="3"/>
        <v>142.26333333333335</v>
      </c>
      <c r="Q27" s="708">
        <f t="shared" si="3"/>
        <v>438.53333333333336</v>
      </c>
      <c r="R27" s="708">
        <f t="shared" ca="1" si="3"/>
        <v>210231.13337198566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1650.7697842224645</v>
      </c>
      <c r="D40" s="1025">
        <f ca="1">tertiair!C20</f>
        <v>0</v>
      </c>
      <c r="E40" s="1025">
        <f ca="1">tertiair!D20</f>
        <v>1484.9496635160003</v>
      </c>
      <c r="F40" s="1025">
        <f>tertiair!E20</f>
        <v>18.50118703218233</v>
      </c>
      <c r="G40" s="1025">
        <f ca="1">tertiair!F20</f>
        <v>298.6774359415877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3452.8980707122346</v>
      </c>
    </row>
    <row r="41" spans="1:18">
      <c r="A41" s="823" t="s">
        <v>225</v>
      </c>
      <c r="B41" s="830"/>
      <c r="C41" s="1025">
        <f ca="1">huishoudens!B12</f>
        <v>4616.6097567608122</v>
      </c>
      <c r="D41" s="1025">
        <f ca="1">huishoudens!C12</f>
        <v>0</v>
      </c>
      <c r="E41" s="1025">
        <f>huishoudens!D12</f>
        <v>6097.1602318880014</v>
      </c>
      <c r="F41" s="1025">
        <f>huishoudens!E12</f>
        <v>495.01833565223956</v>
      </c>
      <c r="G41" s="1025">
        <f>huishoudens!F12</f>
        <v>9338.3525645592999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20547.140888860355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81.865163670311901</v>
      </c>
      <c r="D43" s="1025">
        <f ca="1">industrie!C22</f>
        <v>0</v>
      </c>
      <c r="E43" s="1025">
        <f>industrie!D22</f>
        <v>28.492332704000003</v>
      </c>
      <c r="F43" s="1025">
        <f>industrie!E22</f>
        <v>18.007188943101113</v>
      </c>
      <c r="G43" s="1025">
        <f>industrie!F22</f>
        <v>95.854788132027707</v>
      </c>
      <c r="H43" s="1025">
        <f>industrie!G22</f>
        <v>0</v>
      </c>
      <c r="I43" s="1025">
        <f>industrie!H22</f>
        <v>0</v>
      </c>
      <c r="J43" s="1025">
        <f>industrie!I22</f>
        <v>0</v>
      </c>
      <c r="K43" s="1025">
        <f>industrie!J22</f>
        <v>0.58660205588933845</v>
      </c>
      <c r="L43" s="1025">
        <f>industrie!K22</f>
        <v>0</v>
      </c>
      <c r="M43" s="1025">
        <f>industrie!L22</f>
        <v>0</v>
      </c>
      <c r="N43" s="1025">
        <f>industrie!M22</f>
        <v>0</v>
      </c>
      <c r="O43" s="1025">
        <f>industrie!N22</f>
        <v>0</v>
      </c>
      <c r="P43" s="1025">
        <f>industrie!O22</f>
        <v>0</v>
      </c>
      <c r="Q43" s="775">
        <f>industrie!P22</f>
        <v>0</v>
      </c>
      <c r="R43" s="850">
        <f t="shared" ca="1" si="4"/>
        <v>224.80607550533006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6349.2447046535881</v>
      </c>
      <c r="D46" s="733">
        <f t="shared" ref="D46:Q46" ca="1" si="5">SUM(D39:D45)</f>
        <v>0</v>
      </c>
      <c r="E46" s="733">
        <f t="shared" ca="1" si="5"/>
        <v>7610.6022281080013</v>
      </c>
      <c r="F46" s="733">
        <f t="shared" si="5"/>
        <v>531.52671162752301</v>
      </c>
      <c r="G46" s="733">
        <f t="shared" ca="1" si="5"/>
        <v>9732.8847886329168</v>
      </c>
      <c r="H46" s="733">
        <f t="shared" si="5"/>
        <v>0</v>
      </c>
      <c r="I46" s="733">
        <f t="shared" si="5"/>
        <v>0</v>
      </c>
      <c r="J46" s="733">
        <f t="shared" si="5"/>
        <v>0</v>
      </c>
      <c r="K46" s="733">
        <f t="shared" si="5"/>
        <v>0.58660205588933845</v>
      </c>
      <c r="L46" s="733">
        <f t="shared" si="5"/>
        <v>0</v>
      </c>
      <c r="M46" s="733">
        <f t="shared" ca="1" si="5"/>
        <v>0</v>
      </c>
      <c r="N46" s="733">
        <f t="shared" si="5"/>
        <v>0</v>
      </c>
      <c r="O46" s="733">
        <f t="shared" ca="1" si="5"/>
        <v>0</v>
      </c>
      <c r="P46" s="733">
        <f t="shared" si="5"/>
        <v>0</v>
      </c>
      <c r="Q46" s="733">
        <f t="shared" si="5"/>
        <v>0</v>
      </c>
      <c r="R46" s="733">
        <f ca="1">SUM(R39:R45)</f>
        <v>24224.84503507792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277.08014536135488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277.08014536135488</v>
      </c>
    </row>
    <row r="50" spans="1:18">
      <c r="A50" s="826" t="s">
        <v>307</v>
      </c>
      <c r="B50" s="836"/>
      <c r="C50" s="704">
        <f ca="1">transport!B18</f>
        <v>2.8466351267184344</v>
      </c>
      <c r="D50" s="704">
        <f>transport!C18</f>
        <v>0</v>
      </c>
      <c r="E50" s="704">
        <f>transport!D18</f>
        <v>8.0401839074872186</v>
      </c>
      <c r="F50" s="704">
        <f>transport!E18</f>
        <v>61.606556510047795</v>
      </c>
      <c r="G50" s="704">
        <f>transport!F18</f>
        <v>0</v>
      </c>
      <c r="H50" s="704">
        <f>transport!G18</f>
        <v>19151.58762088609</v>
      </c>
      <c r="I50" s="704">
        <f>transport!H18</f>
        <v>3779.0660491737049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23003.147045604048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2.8466351267184344</v>
      </c>
      <c r="D52" s="733">
        <f t="shared" ref="D52:Q52" ca="1" si="6">SUM(D48:D51)</f>
        <v>0</v>
      </c>
      <c r="E52" s="733">
        <f t="shared" si="6"/>
        <v>8.0401839074872186</v>
      </c>
      <c r="F52" s="733">
        <f t="shared" si="6"/>
        <v>61.606556510047795</v>
      </c>
      <c r="G52" s="733">
        <f t="shared" si="6"/>
        <v>0</v>
      </c>
      <c r="H52" s="733">
        <f t="shared" si="6"/>
        <v>19428.667766247447</v>
      </c>
      <c r="I52" s="733">
        <f t="shared" si="6"/>
        <v>3779.0660491737049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23280.227190965401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11.504294963225098</v>
      </c>
      <c r="D54" s="704">
        <f ca="1">+landbouw!C12</f>
        <v>0</v>
      </c>
      <c r="E54" s="704">
        <f>+landbouw!D12</f>
        <v>11.388478816000001</v>
      </c>
      <c r="F54" s="704">
        <f>+landbouw!E12</f>
        <v>0.1172560722493068</v>
      </c>
      <c r="G54" s="704">
        <f>+landbouw!F12</f>
        <v>37.778908624757072</v>
      </c>
      <c r="H54" s="704">
        <f>+landbouw!G12</f>
        <v>0</v>
      </c>
      <c r="I54" s="704">
        <f>+landbouw!H12</f>
        <v>0</v>
      </c>
      <c r="J54" s="704">
        <f>+landbouw!I12</f>
        <v>0</v>
      </c>
      <c r="K54" s="704">
        <f>+landbouw!J12</f>
        <v>3.0266492975345449</v>
      </c>
      <c r="L54" s="704">
        <f>+landbouw!K12</f>
        <v>0</v>
      </c>
      <c r="M54" s="704">
        <f>+landbouw!L12</f>
        <v>0</v>
      </c>
      <c r="N54" s="704">
        <f>+landbouw!M12</f>
        <v>0</v>
      </c>
      <c r="O54" s="704">
        <f>+landbouw!N12</f>
        <v>0</v>
      </c>
      <c r="P54" s="704">
        <f>+landbouw!O12</f>
        <v>0</v>
      </c>
      <c r="Q54" s="705">
        <f>+landbouw!P12</f>
        <v>0</v>
      </c>
      <c r="R54" s="732">
        <f ca="1">SUM(C54:Q54)</f>
        <v>63.815587773766026</v>
      </c>
    </row>
    <row r="55" spans="1:18" ht="15" thickBot="1">
      <c r="A55" s="826" t="s">
        <v>864</v>
      </c>
      <c r="B55" s="836"/>
      <c r="C55" s="704">
        <f ca="1">C25*'EF ele_warmte'!B12</f>
        <v>139.25915221676169</v>
      </c>
      <c r="D55" s="704"/>
      <c r="E55" s="704">
        <f>E25*EF_CO2_aardgas</f>
        <v>117.55975800000002</v>
      </c>
      <c r="F55" s="704"/>
      <c r="G55" s="704"/>
      <c r="H55" s="704"/>
      <c r="I55" s="704"/>
      <c r="J55" s="704"/>
      <c r="K55" s="704"/>
      <c r="L55" s="704"/>
      <c r="M55" s="704"/>
      <c r="N55" s="704"/>
      <c r="O55" s="704"/>
      <c r="P55" s="704"/>
      <c r="Q55" s="705"/>
      <c r="R55" s="732">
        <f ca="1">SUM(C55:Q55)</f>
        <v>256.81891021676171</v>
      </c>
    </row>
    <row r="56" spans="1:18" ht="15.75" thickBot="1">
      <c r="A56" s="824" t="s">
        <v>865</v>
      </c>
      <c r="B56" s="837"/>
      <c r="C56" s="733">
        <f ca="1">SUM(C54:C55)</f>
        <v>150.7634471799868</v>
      </c>
      <c r="D56" s="733">
        <f t="shared" ref="D56:Q56" ca="1" si="7">SUM(D54:D55)</f>
        <v>0</v>
      </c>
      <c r="E56" s="733">
        <f t="shared" si="7"/>
        <v>128.94823681600002</v>
      </c>
      <c r="F56" s="733">
        <f t="shared" si="7"/>
        <v>0.1172560722493068</v>
      </c>
      <c r="G56" s="733">
        <f t="shared" si="7"/>
        <v>37.778908624757072</v>
      </c>
      <c r="H56" s="733">
        <f t="shared" si="7"/>
        <v>0</v>
      </c>
      <c r="I56" s="733">
        <f t="shared" si="7"/>
        <v>0</v>
      </c>
      <c r="J56" s="733">
        <f t="shared" si="7"/>
        <v>0</v>
      </c>
      <c r="K56" s="733">
        <f t="shared" si="7"/>
        <v>3.0266492975345449</v>
      </c>
      <c r="L56" s="733">
        <f t="shared" si="7"/>
        <v>0</v>
      </c>
      <c r="M56" s="733">
        <f t="shared" si="7"/>
        <v>0</v>
      </c>
      <c r="N56" s="733">
        <f t="shared" si="7"/>
        <v>0</v>
      </c>
      <c r="O56" s="733">
        <f t="shared" si="7"/>
        <v>0</v>
      </c>
      <c r="P56" s="733">
        <f t="shared" si="7"/>
        <v>0</v>
      </c>
      <c r="Q56" s="734">
        <f t="shared" si="7"/>
        <v>0</v>
      </c>
      <c r="R56" s="735">
        <f ca="1">SUM(R54:R55)</f>
        <v>320.63449799052773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6502.8547869602935</v>
      </c>
      <c r="D61" s="741">
        <f t="shared" ref="D61:Q61" ca="1" si="8">D46+D52+D56</f>
        <v>0</v>
      </c>
      <c r="E61" s="741">
        <f t="shared" ca="1" si="8"/>
        <v>7747.5906488314886</v>
      </c>
      <c r="F61" s="741">
        <f t="shared" si="8"/>
        <v>593.25052420982013</v>
      </c>
      <c r="G61" s="741">
        <f t="shared" ca="1" si="8"/>
        <v>9770.6636972576744</v>
      </c>
      <c r="H61" s="741">
        <f t="shared" si="8"/>
        <v>19428.667766247447</v>
      </c>
      <c r="I61" s="741">
        <f t="shared" si="8"/>
        <v>3779.0660491737049</v>
      </c>
      <c r="J61" s="741">
        <f t="shared" si="8"/>
        <v>0</v>
      </c>
      <c r="K61" s="741">
        <f t="shared" si="8"/>
        <v>3.6132513534238835</v>
      </c>
      <c r="L61" s="741">
        <f t="shared" si="8"/>
        <v>0</v>
      </c>
      <c r="M61" s="741">
        <f t="shared" ca="1" si="8"/>
        <v>0</v>
      </c>
      <c r="N61" s="741">
        <f t="shared" si="8"/>
        <v>0</v>
      </c>
      <c r="O61" s="741">
        <f t="shared" ca="1" si="8"/>
        <v>0</v>
      </c>
      <c r="P61" s="741">
        <f t="shared" si="8"/>
        <v>0</v>
      </c>
      <c r="Q61" s="741">
        <f t="shared" si="8"/>
        <v>0</v>
      </c>
      <c r="R61" s="741">
        <f ca="1">R46+R52+R56</f>
        <v>47825.706724033851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0.20628846225837566</v>
      </c>
      <c r="D63" s="782">
        <f t="shared" ca="1" si="9"/>
        <v>0</v>
      </c>
      <c r="E63" s="1036">
        <f t="shared" ca="1" si="9"/>
        <v>0.20200000000000001</v>
      </c>
      <c r="F63" s="782">
        <f t="shared" si="9"/>
        <v>0.22700000000000001</v>
      </c>
      <c r="G63" s="782">
        <f t="shared" ca="1" si="9"/>
        <v>0.26700000000000007</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2098.4320662606337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2098.4320662606337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2098.4320662606337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2098.4320662606337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22379.389066260632</v>
      </c>
      <c r="C4" s="478">
        <f>huishoudens!C8</f>
        <v>0</v>
      </c>
      <c r="D4" s="478">
        <f>huishoudens!D8</f>
        <v>30183.961544000005</v>
      </c>
      <c r="E4" s="478">
        <f>huishoudens!E8</f>
        <v>2180.6975138865178</v>
      </c>
      <c r="F4" s="478">
        <f>huishoudens!F8</f>
        <v>34975.103238049807</v>
      </c>
      <c r="G4" s="478">
        <f>huishoudens!G8</f>
        <v>0</v>
      </c>
      <c r="H4" s="478">
        <f>huishoudens!H8</f>
        <v>0</v>
      </c>
      <c r="I4" s="478">
        <f>huishoudens!I8</f>
        <v>0</v>
      </c>
      <c r="J4" s="478">
        <f>huishoudens!J8</f>
        <v>0</v>
      </c>
      <c r="K4" s="478">
        <f>huishoudens!K8</f>
        <v>0</v>
      </c>
      <c r="L4" s="478">
        <f>huishoudens!L8</f>
        <v>0</v>
      </c>
      <c r="M4" s="478">
        <f>huishoudens!M8</f>
        <v>0</v>
      </c>
      <c r="N4" s="478">
        <f>huishoudens!N8</f>
        <v>7136.9278177345732</v>
      </c>
      <c r="O4" s="478">
        <f>huishoudens!O8</f>
        <v>137.57333333333335</v>
      </c>
      <c r="P4" s="479">
        <f>huishoudens!P8</f>
        <v>419.4666666666667</v>
      </c>
      <c r="Q4" s="480">
        <f>SUM(B4:P4)</f>
        <v>97413.119179931513</v>
      </c>
    </row>
    <row r="5" spans="1:17">
      <c r="A5" s="477" t="s">
        <v>156</v>
      </c>
      <c r="B5" s="478">
        <f ca="1">tertiair!B16</f>
        <v>7328.7450000000008</v>
      </c>
      <c r="C5" s="478">
        <f ca="1">tertiair!C16</f>
        <v>0</v>
      </c>
      <c r="D5" s="478">
        <f ca="1">tertiair!D16</f>
        <v>7351.2359580000011</v>
      </c>
      <c r="E5" s="478">
        <f>tertiair!E16</f>
        <v>81.50302657349043</v>
      </c>
      <c r="F5" s="478">
        <f ca="1">tertiair!F16</f>
        <v>1118.642082178231</v>
      </c>
      <c r="G5" s="478">
        <f>tertiair!G16</f>
        <v>0</v>
      </c>
      <c r="H5" s="478">
        <f>tertiair!H16</f>
        <v>0</v>
      </c>
      <c r="I5" s="478">
        <f>tertiair!I16</f>
        <v>0</v>
      </c>
      <c r="J5" s="478">
        <f>tertiair!J16</f>
        <v>0</v>
      </c>
      <c r="K5" s="478">
        <f>tertiair!K16</f>
        <v>0</v>
      </c>
      <c r="L5" s="478">
        <f ca="1">tertiair!L16</f>
        <v>0</v>
      </c>
      <c r="M5" s="478">
        <f>tertiair!M16</f>
        <v>0</v>
      </c>
      <c r="N5" s="478">
        <f ca="1">tertiair!N16</f>
        <v>656.06627556805415</v>
      </c>
      <c r="O5" s="478">
        <f>tertiair!O16</f>
        <v>4.6900000000000004</v>
      </c>
      <c r="P5" s="479">
        <f>tertiair!P16</f>
        <v>19.066666666666666</v>
      </c>
      <c r="Q5" s="477">
        <f t="shared" ref="Q5:Q14" ca="1" si="0">SUM(B5:P5)</f>
        <v>16559.949008986441</v>
      </c>
    </row>
    <row r="6" spans="1:17">
      <c r="A6" s="477" t="s">
        <v>194</v>
      </c>
      <c r="B6" s="478">
        <f>'openbare verlichting'!B8</f>
        <v>673.495</v>
      </c>
      <c r="C6" s="478"/>
      <c r="D6" s="478"/>
      <c r="E6" s="478"/>
      <c r="F6" s="478"/>
      <c r="G6" s="478"/>
      <c r="H6" s="478"/>
      <c r="I6" s="478"/>
      <c r="J6" s="478"/>
      <c r="K6" s="478"/>
      <c r="L6" s="478"/>
      <c r="M6" s="478"/>
      <c r="N6" s="478"/>
      <c r="O6" s="478"/>
      <c r="P6" s="479"/>
      <c r="Q6" s="477">
        <f t="shared" si="0"/>
        <v>673.495</v>
      </c>
    </row>
    <row r="7" spans="1:17">
      <c r="A7" s="477" t="s">
        <v>112</v>
      </c>
      <c r="B7" s="478">
        <f>landbouw!B8</f>
        <v>55.768000000000001</v>
      </c>
      <c r="C7" s="478">
        <f>landbouw!C8</f>
        <v>0</v>
      </c>
      <c r="D7" s="478">
        <f>landbouw!D8</f>
        <v>56.378608</v>
      </c>
      <c r="E7" s="478">
        <f>landbouw!E8</f>
        <v>0.51654657378549251</v>
      </c>
      <c r="F7" s="478">
        <f>landbouw!F8</f>
        <v>141.49403979309764</v>
      </c>
      <c r="G7" s="478">
        <f>landbouw!G8</f>
        <v>0</v>
      </c>
      <c r="H7" s="478">
        <f>landbouw!H8</f>
        <v>0</v>
      </c>
      <c r="I7" s="478">
        <f>landbouw!I8</f>
        <v>0</v>
      </c>
      <c r="J7" s="478">
        <f>landbouw!J8</f>
        <v>8.5498567726964545</v>
      </c>
      <c r="K7" s="478">
        <f>landbouw!K8</f>
        <v>0</v>
      </c>
      <c r="L7" s="478">
        <f>landbouw!L8</f>
        <v>0</v>
      </c>
      <c r="M7" s="478">
        <f>landbouw!M8</f>
        <v>0</v>
      </c>
      <c r="N7" s="478">
        <f>landbouw!N8</f>
        <v>0</v>
      </c>
      <c r="O7" s="478">
        <f>landbouw!O8</f>
        <v>0</v>
      </c>
      <c r="P7" s="479">
        <f>landbouw!P8</f>
        <v>0</v>
      </c>
      <c r="Q7" s="477">
        <f t="shared" si="0"/>
        <v>262.70705113957956</v>
      </c>
    </row>
    <row r="8" spans="1:17">
      <c r="A8" s="477" t="s">
        <v>650</v>
      </c>
      <c r="B8" s="478">
        <f>industrie!B18</f>
        <v>396.84800000000007</v>
      </c>
      <c r="C8" s="478">
        <f>industrie!C18</f>
        <v>0</v>
      </c>
      <c r="D8" s="478">
        <f>industrie!D18</f>
        <v>141.051152</v>
      </c>
      <c r="E8" s="478">
        <f>industrie!E18</f>
        <v>79.326823537890363</v>
      </c>
      <c r="F8" s="478">
        <f>industrie!F18</f>
        <v>359.00669712369927</v>
      </c>
      <c r="G8" s="478">
        <f>industrie!G18</f>
        <v>0</v>
      </c>
      <c r="H8" s="478">
        <f>industrie!H18</f>
        <v>0</v>
      </c>
      <c r="I8" s="478">
        <f>industrie!I18</f>
        <v>0</v>
      </c>
      <c r="J8" s="478">
        <f>industrie!J18</f>
        <v>1.6570679544896567</v>
      </c>
      <c r="K8" s="478">
        <f>industrie!K18</f>
        <v>0</v>
      </c>
      <c r="L8" s="478">
        <f>industrie!L18</f>
        <v>0</v>
      </c>
      <c r="M8" s="478">
        <f>industrie!M18</f>
        <v>0</v>
      </c>
      <c r="N8" s="478">
        <f>industrie!N18</f>
        <v>142.8392500210683</v>
      </c>
      <c r="O8" s="478">
        <f>industrie!O18</f>
        <v>0</v>
      </c>
      <c r="P8" s="479">
        <f>industrie!P18</f>
        <v>0</v>
      </c>
      <c r="Q8" s="477">
        <f t="shared" si="0"/>
        <v>1120.7289906371477</v>
      </c>
    </row>
    <row r="9" spans="1:17" s="483" customFormat="1">
      <c r="A9" s="481" t="s">
        <v>571</v>
      </c>
      <c r="B9" s="482">
        <f>transport!B14</f>
        <v>13.799293937985887</v>
      </c>
      <c r="C9" s="482">
        <f>transport!C14</f>
        <v>0</v>
      </c>
      <c r="D9" s="482">
        <f>transport!D14</f>
        <v>39.802890631124839</v>
      </c>
      <c r="E9" s="482">
        <f>transport!E14</f>
        <v>271.39452207069513</v>
      </c>
      <c r="F9" s="482">
        <f>transport!F14</f>
        <v>0</v>
      </c>
      <c r="G9" s="482">
        <f>transport!G14</f>
        <v>71728.792587588352</v>
      </c>
      <c r="H9" s="482">
        <f>transport!H14</f>
        <v>15176.972085034959</v>
      </c>
      <c r="I9" s="482">
        <f>transport!I14</f>
        <v>0</v>
      </c>
      <c r="J9" s="482">
        <f>transport!J14</f>
        <v>0</v>
      </c>
      <c r="K9" s="482">
        <f>transport!K14</f>
        <v>0</v>
      </c>
      <c r="L9" s="482">
        <f>transport!L14</f>
        <v>0</v>
      </c>
      <c r="M9" s="482">
        <f>transport!M14</f>
        <v>4616.3903600838266</v>
      </c>
      <c r="N9" s="482">
        <f>transport!N14</f>
        <v>0</v>
      </c>
      <c r="O9" s="482">
        <f>transport!O14</f>
        <v>0</v>
      </c>
      <c r="P9" s="482">
        <f>transport!P14</f>
        <v>0</v>
      </c>
      <c r="Q9" s="481">
        <f>SUM(B9:P9)</f>
        <v>91847.15173934694</v>
      </c>
    </row>
    <row r="10" spans="1:17">
      <c r="A10" s="477" t="s">
        <v>561</v>
      </c>
      <c r="B10" s="478">
        <f>transport!B54</f>
        <v>0</v>
      </c>
      <c r="C10" s="478">
        <f>transport!C54</f>
        <v>0</v>
      </c>
      <c r="D10" s="478">
        <f>transport!D54</f>
        <v>0</v>
      </c>
      <c r="E10" s="478">
        <f>transport!E54</f>
        <v>0</v>
      </c>
      <c r="F10" s="478">
        <f>transport!F54</f>
        <v>0</v>
      </c>
      <c r="G10" s="478">
        <f>transport!G54</f>
        <v>1037.753353413314</v>
      </c>
      <c r="H10" s="478">
        <f>transport!H54</f>
        <v>0</v>
      </c>
      <c r="I10" s="478">
        <f>transport!I54</f>
        <v>0</v>
      </c>
      <c r="J10" s="478">
        <f>transport!J54</f>
        <v>0</v>
      </c>
      <c r="K10" s="478">
        <f>transport!K54</f>
        <v>0</v>
      </c>
      <c r="L10" s="478">
        <f>transport!L54</f>
        <v>0</v>
      </c>
      <c r="M10" s="478">
        <f>transport!M54</f>
        <v>59.180048530714771</v>
      </c>
      <c r="N10" s="478">
        <f>transport!N54</f>
        <v>0</v>
      </c>
      <c r="O10" s="478">
        <f>transport!O54</f>
        <v>0</v>
      </c>
      <c r="P10" s="479">
        <f>transport!P54</f>
        <v>0</v>
      </c>
      <c r="Q10" s="477">
        <f t="shared" si="0"/>
        <v>1096.9334019440289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675.07</v>
      </c>
      <c r="C14" s="485"/>
      <c r="D14" s="485">
        <f>'SEAP template'!E25</f>
        <v>581.97900000000004</v>
      </c>
      <c r="E14" s="485"/>
      <c r="F14" s="485"/>
      <c r="G14" s="485"/>
      <c r="H14" s="485"/>
      <c r="I14" s="485"/>
      <c r="J14" s="485"/>
      <c r="K14" s="485"/>
      <c r="L14" s="485"/>
      <c r="M14" s="485"/>
      <c r="N14" s="485"/>
      <c r="O14" s="485"/>
      <c r="P14" s="486"/>
      <c r="Q14" s="477">
        <f t="shared" si="0"/>
        <v>1257.049</v>
      </c>
    </row>
    <row r="15" spans="1:17" s="487" customFormat="1">
      <c r="A15" s="1051" t="s">
        <v>565</v>
      </c>
      <c r="B15" s="991">
        <f ca="1">SUM(B4:B14)</f>
        <v>31523.114360198619</v>
      </c>
      <c r="C15" s="991">
        <f t="shared" ref="C15:Q15" ca="1" si="1">SUM(C4:C14)</f>
        <v>0</v>
      </c>
      <c r="D15" s="991">
        <f t="shared" ca="1" si="1"/>
        <v>38354.409152631131</v>
      </c>
      <c r="E15" s="991">
        <f t="shared" si="1"/>
        <v>2613.4384326423792</v>
      </c>
      <c r="F15" s="991">
        <f t="shared" ca="1" si="1"/>
        <v>36594.246057144832</v>
      </c>
      <c r="G15" s="991">
        <f t="shared" si="1"/>
        <v>72766.545941001663</v>
      </c>
      <c r="H15" s="991">
        <f t="shared" si="1"/>
        <v>15176.972085034959</v>
      </c>
      <c r="I15" s="991">
        <f t="shared" si="1"/>
        <v>0</v>
      </c>
      <c r="J15" s="991">
        <f t="shared" si="1"/>
        <v>10.206924727186111</v>
      </c>
      <c r="K15" s="991">
        <f t="shared" si="1"/>
        <v>0</v>
      </c>
      <c r="L15" s="991">
        <f t="shared" ca="1" si="1"/>
        <v>0</v>
      </c>
      <c r="M15" s="991">
        <f t="shared" si="1"/>
        <v>4675.5704086145415</v>
      </c>
      <c r="N15" s="991">
        <f t="shared" ca="1" si="1"/>
        <v>7935.8333433236958</v>
      </c>
      <c r="O15" s="991">
        <f t="shared" si="1"/>
        <v>142.26333333333335</v>
      </c>
      <c r="P15" s="991">
        <f t="shared" si="1"/>
        <v>438.53333333333336</v>
      </c>
      <c r="Q15" s="991">
        <f t="shared" ca="1" si="1"/>
        <v>210231.13337198563</v>
      </c>
    </row>
    <row r="17" spans="1:17">
      <c r="A17" s="488" t="s">
        <v>566</v>
      </c>
      <c r="B17" s="787">
        <f ca="1">huishoudens!B10</f>
        <v>0.20628846225837572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4616.6097567608122</v>
      </c>
      <c r="C22" s="478">
        <f t="shared" ref="C22:C32" ca="1" si="3">C4*$C$17</f>
        <v>0</v>
      </c>
      <c r="D22" s="478">
        <f t="shared" ref="D22:D32" si="4">D4*$D$17</f>
        <v>6097.1602318880014</v>
      </c>
      <c r="E22" s="478">
        <f t="shared" ref="E22:E32" si="5">E4*$E$17</f>
        <v>495.01833565223956</v>
      </c>
      <c r="F22" s="478">
        <f t="shared" ref="F22:F32" si="6">F4*$F$17</f>
        <v>9338.3525645592999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20547.140888860355</v>
      </c>
    </row>
    <row r="23" spans="1:17">
      <c r="A23" s="477" t="s">
        <v>156</v>
      </c>
      <c r="B23" s="478">
        <f t="shared" ca="1" si="2"/>
        <v>1511.8355363337598</v>
      </c>
      <c r="C23" s="478">
        <f t="shared" ca="1" si="3"/>
        <v>0</v>
      </c>
      <c r="D23" s="478">
        <f t="shared" ca="1" si="4"/>
        <v>1484.9496635160003</v>
      </c>
      <c r="E23" s="478">
        <f t="shared" si="5"/>
        <v>18.50118703218233</v>
      </c>
      <c r="F23" s="478">
        <f t="shared" ca="1" si="6"/>
        <v>298.6774359415877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3313.9638228235299</v>
      </c>
    </row>
    <row r="24" spans="1:17">
      <c r="A24" s="477" t="s">
        <v>194</v>
      </c>
      <c r="B24" s="478">
        <f t="shared" ca="1" si="2"/>
        <v>138.93424788870476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138.93424788870476</v>
      </c>
    </row>
    <row r="25" spans="1:17">
      <c r="A25" s="477" t="s">
        <v>112</v>
      </c>
      <c r="B25" s="478">
        <f t="shared" ca="1" si="2"/>
        <v>11.504294963225098</v>
      </c>
      <c r="C25" s="478">
        <f t="shared" ca="1" si="3"/>
        <v>0</v>
      </c>
      <c r="D25" s="478">
        <f t="shared" si="4"/>
        <v>11.388478816000001</v>
      </c>
      <c r="E25" s="478">
        <f t="shared" si="5"/>
        <v>0.1172560722493068</v>
      </c>
      <c r="F25" s="478">
        <f t="shared" si="6"/>
        <v>37.778908624757072</v>
      </c>
      <c r="G25" s="478">
        <f t="shared" si="7"/>
        <v>0</v>
      </c>
      <c r="H25" s="478">
        <f t="shared" si="8"/>
        <v>0</v>
      </c>
      <c r="I25" s="478">
        <f t="shared" si="9"/>
        <v>0</v>
      </c>
      <c r="J25" s="478">
        <f t="shared" si="10"/>
        <v>3.0266492975345449</v>
      </c>
      <c r="K25" s="478">
        <f t="shared" si="11"/>
        <v>0</v>
      </c>
      <c r="L25" s="478">
        <f t="shared" si="12"/>
        <v>0</v>
      </c>
      <c r="M25" s="478">
        <f t="shared" si="13"/>
        <v>0</v>
      </c>
      <c r="N25" s="478">
        <f t="shared" si="14"/>
        <v>0</v>
      </c>
      <c r="O25" s="478">
        <f t="shared" si="15"/>
        <v>0</v>
      </c>
      <c r="P25" s="479">
        <f t="shared" si="16"/>
        <v>0</v>
      </c>
      <c r="Q25" s="477">
        <f t="shared" ca="1" si="17"/>
        <v>63.815587773766026</v>
      </c>
    </row>
    <row r="26" spans="1:17">
      <c r="A26" s="477" t="s">
        <v>650</v>
      </c>
      <c r="B26" s="478">
        <f t="shared" ca="1" si="2"/>
        <v>81.865163670311901</v>
      </c>
      <c r="C26" s="478">
        <f t="shared" ca="1" si="3"/>
        <v>0</v>
      </c>
      <c r="D26" s="478">
        <f t="shared" si="4"/>
        <v>28.492332704000003</v>
      </c>
      <c r="E26" s="478">
        <f t="shared" si="5"/>
        <v>18.007188943101113</v>
      </c>
      <c r="F26" s="478">
        <f t="shared" si="6"/>
        <v>95.854788132027707</v>
      </c>
      <c r="G26" s="478">
        <f t="shared" si="7"/>
        <v>0</v>
      </c>
      <c r="H26" s="478">
        <f t="shared" si="8"/>
        <v>0</v>
      </c>
      <c r="I26" s="478">
        <f t="shared" si="9"/>
        <v>0</v>
      </c>
      <c r="J26" s="478">
        <f t="shared" si="10"/>
        <v>0.58660205588933845</v>
      </c>
      <c r="K26" s="478">
        <f t="shared" si="11"/>
        <v>0</v>
      </c>
      <c r="L26" s="478">
        <f t="shared" si="12"/>
        <v>0</v>
      </c>
      <c r="M26" s="478">
        <f t="shared" si="13"/>
        <v>0</v>
      </c>
      <c r="N26" s="478">
        <f t="shared" si="14"/>
        <v>0</v>
      </c>
      <c r="O26" s="478">
        <f t="shared" si="15"/>
        <v>0</v>
      </c>
      <c r="P26" s="479">
        <f t="shared" si="16"/>
        <v>0</v>
      </c>
      <c r="Q26" s="477">
        <f t="shared" ca="1" si="17"/>
        <v>224.80607550533006</v>
      </c>
    </row>
    <row r="27" spans="1:17" s="483" customFormat="1">
      <c r="A27" s="481" t="s">
        <v>571</v>
      </c>
      <c r="B27" s="781">
        <f t="shared" ca="1" si="2"/>
        <v>2.8466351267184344</v>
      </c>
      <c r="C27" s="482">
        <f t="shared" ca="1" si="3"/>
        <v>0</v>
      </c>
      <c r="D27" s="482">
        <f t="shared" si="4"/>
        <v>8.0401839074872186</v>
      </c>
      <c r="E27" s="482">
        <f t="shared" si="5"/>
        <v>61.606556510047795</v>
      </c>
      <c r="F27" s="482">
        <f t="shared" si="6"/>
        <v>0</v>
      </c>
      <c r="G27" s="482">
        <f t="shared" si="7"/>
        <v>19151.58762088609</v>
      </c>
      <c r="H27" s="482">
        <f t="shared" si="8"/>
        <v>3779.0660491737049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23003.147045604048</v>
      </c>
    </row>
    <row r="28" spans="1:17">
      <c r="A28" s="477" t="s">
        <v>561</v>
      </c>
      <c r="B28" s="478">
        <f t="shared" ca="1" si="2"/>
        <v>0</v>
      </c>
      <c r="C28" s="478">
        <f t="shared" ca="1" si="3"/>
        <v>0</v>
      </c>
      <c r="D28" s="478">
        <f t="shared" si="4"/>
        <v>0</v>
      </c>
      <c r="E28" s="478">
        <f t="shared" si="5"/>
        <v>0</v>
      </c>
      <c r="F28" s="478">
        <f t="shared" si="6"/>
        <v>0</v>
      </c>
      <c r="G28" s="478">
        <f t="shared" si="7"/>
        <v>277.08014536135488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277.08014536135488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139.25915221676169</v>
      </c>
      <c r="C32" s="478">
        <f t="shared" ca="1" si="3"/>
        <v>0</v>
      </c>
      <c r="D32" s="478">
        <f t="shared" si="4"/>
        <v>117.55975800000002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256.81891021676171</v>
      </c>
    </row>
    <row r="33" spans="1:17" s="487" customFormat="1">
      <c r="A33" s="1051" t="s">
        <v>565</v>
      </c>
      <c r="B33" s="991">
        <f ca="1">SUM(B22:B32)</f>
        <v>6502.8547869602935</v>
      </c>
      <c r="C33" s="991">
        <f t="shared" ref="C33:Q33" ca="1" si="18">SUM(C22:C32)</f>
        <v>0</v>
      </c>
      <c r="D33" s="991">
        <f t="shared" ca="1" si="18"/>
        <v>7747.5906488314895</v>
      </c>
      <c r="E33" s="991">
        <f t="shared" si="18"/>
        <v>593.25052420982013</v>
      </c>
      <c r="F33" s="991">
        <f t="shared" ca="1" si="18"/>
        <v>9770.6636972576744</v>
      </c>
      <c r="G33" s="991">
        <f t="shared" si="18"/>
        <v>19428.667766247447</v>
      </c>
      <c r="H33" s="991">
        <f t="shared" si="18"/>
        <v>3779.0660491737049</v>
      </c>
      <c r="I33" s="991">
        <f t="shared" si="18"/>
        <v>0</v>
      </c>
      <c r="J33" s="991">
        <f t="shared" si="18"/>
        <v>3.6132513534238835</v>
      </c>
      <c r="K33" s="991">
        <f t="shared" si="18"/>
        <v>0</v>
      </c>
      <c r="L33" s="991">
        <f t="shared" ca="1" si="18"/>
        <v>0</v>
      </c>
      <c r="M33" s="991">
        <f t="shared" si="18"/>
        <v>0</v>
      </c>
      <c r="N33" s="991">
        <f t="shared" ca="1" si="18"/>
        <v>0</v>
      </c>
      <c r="O33" s="991">
        <f t="shared" si="18"/>
        <v>0</v>
      </c>
      <c r="P33" s="991">
        <f t="shared" si="18"/>
        <v>0</v>
      </c>
      <c r="Q33" s="991">
        <f t="shared" ca="1" si="18"/>
        <v>47825.706724033844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2098.4320662606337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2098.4320662606337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0.20628846225837572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0.20628846225837572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2019-08-12T08:08:06Z</dcterms:modified>
</cp:coreProperties>
</file>