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N6" i="17" s="1"/>
  <c r="U61" i="18"/>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K20"/>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L24"/>
  <c r="L26" s="1"/>
  <c r="J24"/>
  <c r="I24"/>
  <c r="H24"/>
  <c r="Q50"/>
  <c r="P50"/>
  <c r="P52" s="1"/>
  <c r="O50"/>
  <c r="M50"/>
  <c r="L50"/>
  <c r="K50"/>
  <c r="J50"/>
  <c r="G50"/>
  <c r="D50"/>
  <c r="Q49"/>
  <c r="P49"/>
  <c r="Q20"/>
  <c r="P20"/>
  <c r="O20"/>
  <c r="M20"/>
  <c r="L20"/>
  <c r="K20"/>
  <c r="K22" s="1"/>
  <c r="J20"/>
  <c r="G20"/>
  <c r="D20"/>
  <c r="Q19"/>
  <c r="P19"/>
  <c r="O19"/>
  <c r="M19"/>
  <c r="L19"/>
  <c r="K19"/>
  <c r="J19"/>
  <c r="J22" s="1"/>
  <c r="I19"/>
  <c r="G19"/>
  <c r="F19"/>
  <c r="E19"/>
  <c r="D19"/>
  <c r="Q48"/>
  <c r="Q52" s="1"/>
  <c r="P48"/>
  <c r="O48"/>
  <c r="M48"/>
  <c r="L48"/>
  <c r="K48"/>
  <c r="J48"/>
  <c r="G48"/>
  <c r="D48"/>
  <c r="Q18"/>
  <c r="Q22" s="1"/>
  <c r="P18"/>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N26"/>
  <c r="J26"/>
  <c r="I26"/>
  <c r="H26"/>
  <c r="R12"/>
  <c r="N78" l="1"/>
  <c r="N9" i="59"/>
  <c r="N10" s="1"/>
  <c r="Q14" i="48"/>
  <c r="H90" i="14"/>
  <c r="H18" i="59"/>
  <c r="O10"/>
  <c r="H20"/>
  <c r="M22" i="14"/>
  <c r="G20" i="59"/>
  <c r="K20"/>
  <c r="C98" i="18"/>
  <c r="B101" s="1"/>
  <c r="C8" s="1"/>
  <c r="D13" i="15"/>
  <c r="C16" i="16"/>
  <c r="P22" i="14"/>
  <c r="E20" i="59"/>
  <c r="L10" i="18"/>
  <c r="D20"/>
  <c r="C13" i="15"/>
  <c r="B16" i="16"/>
  <c r="L78" i="14"/>
  <c r="K10" i="59"/>
  <c r="D14" i="48"/>
  <c r="K10" i="18"/>
  <c r="I9"/>
  <c r="I77" i="14" s="1"/>
  <c r="I9" i="59" s="1"/>
  <c r="F20" i="18"/>
  <c r="K78" i="14"/>
  <c r="B17" i="18"/>
  <c r="B20" s="1"/>
  <c r="M77" i="14"/>
  <c r="M9" i="59" s="1"/>
  <c r="H9" i="18"/>
  <c r="L90" i="14"/>
  <c r="L18" i="59"/>
  <c r="G10"/>
  <c r="D22" i="14"/>
  <c r="L22"/>
  <c r="E10" i="59"/>
  <c r="L20"/>
  <c r="B13" i="15"/>
  <c r="B10" i="18"/>
  <c r="N13" i="15"/>
  <c r="L13"/>
  <c r="F77" i="14"/>
  <c r="F9" i="59" s="1"/>
  <c r="I101" i="18"/>
  <c r="H8" s="1"/>
  <c r="E101"/>
  <c r="E8" s="1"/>
  <c r="F101"/>
  <c r="H101"/>
  <c r="G101"/>
  <c r="C10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Q77" i="14"/>
  <c r="P9" i="59" s="1"/>
  <c r="D101" i="18"/>
  <c r="J8" s="1"/>
  <c r="O8" s="1"/>
  <c r="O10" s="1"/>
  <c r="I8"/>
  <c r="C77" i="14"/>
  <c r="C9" i="59" s="1"/>
  <c r="J87" i="14"/>
  <c r="J20" i="18"/>
  <c r="H20"/>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Q76" i="14"/>
  <c r="D78"/>
  <c r="I78"/>
  <c r="B76"/>
  <c r="J10" i="18"/>
  <c r="J76" i="14"/>
  <c r="I87"/>
  <c r="I17" i="59" s="1"/>
  <c r="I20" s="1"/>
  <c r="I20" i="18"/>
  <c r="Q87" i="14"/>
  <c r="D90"/>
  <c r="A31" i="23"/>
  <c r="A32"/>
  <c r="A33"/>
  <c r="Q90" i="14" l="1"/>
  <c r="B17" i="6" s="1"/>
  <c r="P17" i="59"/>
  <c r="P20" s="1"/>
  <c r="Q78" i="14"/>
  <c r="B9" i="6" s="1"/>
  <c r="P8" i="59"/>
  <c r="P10" s="1"/>
  <c r="B78" i="14"/>
  <c r="B8" i="59"/>
  <c r="B10" s="1"/>
  <c r="J78" i="14"/>
  <c r="J8" i="59"/>
  <c r="J10" s="1"/>
  <c r="C87" i="14"/>
  <c r="B87"/>
  <c r="I90"/>
  <c r="C76"/>
  <c r="B11" i="44"/>
  <c r="B25"/>
  <c r="B24"/>
  <c r="B90" i="14" l="1"/>
  <c r="B17" i="59"/>
  <c r="B20" s="1"/>
  <c r="C78" i="14"/>
  <c r="C8" i="59"/>
  <c r="C10" s="1"/>
  <c r="C90" i="14"/>
  <c r="C17" i="59"/>
  <c r="C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27"/>
  <c r="F28"/>
  <c r="F31"/>
  <c r="N24"/>
  <c r="N32"/>
  <c r="N30"/>
  <c r="N27"/>
  <c r="N28"/>
  <c r="N31"/>
  <c r="N29"/>
  <c r="C19" i="14"/>
  <c r="B10" i="48"/>
  <c r="E32"/>
  <c r="E31"/>
  <c r="E30"/>
  <c r="E28"/>
  <c r="E29"/>
  <c r="E24"/>
  <c r="M26"/>
  <c r="M32"/>
  <c r="M22"/>
  <c r="M29"/>
  <c r="M24"/>
  <c r="M30"/>
  <c r="M25"/>
  <c r="M23"/>
  <c r="K5"/>
  <c r="L10" i="14"/>
  <c r="L16" s="1"/>
  <c r="L27" s="1"/>
  <c r="D28" i="48"/>
  <c r="D30"/>
  <c r="D31"/>
  <c r="D29"/>
  <c r="D24"/>
  <c r="D32"/>
  <c r="L32"/>
  <c r="L28"/>
  <c r="L27"/>
  <c r="L29"/>
  <c r="L24"/>
  <c r="L31"/>
  <c r="L22"/>
  <c r="L30"/>
  <c r="Q10" i="14"/>
  <c r="P5" i="48"/>
  <c r="P23" s="1"/>
  <c r="K28"/>
  <c r="K32"/>
  <c r="K26"/>
  <c r="K27"/>
  <c r="K30"/>
  <c r="K22"/>
  <c r="K25"/>
  <c r="K31"/>
  <c r="K24"/>
  <c r="K29"/>
  <c r="B7"/>
  <c r="C24" i="14"/>
  <c r="C26" s="1"/>
  <c r="J24" i="48"/>
  <c r="J32"/>
  <c r="J30"/>
  <c r="J27"/>
  <c r="J31"/>
  <c r="J28"/>
  <c r="J29"/>
  <c r="Q11" i="14"/>
  <c r="P4" i="48"/>
  <c r="P11" i="14"/>
  <c r="O4" i="48"/>
  <c r="I25"/>
  <c r="I31"/>
  <c r="I32"/>
  <c r="I22"/>
  <c r="I26"/>
  <c r="I30"/>
  <c r="I29"/>
  <c r="I24"/>
  <c r="I28"/>
  <c r="I27"/>
  <c r="E11" i="14"/>
  <c r="D4" i="48"/>
  <c r="D22" s="1"/>
  <c r="H32"/>
  <c r="H29"/>
  <c r="H26"/>
  <c r="H25"/>
  <c r="H24"/>
  <c r="H22"/>
  <c r="H30"/>
  <c r="H28"/>
  <c r="H23"/>
  <c r="D11" i="14"/>
  <c r="C4" i="48"/>
  <c r="G32"/>
  <c r="G22"/>
  <c r="G30"/>
  <c r="G29"/>
  <c r="G26"/>
  <c r="G24"/>
  <c r="G25"/>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M12" i="22"/>
  <c r="M13" i="48"/>
  <c r="M31" s="1"/>
  <c r="N18" i="14"/>
  <c r="G13" i="48"/>
  <c r="H18" i="14"/>
  <c r="R18" s="1"/>
  <c r="H13" i="48"/>
  <c r="H31" s="1"/>
  <c r="I18" i="14"/>
  <c r="P22" i="16"/>
  <c r="Q43" i="14" s="1"/>
  <c r="Q13"/>
  <c r="Q16" s="1"/>
  <c r="Q27" s="1"/>
  <c r="P8" i="48"/>
  <c r="P26" s="1"/>
  <c r="O22"/>
  <c r="K23"/>
  <c r="K33" s="1"/>
  <c r="K15"/>
  <c r="J10" i="14"/>
  <c r="J16" s="1"/>
  <c r="J27" s="1"/>
  <c r="I5" i="48"/>
  <c r="F20" i="14"/>
  <c r="F22" s="1"/>
  <c r="E9" i="48"/>
  <c r="E27" s="1"/>
  <c r="E20" i="14"/>
  <c r="E22" s="1"/>
  <c r="D9" i="48"/>
  <c r="D27" s="1"/>
  <c r="P10" i="14"/>
  <c r="O5" i="48"/>
  <c r="O23" s="1"/>
  <c r="J7"/>
  <c r="J25" s="1"/>
  <c r="K24" i="14"/>
  <c r="K26" s="1"/>
  <c r="L63"/>
  <c r="J46"/>
  <c r="J61" s="1"/>
  <c r="J63" s="1"/>
  <c r="D10"/>
  <c r="C20"/>
  <c r="B9" i="48"/>
  <c r="P22"/>
  <c r="P33" s="1"/>
  <c r="P15"/>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Q63" i="14" l="1"/>
  <c r="O11"/>
  <c r="N4" i="48"/>
  <c r="N22" s="1"/>
  <c r="H20" i="14"/>
  <c r="H22" s="1"/>
  <c r="H27" s="1"/>
  <c r="G9" i="48"/>
  <c r="N19" i="14"/>
  <c r="M10" i="48"/>
  <c r="M28" s="1"/>
  <c r="O22" i="16"/>
  <c r="P43" i="14" s="1"/>
  <c r="P13"/>
  <c r="P16" s="1"/>
  <c r="P27" s="1"/>
  <c r="P63" s="1"/>
  <c r="O8" i="48"/>
  <c r="O26" s="1"/>
  <c r="O33" s="1"/>
  <c r="K11" i="14"/>
  <c r="J4" i="48"/>
  <c r="I23"/>
  <c r="I33" s="1"/>
  <c r="I15"/>
  <c r="C22" i="14"/>
  <c r="Q46"/>
  <c r="Q61" s="1"/>
  <c r="H19"/>
  <c r="G10" i="48"/>
  <c r="E12" i="13"/>
  <c r="F41" i="14" s="1"/>
  <c r="E4" i="48"/>
  <c r="F11" i="14"/>
  <c r="E7" i="48"/>
  <c r="E25" s="1"/>
  <c r="F24" i="14"/>
  <c r="F26" s="1"/>
  <c r="G31" i="48"/>
  <c r="Q13"/>
  <c r="P46" i="14"/>
  <c r="P61" s="1"/>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H63" s="1"/>
  <c r="N63"/>
  <c r="N22"/>
  <c r="N27" s="1"/>
  <c r="G28" i="48"/>
  <c r="Q10"/>
  <c r="K10" i="14"/>
  <c r="J5" i="48"/>
  <c r="J23" s="1"/>
  <c r="H9"/>
  <c r="I20" i="14"/>
  <c r="I22" s="1"/>
  <c r="I27" s="1"/>
  <c r="I63" s="1"/>
  <c r="J22" i="48"/>
  <c r="G27"/>
  <c r="G33" s="1"/>
  <c r="G15"/>
  <c r="R11" i="14"/>
  <c r="F10"/>
  <c r="E5" i="48"/>
  <c r="E23" s="1"/>
  <c r="E22"/>
  <c r="Q4"/>
  <c r="N20" i="14"/>
  <c r="M9" i="48"/>
  <c r="O15"/>
  <c r="R19" i="14"/>
  <c r="R22" s="1"/>
  <c r="R20"/>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J8" i="48"/>
  <c r="F13" i="14"/>
  <c r="F16" s="1"/>
  <c r="F27" s="1"/>
  <c r="E8" i="48"/>
  <c r="E26" s="1"/>
  <c r="E33" s="1"/>
  <c r="E22" i="16"/>
  <c r="F43" i="14" s="1"/>
  <c r="F46" s="1"/>
  <c r="F61" s="1"/>
  <c r="H27" i="48"/>
  <c r="H33" s="1"/>
  <c r="H15"/>
  <c r="Q9"/>
  <c r="M27"/>
  <c r="M33" s="1"/>
  <c r="M15"/>
  <c r="K16" i="14"/>
  <c r="K27" s="1"/>
  <c r="O13"/>
  <c r="N8" i="48"/>
  <c r="N26" s="1"/>
  <c r="F8"/>
  <c r="G13" i="14"/>
  <c r="F63" l="1"/>
  <c r="J26" i="48"/>
  <c r="J33" s="1"/>
  <c r="J15"/>
  <c r="R13" i="14"/>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<sst xmlns="http://schemas.openxmlformats.org/spreadsheetml/2006/main" count="2428" uniqueCount="914">
  <si>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</si>
  <si>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</si>
  <si>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</si>
  <si>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</si>
  <si>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</si>
  <si>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</si>
  <si>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</si>
  <si>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</si>
  <si>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</si>
  <si>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</si>
  <si>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</si>
  <si>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</si>
  <si>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</si>
  <si>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</si>
  <si>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</si>
  <si>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</si>
  <si>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</si>
  <si>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</si>
  <si>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</si>
  <si>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</si>
  <si>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</si>
  <si>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</si>
  <si>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</si>
  <si>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</si>
  <si>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</si>
  <si>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</si>
  <si>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</si>
  <si>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</si>
  <si>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</si>
  <si>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</si>
  <si>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</si>
  <si>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</si>
  <si>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</si>
  <si>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</si>
  <si>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</si>
  <si>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</si>
  <si>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</si>
  <si>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</si>
  <si>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</si>
  <si>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</si>
  <si>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</si>
  <si>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</si>
  <si>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</si>
  <si>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</si>
  <si>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</si>
  <si>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</si>
  <si>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</si>
  <si>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</si>
  <si>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</si>
  <si>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</si>
  <si>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</si>
  <si>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</si>
  <si>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</si>
  <si>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</si>
  <si>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</si>
  <si>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</si>
  <si>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</si>
  <si>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</si>
  <si>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</si>
  <si>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</si>
  <si>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</si>
  <si>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</si>
  <si>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</si>
  <si>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</si>
  <si>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</si>
  <si>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</si>
  <si>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</si>
  <si>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</si>
  <si>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</si>
  <si>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</si>
  <si>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</si>
  <si>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</si>
  <si>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</si>
  <si>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</si>
  <si>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</si>
  <si>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</si>
  <si>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</si>
  <si>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</si>
  <si>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</si>
  <si>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</si>
  <si>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</si>
  <si>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</si>
  <si>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</si>
  <si>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</si>
  <si>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</si>
  <si>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</si>
  <si>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</si>
  <si>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</si>
  <si>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</si>
  <si>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</si>
  <si>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</si>
  <si>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</si>
  <si>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</si>
  <si>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</si>
  <si>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</si>
  <si>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</si>
  <si>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</si>
  <si>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</si>
  <si>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</si>
  <si>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</si>
  <si>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</si>
  <si>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</si>
  <si>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</si>
  <si>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</si>
  <si>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</si>
  <si>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</si>
  <si>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</si>
  <si>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</si>
  <si>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</si>
  <si>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</si>
  <si>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</si>
  <si>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</si>
  <si>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</si>
  <si>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</si>
  <si>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</si>
  <si>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</si>
  <si>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</si>
  <si>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</si>
  <si>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</si>
  <si>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</si>
  <si>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</si>
  <si>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</si>
  <si>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</si>
  <si>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</si>
  <si>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</si>
  <si>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</si>
  <si>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</si>
  <si>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</si>
  <si>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</si>
  <si>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</si>
  <si>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</si>
  <si>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</si>
  <si>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</si>
  <si>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</si>
  <si>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</si>
  <si>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</si>
  <si>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</si>
  <si>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</si>
  <si>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</si>
  <si>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</si>
  <si>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</si>
  <si>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</si>
  <si>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</si>
  <si>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</si>
  <si>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</si>
  <si>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</si>
  <si>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</si>
  <si>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</si>
  <si>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</si>
  <si>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</si>
  <si>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</si>
  <si>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</si>
  <si>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</si>
  <si>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</si>
  <si>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</si>
  <si>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</si>
  <si>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</si>
  <si>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</si>
  <si>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</si>
  <si>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</si>
  <si>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</si>
  <si>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</si>
  <si>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</si>
  <si>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</si>
  <si>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</si>
  <si>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</si>
  <si>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</si>
  <si>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</si>
  <si>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</si>
  <si>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</si>
  <si>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</si>
  <si>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</si>
  <si>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</si>
  <si>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</si>
  <si>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</si>
  <si>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</si>
  <si>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</si>
  <si>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</si>
  <si>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</si>
  <si>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</si>
  <si>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</si>
  <si>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</si>
  <si>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</si>
  <si>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</si>
  <si>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</si>
  <si>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</si>
  <si>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</si>
  <si>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</si>
  <si>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</si>
  <si>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</si>
  <si>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</si>
  <si>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</si>
  <si>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</si>
  <si>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</si>
  <si>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</si>
  <si>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</si>
  <si>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</si>
  <si>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</si>
  <si>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</si>
  <si>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</si>
  <si>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</si>
  <si>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</si>
  <si>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</si>
  <si>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</si>
  <si>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</si>
  <si>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</si>
  <si>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</si>
  <si>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</si>
  <si>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</si>
  <si>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</si>
  <si>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</si>
  <si>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</si>
  <si>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</si>
  <si>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</si>
  <si>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</si>
  <si>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</si>
  <si>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</si>
  <si>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</si>
  <si>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</si>
  <si>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</si>
  <si>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</si>
  <si>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</si>
  <si>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</si>
  <si>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</si>
  <si>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</si>
  <si>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</si>
  <si>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</si>
  <si>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</si>
  <si>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</si>
  <si>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</si>
  <si>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</si>
  <si>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</si>
  <si>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</si>
  <si>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</si>
  <si>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</si>
  <si>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</si>
  <si>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</si>
  <si>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</si>
  <si>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</si>
  <si>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</si>
  <si>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</si>
  <si>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</si>
  <si>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</si>
  <si>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</si>
  <si>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</si>
  <si>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</si>
  <si>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</si>
  <si>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</si>
  <si>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</si>
  <si>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</si>
  <si>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</si>
  <si>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</si>
  <si>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</si>
  <si>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</si>
  <si>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</si>
  <si>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</si>
  <si>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</si>
  <si>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</si>
  <si>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</si>
  <si>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</si>
  <si>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</si>
  <si>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</si>
  <si>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</si>
  <si>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</si>
  <si>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</si>
  <si>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</si>
  <si>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</si>
  <si>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</si>
  <si>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</si>
  <si>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</si>
  <si>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</si>
  <si>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</si>
  <si>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</si>
  <si>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</si>
  <si>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</si>
  <si>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</si>
  <si>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</si>
  <si>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</si>
  <si>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</si>
  <si>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</si>
  <si>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</si>
  <si>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</si>
  <si>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</si>
  <si>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</si>
  <si>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</si>
  <si>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</si>
  <si>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</si>
  <si>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</si>
  <si>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</si>
  <si>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</si>
  <si>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</si>
  <si>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</si>
  <si>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</si>
  <si>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</si>
  <si>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</si>
  <si>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</si>
  <si>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</si>
  <si>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</si>
  <si>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</si>
  <si>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</si>
  <si>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</si>
  <si>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</si>
  <si>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</si>
  <si>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</si>
  <si>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</si>
  <si>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</si>
  <si>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</si>
  <si>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</si>
  <si>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</si>
  <si>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</si>
  <si>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</si>
  <si>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</si>
  <si>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</si>
  <si>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</si>
  <si>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</si>
  <si>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</si>
  <si>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</si>
  <si>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</si>
  <si>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</si>
  <si>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</si>
  <si>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</si>
  <si>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</si>
  <si>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</si>
  <si>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</si>
  <si>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</si>
  <si>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</si>
  <si>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</si>
  <si>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</si>
  <si>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</si>
  <si>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</si>
  <si>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</si>
  <si>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</si>
  <si>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</si>
  <si>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</si>
  <si>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</si>
  <si>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</si>
  <si>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</si>
  <si>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</si>
  <si>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</si>
  <si>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</si>
  <si>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</si>
  <si>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</si>
  <si>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</si>
  <si>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</si>
  <si>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</si>
  <si>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</si>
  <si>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</si>
  <si>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</si>
  <si>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</si>
  <si>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</si>
  <si>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</si>
  <si>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</si>
  <si>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</si>
  <si>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</si>
  <si>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</si>
  <si>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</si>
  <si>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</si>
  <si>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</si>
  <si>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</si>
  <si>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</si>
  <si>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</si>
  <si>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</si>
  <si>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</si>
  <si>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</si>
  <si>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</si>
  <si>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</si>
  <si>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</si>
  <si>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</si>
  <si>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</si>
  <si>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</si>
  <si>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</si>
  <si>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</si>
  <si>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</si>
  <si>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</si>
  <si>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</si>
  <si>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</si>
  <si>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</si>
  <si>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</si>
  <si>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</si>
  <si>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</si>
  <si>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</si>
  <si>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</si>
  <si>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</si>
  <si>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</si>
  <si>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</si>
  <si>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</si>
  <si>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</si>
  <si>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</si>
  <si>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</si>
  <si>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</si>
  <si>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</si>
  <si>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</si>
  <si>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</si>
  <si>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</si>
  <si>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</si>
  <si>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</si>
  <si>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</si>
  <si>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</si>
  <si>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</si>
  <si>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</si>
  <si>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</si>
  <si>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</si>
  <si>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</si>
  <si>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</si>
  <si>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</si>
  <si>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</si>
  <si>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</si>
  <si>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</si>
  <si>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</si>
  <si>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</si>
  <si>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</si>
  <si>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</si>
  <si>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</si>
  <si>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</si>
  <si>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</si>
  <si>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</si>
  <si>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</si>
  <si>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</si>
  <si>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</si>
  <si>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</si>
  <si>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</si>
  <si>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</si>
  <si>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</si>
  <si>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</si>
  <si>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</si>
  <si>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</si>
  <si>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</si>
  <si>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</si>
  <si>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</si>
  <si>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</si>
  <si>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</si>
  <si>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</si>
  <si>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</si>
  <si>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</si>
  <si>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</si>
  <si>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</si>
  <si>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</si>
  <si>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</si>
  <si>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</si>
  <si>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</si>
  <si>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</si>
  <si>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</si>
  <si>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</si>
  <si>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</si>
  <si>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</si>
  <si>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</si>
  <si>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</si>
  <si>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</si>
  <si>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</si>
  <si>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</si>
  <si>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</si>
  <si>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</si>
  <si>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</si>
  <si>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</si>
  <si>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</si>
  <si>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</si>
  <si>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</si>
  <si>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</si>
  <si>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</si>
  <si>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</si>
  <si>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</si>
  <si>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</si>
  <si>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</si>
  <si>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</si>
  <si>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</si>
  <si>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</si>
  <si>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</si>
  <si>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</si>
  <si>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</si>
  <si>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</si>
  <si>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</si>
  <si>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</si>
  <si>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</si>
  <si>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</si>
  <si>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</si>
  <si>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</si>
  <si>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</si>
  <si>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</si>
  <si>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</si>
  <si>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</si>
  <si>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</si>
  <si>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</si>
  <si>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</si>
  <si>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</si>
  <si>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</si>
  <si>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</si>
  <si>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</si>
  <si>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</si>
  <si>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</si>
  <si>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</si>
  <si>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</si>
  <si>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</si>
  <si>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</si>
  <si>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</si>
  <si>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</si>
  <si>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</si>
  <si>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</si>
  <si>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</si>
  <si>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</si>
  <si>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</si>
  <si>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</si>
  <si>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</si>
  <si>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</si>
  <si>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</si>
  <si>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</si>
  <si>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</si>
  <si>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</si>
  <si>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</si>
  <si>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</si>
  <si>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</si>
  <si>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</si>
  <si>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</si>
  <si>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</si>
  <si>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</si>
  <si>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</si>
  <si>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</si>
  <si>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</si>
  <si>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</si>
  <si>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</si>
  <si>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</si>
  <si>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</si>
  <si>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</si>
  <si>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</si>
  <si>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</si>
  <si>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</si>
  <si>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</si>
  <si>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</si>
  <si>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</si>
  <si>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</si>
  <si>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</si>
  <si>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</si>
  <si>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</si>
  <si>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</si>
  <si>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</si>
  <si>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</si>
  <si>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</si>
  <si>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</si>
  <si>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</si>
  <si>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</si>
  <si>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</si>
  <si>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</si>
  <si>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</si>
  <si>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</si>
  <si>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</si>
  <si>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</si>
  <si>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</si>
  <si>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</si>
  <si>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</si>
  <si>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</si>
  <si>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</si>
  <si>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</si>
  <si>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</si>
  <si>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</si>
  <si>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</si>
  <si>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</si>
  <si>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</si>
  <si>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</si>
  <si>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</si>
  <si>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</si>
  <si>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</si>
  <si>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</si>
  <si>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</si>
  <si>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</si>
  <si>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</si>
  <si>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</si>
  <si>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</si>
  <si>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</si>
  <si>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</si>
  <si>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</si>
  <si>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</si>
  <si>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</si>
  <si>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</si>
  <si>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</si>
  <si>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</si>
  <si>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</si>
  <si>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</si>
  <si>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</si>
  <si>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</si>
  <si>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</si>
  <si>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</si>
  <si>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</si>
  <si>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</si>
  <si>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</si>
  <si>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</si>
  <si>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</si>
  <si>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</si>
  <si>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</si>
  <si>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</si>
  <si>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</si>
  <si>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</si>
  <si>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</si>
  <si>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</si>
  <si>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</si>
  <si>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</si>
  <si>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</si>
  <si>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</si>
  <si>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</si>
  <si>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</si>
  <si>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</si>
  <si>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</si>
  <si>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</si>
  <si>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</si>
  <si>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</si>
  <si>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</si>
  <si>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</si>
  <si>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</si>
  <si>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</si>
  <si>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</si>
  <si>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</si>
  <si>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</si>
  <si>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</si>
  <si>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</si>
  <si>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</si>
  <si>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</si>
  <si>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</si>
  <si>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</si>
  <si>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</si>
  <si>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</si>
  <si>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</si>
  <si>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</si>
  <si>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</si>
  <si>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</si>
  <si>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</si>
  <si>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</si>
  <si>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</si>
  <si>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</si>
  <si>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</si>
  <si>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</si>
  <si>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</si>
  <si>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</si>
  <si>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</si>
  <si>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</si>
  <si>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</si>
  <si>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</si>
  <si>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</si>
  <si>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</si>
  <si>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</si>
  <si>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</si>
  <si>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</si>
  <si>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</si>
  <si>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</si>
  <si>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</si>
  <si>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</si>
  <si>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</si>
  <si>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</si>
  <si>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</si>
  <si>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</si>
  <si>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</si>
  <si>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</si>
  <si>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</si>
  <si>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</si>
  <si>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</si>
  <si>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</si>
  <si>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</si>
  <si>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</si>
  <si>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</si>
  <si>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</si>
  <si>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</si>
  <si>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</si>
  <si>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</si>
  <si>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</si>
  <si>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</si>
  <si>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</si>
  <si>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</si>
  <si>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</si>
  <si>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</si>
  <si>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</si>
  <si>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</si>
  <si>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</si>
  <si>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</si>
  <si>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</si>
  <si>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</si>
  <si>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</si>
  <si>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</si>
  <si>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</si>
  <si>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</si>
  <si>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</si>
  <si>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</si>
  <si>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</si>
  <si>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</si>
  <si>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</si>
  <si>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</si>
  <si>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</si>
  <si>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</si>
  <si>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</si>
  <si>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</si>
  <si>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</si>
  <si>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</si>
  <si>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</si>
  <si>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</si>
  <si>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</si>
  <si>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</si>
  <si>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</si>
  <si>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</si>
  <si>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</si>
  <si>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</si>
  <si>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</si>
  <si>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</si>
  <si>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</si>
  <si>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</si>
  <si>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</si>
  <si>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</si>
  <si>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</si>
  <si>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</si>
  <si>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</si>
  <si>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</si>
  <si>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</si>
  <si>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</si>
  <si>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</si>
  <si>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</si>
  <si>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</si>
  <si>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</si>
  <si>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</si>
  <si>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</si>
  <si>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</si>
  <si>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</si>
  <si>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</si>
  <si>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</si>
  <si>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</si>
  <si>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</si>
  <si>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</si>
  <si>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</si>
  <si>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</si>
  <si>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</si>
  <si>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</si>
  <si>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</si>
  <si>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</si>
  <si>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</si>
  <si>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</si>
  <si>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</si>
  <si>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</si>
  <si>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</si>
  <si>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</si>
  <si>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</si>
  <si>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</si>
  <si>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</si>
  <si>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</si>
  <si>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</si>
  <si>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</si>
  <si>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</si>
  <si>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</si>
  <si>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</si>
  <si>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</si>
  <si>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</si>
  <si>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</si>
  <si>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</si>
  <si>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</si>
  <si>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</si>
  <si>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</si>
  <si>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</si>
  <si>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</si>
  <si>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</si>
  <si>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</si>
  <si>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</si>
  <si>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</si>
  <si>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</si>
  <si>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</si>
  <si>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</si>
  <si>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</si>
  <si>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</si>
  <si>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</si>
  <si>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</si>
  <si>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</si>
  <si>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</si>
  <si>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</si>
  <si>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</si>
  <si>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</si>
  <si>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</si>
  <si>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</si>
  <si>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</si>
  <si>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</si>
  <si>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</si>
  <si>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</si>
  <si>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</si>
  <si>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</si>
  <si>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</si>
  <si>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</si>
  <si>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</si>
  <si>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</si>
  <si>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</si>
  <si>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</si>
  <si>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</si>
  <si>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</si>
  <si>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</si>
  <si>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</si>
  <si>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</si>
  <si>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</si>
  <si>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</si>
  <si>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</si>
  <si>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</si>
  <si>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</si>
  <si>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</si>
  <si>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</si>
  <si>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</si>
  <si>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</si>
  <si>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</si>
  <si>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</si>
  <si>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</si>
  <si>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</si>
  <si>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</si>
  <si>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</si>
  <si>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</si>
  <si>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</si>
  <si>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</si>
  <si>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</si>
  <si>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</si>
  <si>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</si>
  <si>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</si>
  <si>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</si>
  <si>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</si>
  <si>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</si>
  <si>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</si>
  <si>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</si>
  <si>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</si>
  <si>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</si>
  <si>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</si>
  <si>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</si>
  <si>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</si>
  <si>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</si>
  <si>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</si>
  <si>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</si>
  <si>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</si>
  <si>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</si>
  <si>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</si>
  <si>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</si>
  <si>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</si>
  <si>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</si>
  <si>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</si>
  <si>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</si>
  <si>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</si>
  <si>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</si>
  <si>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</si>
  <si>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</si>
  <si>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</si>
  <si>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</si>
  <si>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</si>
  <si>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</si>
  <si>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</si>
  <si>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</si>
  <si>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</si>
  <si>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</si>
  <si>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</si>
  <si>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</si>
  <si>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</si>
  <si>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</si>
  <si>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</si>
  <si>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</si>
  <si>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</si>
  <si>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</si>
  <si>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</si>
  <si>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</si>
  <si>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</si>
  <si>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</si>
  <si>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</si>
  <si>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</si>
  <si>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</si>
  <si>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</si>
  <si>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</si>
  <si>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</si>
  <si>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</si>
  <si>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</si>
  <si>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</si>
  <si>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</si>
  <si>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</si>
  <si>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</si>
  <si>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</si>
  <si>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</si>
  <si>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</si>
  <si>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</si>
  <si>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</si>
  <si>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</si>
  <si>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</si>
  <si>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</si>
  <si>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</si>
  <si>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</si>
  <si>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</si>
  <si>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</si>
  <si>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</si>
  <si>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</si>
  <si>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</si>
  <si>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</si>
  <si>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</si>
  <si>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</si>
  <si>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</si>
  <si>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</si>
  <si>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</si>
  <si>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</si>
  <si>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</si>
  <si>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</si>
  <si>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</si>
  <si>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</si>
  <si>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</si>
  <si>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</si>
  <si>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</si>
  <si>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</si>
  <si>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</si>
  <si>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</si>
  <si>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</si>
  <si>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</si>
  <si>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24066</t>
  </si>
  <si>
    <t>LUBBEEK</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</si>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</sst>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126117.93191595559</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126117.93191595559</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27655.034486295648</c:v>
                </c:pt>
                <c:pt idx="2">
                  <c:v>4631.883447754125</c:v>
                </c:pt>
                <c:pt idx="3">
                  <c:v>169.75894816602442</c:v>
                </c:pt>
                <c:pt idx="4">
                  <c:v>678.4890737626796</c:v>
                </c:pt>
                <c:pt idx="5">
                  <c:v>652.24882554504438</c:v>
                </c:pt>
                <c:pt idx="6">
                  <c:v>20152.202313546914</c:v>
                </c:pt>
                <c:pt idx="7">
                  <c:v>967.8584736058516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27655.034486295648</c:v>
                </c:pt>
                <c:pt idx="2">
                  <c:v>4631.883447754125</c:v>
                </c:pt>
                <c:pt idx="3">
                  <c:v>169.75894816602442</c:v>
                </c:pt>
                <c:pt idx="4">
                  <c:v>678.4890737626796</c:v>
                </c:pt>
                <c:pt idx="5">
                  <c:v>652.24882554504438</c:v>
                </c:pt>
                <c:pt idx="6">
                  <c:v>20152.202313546914</c:v>
                </c:pt>
                <c:pt idx="7">
                  <c:v>967.8584736058516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24066</v>
      </c>
      <c r="B6" s="416"/>
      <c r="C6" s="417"/>
    </row>
    <row r="7" spans="1:7" s="414" customFormat="1" ht="15.75" customHeight="1">
      <c r="A7" s="418" t="str">
        <f>txtMunicipality</f>
        <v>LUBBEEK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0.19236904371960861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0.19236904371960861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5501</v>
      </c>
      <c r="C9" s="342">
        <v>5646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2279</v>
      </c>
    </row>
    <row r="15" spans="1:6">
      <c r="A15" s="348" t="s">
        <v>184</v>
      </c>
      <c r="B15" s="334">
        <v>461</v>
      </c>
    </row>
    <row r="16" spans="1:6">
      <c r="A16" s="348" t="s">
        <v>6</v>
      </c>
      <c r="B16" s="334">
        <v>501</v>
      </c>
    </row>
    <row r="17" spans="1:6">
      <c r="A17" s="348" t="s">
        <v>7</v>
      </c>
      <c r="B17" s="334">
        <v>309</v>
      </c>
    </row>
    <row r="18" spans="1:6">
      <c r="A18" s="348" t="s">
        <v>8</v>
      </c>
      <c r="B18" s="334">
        <v>575</v>
      </c>
    </row>
    <row r="19" spans="1:6">
      <c r="A19" s="348" t="s">
        <v>9</v>
      </c>
      <c r="B19" s="334">
        <v>579</v>
      </c>
    </row>
    <row r="20" spans="1:6">
      <c r="A20" s="348" t="s">
        <v>10</v>
      </c>
      <c r="B20" s="334">
        <v>388</v>
      </c>
    </row>
    <row r="21" spans="1:6">
      <c r="A21" s="348" t="s">
        <v>11</v>
      </c>
      <c r="B21" s="334">
        <v>980</v>
      </c>
    </row>
    <row r="22" spans="1:6">
      <c r="A22" s="348" t="s">
        <v>12</v>
      </c>
      <c r="B22" s="334">
        <v>2280</v>
      </c>
    </row>
    <row r="23" spans="1:6">
      <c r="A23" s="348" t="s">
        <v>13</v>
      </c>
      <c r="B23" s="334">
        <v>0</v>
      </c>
    </row>
    <row r="24" spans="1:6">
      <c r="A24" s="348" t="s">
        <v>14</v>
      </c>
      <c r="B24" s="334">
        <v>0</v>
      </c>
    </row>
    <row r="25" spans="1:6">
      <c r="A25" s="348" t="s">
        <v>15</v>
      </c>
      <c r="B25" s="334">
        <v>0</v>
      </c>
    </row>
    <row r="26" spans="1:6">
      <c r="A26" s="348" t="s">
        <v>16</v>
      </c>
      <c r="B26" s="334">
        <v>311</v>
      </c>
    </row>
    <row r="27" spans="1:6">
      <c r="A27" s="348" t="s">
        <v>17</v>
      </c>
      <c r="B27" s="334">
        <v>6</v>
      </c>
    </row>
    <row r="28" spans="1:6" s="356" customFormat="1">
      <c r="A28" s="355" t="s">
        <v>18</v>
      </c>
      <c r="B28" s="355">
        <v>0</v>
      </c>
    </row>
    <row r="29" spans="1:6">
      <c r="A29" s="355" t="s">
        <v>901</v>
      </c>
      <c r="B29" s="355">
        <v>293</v>
      </c>
      <c r="C29" s="356"/>
      <c r="D29" s="356"/>
      <c r="E29" s="356"/>
      <c r="F29" s="356"/>
    </row>
    <row r="30" spans="1:6">
      <c r="A30" s="341" t="s">
        <v>902</v>
      </c>
      <c r="B30" s="341">
        <v>51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2815666</v>
      </c>
    </row>
    <row r="37" spans="1:6">
      <c r="A37" s="348" t="s">
        <v>25</v>
      </c>
      <c r="B37" s="348" t="s">
        <v>28</v>
      </c>
      <c r="C37" s="334">
        <v>0</v>
      </c>
      <c r="D37" s="334">
        <v>0</v>
      </c>
      <c r="E37" s="334">
        <v>0</v>
      </c>
      <c r="F37" s="334">
        <v>0</v>
      </c>
    </row>
    <row r="38" spans="1:6">
      <c r="A38" s="348" t="s">
        <v>25</v>
      </c>
      <c r="B38" s="348" t="s">
        <v>29</v>
      </c>
      <c r="C38" s="334">
        <v>2</v>
      </c>
      <c r="D38" s="334">
        <v>724905</v>
      </c>
      <c r="E38" s="334">
        <v>2</v>
      </c>
      <c r="F38" s="334">
        <v>36590</v>
      </c>
    </row>
    <row r="39" spans="1:6">
      <c r="A39" s="348" t="s">
        <v>30</v>
      </c>
      <c r="B39" s="348" t="s">
        <v>31</v>
      </c>
      <c r="C39" s="334">
        <v>1883</v>
      </c>
      <c r="D39" s="334">
        <v>33652028</v>
      </c>
      <c r="E39" s="334">
        <v>5344</v>
      </c>
      <c r="F39" s="334">
        <v>23294236</v>
      </c>
    </row>
    <row r="40" spans="1:6">
      <c r="A40" s="348" t="s">
        <v>30</v>
      </c>
      <c r="B40" s="348" t="s">
        <v>29</v>
      </c>
      <c r="C40" s="334">
        <v>0</v>
      </c>
      <c r="D40" s="334">
        <v>0</v>
      </c>
      <c r="E40" s="334">
        <v>0</v>
      </c>
      <c r="F40" s="334">
        <v>0</v>
      </c>
    </row>
    <row r="41" spans="1:6">
      <c r="A41" s="348" t="s">
        <v>32</v>
      </c>
      <c r="B41" s="348" t="s">
        <v>33</v>
      </c>
      <c r="C41" s="334">
        <v>25</v>
      </c>
      <c r="D41" s="334">
        <v>569803</v>
      </c>
      <c r="E41" s="334">
        <v>82</v>
      </c>
      <c r="F41" s="334">
        <v>529529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33771</v>
      </c>
    </row>
    <row r="45" spans="1:6">
      <c r="A45" s="348" t="s">
        <v>32</v>
      </c>
      <c r="B45" s="348" t="s">
        <v>37</v>
      </c>
      <c r="C45" s="334">
        <v>0</v>
      </c>
      <c r="D45" s="334">
        <v>0</v>
      </c>
      <c r="E45" s="334">
        <v>4</v>
      </c>
      <c r="F45" s="334">
        <v>458569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131750</v>
      </c>
      <c r="E48" s="334">
        <v>2</v>
      </c>
      <c r="F48" s="334">
        <v>30351</v>
      </c>
    </row>
    <row r="49" spans="1:6">
      <c r="A49" s="348" t="s">
        <v>32</v>
      </c>
      <c r="B49" s="348" t="s">
        <v>40</v>
      </c>
      <c r="C49" s="334">
        <v>0</v>
      </c>
      <c r="D49" s="334">
        <v>0</v>
      </c>
      <c r="E49" s="334">
        <v>0</v>
      </c>
      <c r="F49" s="334">
        <v>0</v>
      </c>
    </row>
    <row r="50" spans="1:6">
      <c r="A50" s="348" t="s">
        <v>32</v>
      </c>
      <c r="B50" s="348" t="s">
        <v>41</v>
      </c>
      <c r="C50" s="334">
        <v>3</v>
      </c>
      <c r="D50" s="334">
        <v>27542</v>
      </c>
      <c r="E50" s="334">
        <v>9</v>
      </c>
      <c r="F50" s="334">
        <v>230187</v>
      </c>
    </row>
    <row r="51" spans="1:6">
      <c r="A51" s="348" t="s">
        <v>42</v>
      </c>
      <c r="B51" s="348" t="s">
        <v>43</v>
      </c>
      <c r="C51" s="334">
        <v>6</v>
      </c>
      <c r="D51" s="334">
        <v>117341</v>
      </c>
      <c r="E51" s="334">
        <v>74</v>
      </c>
      <c r="F51" s="334">
        <v>709488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882465</v>
      </c>
    </row>
    <row r="55" spans="1:6">
      <c r="A55" s="348" t="s">
        <v>46</v>
      </c>
      <c r="B55" s="348" t="s">
        <v>29</v>
      </c>
      <c r="C55" s="334">
        <v>0</v>
      </c>
      <c r="D55" s="334">
        <v>0</v>
      </c>
      <c r="E55" s="334">
        <v>0</v>
      </c>
      <c r="F55" s="334">
        <v>0</v>
      </c>
    </row>
    <row r="56" spans="1:6">
      <c r="A56" s="348" t="s">
        <v>48</v>
      </c>
      <c r="B56" s="348" t="s">
        <v>29</v>
      </c>
      <c r="C56" s="334">
        <v>31</v>
      </c>
      <c r="D56" s="334">
        <v>791624</v>
      </c>
      <c r="E56" s="334">
        <v>113</v>
      </c>
      <c r="F56" s="334">
        <v>1145047</v>
      </c>
    </row>
    <row r="57" spans="1:6">
      <c r="A57" s="348" t="s">
        <v>49</v>
      </c>
      <c r="B57" s="348" t="s">
        <v>50</v>
      </c>
      <c r="C57" s="334">
        <v>12</v>
      </c>
      <c r="D57" s="334">
        <v>367655</v>
      </c>
      <c r="E57" s="334">
        <v>64</v>
      </c>
      <c r="F57" s="334">
        <v>587611</v>
      </c>
    </row>
    <row r="58" spans="1:6">
      <c r="A58" s="348" t="s">
        <v>49</v>
      </c>
      <c r="B58" s="348" t="s">
        <v>51</v>
      </c>
      <c r="C58" s="334">
        <v>11</v>
      </c>
      <c r="D58" s="334">
        <v>1083567</v>
      </c>
      <c r="E58" s="334">
        <v>27</v>
      </c>
      <c r="F58" s="334">
        <v>4414044</v>
      </c>
    </row>
    <row r="59" spans="1:6">
      <c r="A59" s="348" t="s">
        <v>49</v>
      </c>
      <c r="B59" s="348" t="s">
        <v>52</v>
      </c>
      <c r="C59" s="334">
        <v>44</v>
      </c>
      <c r="D59" s="334">
        <v>1953119</v>
      </c>
      <c r="E59" s="334">
        <v>154</v>
      </c>
      <c r="F59" s="334">
        <v>4141401</v>
      </c>
    </row>
    <row r="60" spans="1:6">
      <c r="A60" s="348" t="s">
        <v>49</v>
      </c>
      <c r="B60" s="348" t="s">
        <v>53</v>
      </c>
      <c r="C60" s="334">
        <v>18</v>
      </c>
      <c r="D60" s="334">
        <v>608362</v>
      </c>
      <c r="E60" s="334">
        <v>40</v>
      </c>
      <c r="F60" s="334">
        <v>903336</v>
      </c>
    </row>
    <row r="61" spans="1:6">
      <c r="A61" s="348" t="s">
        <v>49</v>
      </c>
      <c r="B61" s="348" t="s">
        <v>54</v>
      </c>
      <c r="C61" s="334">
        <v>84</v>
      </c>
      <c r="D61" s="334">
        <v>4228104</v>
      </c>
      <c r="E61" s="334">
        <v>280</v>
      </c>
      <c r="F61" s="334">
        <v>2719643</v>
      </c>
    </row>
    <row r="62" spans="1:6">
      <c r="A62" s="348" t="s">
        <v>49</v>
      </c>
      <c r="B62" s="348" t="s">
        <v>55</v>
      </c>
      <c r="C62" s="334">
        <v>3</v>
      </c>
      <c r="D62" s="334">
        <v>147268</v>
      </c>
      <c r="E62" s="334">
        <v>6</v>
      </c>
      <c r="F62" s="334">
        <v>52775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6383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82767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57394871</v>
      </c>
      <c r="E73" s="476">
        <v>41831154.393109255</v>
      </c>
    </row>
    <row r="74" spans="1:6">
      <c r="A74" s="348" t="s">
        <v>64</v>
      </c>
      <c r="B74" s="348" t="s">
        <v>714</v>
      </c>
      <c r="C74" s="1311" t="s">
        <v>716</v>
      </c>
      <c r="D74" s="476">
        <v>6503308.7842289181</v>
      </c>
      <c r="E74" s="476">
        <v>5171317.7665473046</v>
      </c>
    </row>
    <row r="75" spans="1:6">
      <c r="A75" s="348" t="s">
        <v>65</v>
      </c>
      <c r="B75" s="348" t="s">
        <v>713</v>
      </c>
      <c r="C75" s="1311" t="s">
        <v>717</v>
      </c>
      <c r="D75" s="476">
        <v>26338974</v>
      </c>
      <c r="E75" s="476">
        <v>21658746.052781355</v>
      </c>
    </row>
    <row r="76" spans="1:6">
      <c r="A76" s="348" t="s">
        <v>65</v>
      </c>
      <c r="B76" s="348" t="s">
        <v>714</v>
      </c>
      <c r="C76" s="1311" t="s">
        <v>718</v>
      </c>
      <c r="D76" s="476">
        <v>1516078.7842289181</v>
      </c>
      <c r="E76" s="476">
        <v>1153762.2398337156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1023910.4315421636</v>
      </c>
      <c r="C83" s="476">
        <v>1017790.1217325875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3551.9058464038421</v>
      </c>
    </row>
    <row r="92" spans="1:6">
      <c r="A92" s="341" t="s">
        <v>69</v>
      </c>
      <c r="B92" s="342">
        <v>1399.9898619069741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44510.334864695957</v>
      </c>
      <c r="C3" s="43" t="s">
        <v>170</v>
      </c>
      <c r="D3" s="43"/>
      <c r="E3" s="154"/>
      <c r="F3" s="43"/>
      <c r="G3" s="43"/>
      <c r="H3" s="43"/>
      <c r="I3" s="43"/>
      <c r="J3" s="43"/>
      <c r="K3" s="96"/>
    </row>
    <row r="4" spans="1:11">
      <c r="A4" s="384" t="s">
        <v>171</v>
      </c>
      <c r="B4" s="49">
        <f>IF(ISERROR('SEAP template'!B78+'SEAP template'!C78),0,'SEAP template'!B78+'SEAP template'!C78)</f>
        <v>5766.3957083108162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0.19236904371960861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882.46500000000003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882.46500000000003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0.19236904371960861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169.75894816602442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23294.236000000001</v>
      </c>
      <c r="C5" s="17">
        <f>IF(ISERROR('Eigen informatie GS &amp; warmtenet'!B57),0,'Eigen informatie GS &amp; warmtenet'!B57)</f>
        <v>0</v>
      </c>
      <c r="D5" s="30">
        <f>(SUM(HH_hh_gas_kWh,HH_rest_gas_kWh)/1000)*0.902</f>
        <v>30354.129256</v>
      </c>
      <c r="E5" s="17">
        <f>B46*B57</f>
        <v>2562.1288293608413</v>
      </c>
      <c r="F5" s="17">
        <f>B51*B62</f>
        <v>59091.874523464649</v>
      </c>
      <c r="G5" s="18"/>
      <c r="H5" s="17"/>
      <c r="I5" s="17"/>
      <c r="J5" s="17">
        <f>B50*B61+C50*C61</f>
        <v>0</v>
      </c>
      <c r="K5" s="17"/>
      <c r="L5" s="17"/>
      <c r="M5" s="17"/>
      <c r="N5" s="17">
        <f>B48*B59+C48*C59</f>
        <v>6246.1674607262603</v>
      </c>
      <c r="O5" s="17">
        <f>B69*B70*B71</f>
        <v>254.82333333333335</v>
      </c>
      <c r="P5" s="17">
        <f>B77*B78*B79/1000-B77*B78*B79/1000/B80</f>
        <v>762.66666666666674</v>
      </c>
    </row>
    <row r="6" spans="1:16">
      <c r="A6" s="16" t="s">
        <v>631</v>
      </c>
      <c r="B6" s="789">
        <f>kWh_PV_kleiner_dan_10kW</f>
        <v>3551.9058464038421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26846.141846403843</v>
      </c>
      <c r="C8" s="21">
        <f>C5</f>
        <v>0</v>
      </c>
      <c r="D8" s="21">
        <f>D5</f>
        <v>30354.129256</v>
      </c>
      <c r="E8" s="21">
        <f>E5</f>
        <v>2562.1288293608413</v>
      </c>
      <c r="F8" s="21">
        <f>F5</f>
        <v>59091.874523464649</v>
      </c>
      <c r="G8" s="21"/>
      <c r="H8" s="21"/>
      <c r="I8" s="21"/>
      <c r="J8" s="21">
        <f>J5</f>
        <v>0</v>
      </c>
      <c r="K8" s="21"/>
      <c r="L8" s="21">
        <f>L5</f>
        <v>0</v>
      </c>
      <c r="M8" s="21">
        <f>M5</f>
        <v>0</v>
      </c>
      <c r="N8" s="21">
        <f>N5</f>
        <v>6246.1674607262603</v>
      </c>
      <c r="O8" s="21">
        <f>O5</f>
        <v>254.82333333333335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0.19236904371960861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5164.3666345536749</v>
      </c>
      <c r="C12" s="23">
        <f ca="1">C10*C8</f>
        <v>0</v>
      </c>
      <c r="D12" s="23">
        <f>D8*D10</f>
        <v>6131.5341097120008</v>
      </c>
      <c r="E12" s="23">
        <f>E10*E8</f>
        <v>581.60324426491104</v>
      </c>
      <c r="F12" s="23">
        <f>F10*F8</f>
        <v>15777.530497765061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5501</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34.480864310565828</v>
      </c>
      <c r="D32" s="233"/>
      <c r="G32" s="15"/>
    </row>
    <row r="33" spans="1:7">
      <c r="A33" s="171" t="s">
        <v>72</v>
      </c>
      <c r="B33" s="34" t="s">
        <v>111</v>
      </c>
      <c r="C33" s="167"/>
      <c r="D33" s="233"/>
      <c r="G33" s="15"/>
    </row>
    <row r="34" spans="1:7">
      <c r="A34" s="171" t="s">
        <v>73</v>
      </c>
      <c r="B34" s="33">
        <f>IF((($B$28-$B$32-$B$39-$B$77-$B$38)*C20/100)&lt;0,0,($B$28-$B$32-$B$39-$B$77-$B$38)*C20/100)</f>
        <v>171.71875</v>
      </c>
      <c r="C34" s="167">
        <f>IF(ISERROR(B34/SUM($B$32,$B$34,$B$35,$B$36,$B$38,$B$39)*100),0,B34/SUM($B$32,$B$34,$B$35,$B$36,$B$38,$B$39)*100)</f>
        <v>3.1444561435634495</v>
      </c>
      <c r="D34" s="233"/>
      <c r="G34" s="15"/>
    </row>
    <row r="35" spans="1:7">
      <c r="A35" s="171" t="s">
        <v>74</v>
      </c>
      <c r="B35" s="33">
        <f>IF((($B$28-$B$32-$B$39-$B$77-$B$38)*C21/100)&lt;0,0,($B$28-$B$32-$B$39-$B$77-$B$38)*C21/100)</f>
        <v>895.39062499999989</v>
      </c>
      <c r="C35" s="167">
        <f>IF(ISERROR(B35/SUM($B$32,$B$34,$B$35,$B$36,$B$38,$B$39)*100),0,B35/SUM($B$32,$B$34,$B$35,$B$36,$B$38,$B$39)*100)</f>
        <v>16.396092748580841</v>
      </c>
      <c r="D35" s="233"/>
      <c r="G35" s="15"/>
    </row>
    <row r="36" spans="1:7">
      <c r="A36" s="171" t="s">
        <v>75</v>
      </c>
      <c r="B36" s="33">
        <f>IF((($B$28-$B$32-$B$39-$B$77-$B$38)*C22/100)&lt;0,0,($B$28-$B$32-$B$39-$B$77-$B$38)*C22/100)</f>
        <v>110.390625</v>
      </c>
      <c r="C36" s="167">
        <f>IF(ISERROR(B36/SUM($B$32,$B$34,$B$35,$B$36,$B$38,$B$39)*100),0,B36/SUM($B$32,$B$34,$B$35,$B$36,$B$38,$B$39)*100)</f>
        <v>2.0214360922907892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2400.5</v>
      </c>
      <c r="C39" s="167">
        <f>IF(ISERROR(B39/SUM($B$32,$B$34,$B$35,$B$36,$B$38,$B$39)*100),0,B39/SUM($B$32,$B$34,$B$35,$B$36,$B$38,$B$39)*100)</f>
        <v>43.95715070499908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171.71875</v>
      </c>
      <c r="C46" s="34" t="s">
        <v>111</v>
      </c>
      <c r="D46" s="174"/>
    </row>
    <row r="47" spans="1:7">
      <c r="A47" s="171" t="s">
        <v>74</v>
      </c>
      <c r="B47" s="33">
        <f t="shared" si="0"/>
        <v>895.39062499999989</v>
      </c>
      <c r="C47" s="34" t="s">
        <v>111</v>
      </c>
      <c r="D47" s="174"/>
    </row>
    <row r="48" spans="1:7">
      <c r="A48" s="171" t="s">
        <v>75</v>
      </c>
      <c r="B48" s="33">
        <f t="shared" si="0"/>
        <v>110.390625</v>
      </c>
      <c r="C48" s="33">
        <f>B48*10</f>
        <v>1103.90625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12818.81</v>
      </c>
      <c r="C5" s="17">
        <f>IF(ISERROR('Eigen informatie GS &amp; warmtenet'!B58),0,'Eigen informatie GS &amp; warmtenet'!B58)</f>
        <v>0</v>
      </c>
      <c r="D5" s="30">
        <f>SUM(D6:D12)</f>
        <v>7566.0436500000014</v>
      </c>
      <c r="E5" s="17">
        <f>SUM(E6:E12)</f>
        <v>95.844939753376735</v>
      </c>
      <c r="F5" s="17">
        <f>SUM(F6:F12)</f>
        <v>1719.6967104761454</v>
      </c>
      <c r="G5" s="18"/>
      <c r="H5" s="17"/>
      <c r="I5" s="17"/>
      <c r="J5" s="17">
        <f>SUM(J6:J12)</f>
        <v>0</v>
      </c>
      <c r="K5" s="17"/>
      <c r="L5" s="17"/>
      <c r="M5" s="17"/>
      <c r="N5" s="17">
        <f>SUM(N6:N12)</f>
        <v>510.6740848186306</v>
      </c>
      <c r="O5" s="17">
        <f>B38*B39*B40</f>
        <v>4.6900000000000004</v>
      </c>
      <c r="P5" s="17">
        <f>B46*B47*B48/1000-B46*B47*B48/1000/B49</f>
        <v>38.133333333333333</v>
      </c>
      <c r="R5" s="32"/>
    </row>
    <row r="6" spans="1:18">
      <c r="A6" s="32" t="s">
        <v>54</v>
      </c>
      <c r="B6" s="37">
        <f>B26</f>
        <v>2719.643</v>
      </c>
      <c r="C6" s="33"/>
      <c r="D6" s="37">
        <f>IF(ISERROR(TER_kantoor_gas_kWh/1000),0,TER_kantoor_gas_kWh/1000)*0.902</f>
        <v>3813.7498080000005</v>
      </c>
      <c r="E6" s="33">
        <f>$C$26*'E Balans VL '!I12/100/3.6*1000000</f>
        <v>7.8792047992073444</v>
      </c>
      <c r="F6" s="33">
        <f>$C$26*('E Balans VL '!L12+'E Balans VL '!N12)/100/3.6*1000000</f>
        <v>307.8036692190974</v>
      </c>
      <c r="G6" s="34"/>
      <c r="H6" s="33"/>
      <c r="I6" s="33"/>
      <c r="J6" s="33">
        <f>$C$26*('E Balans VL '!D12+'E Balans VL '!E12)/100/3.6*1000000</f>
        <v>0</v>
      </c>
      <c r="K6" s="33"/>
      <c r="L6" s="33"/>
      <c r="M6" s="33"/>
      <c r="N6" s="33">
        <f>$C$26*'E Balans VL '!Y12/100/3.6*1000000</f>
        <v>27.221622507564927</v>
      </c>
      <c r="O6" s="33"/>
      <c r="P6" s="33"/>
      <c r="R6" s="32"/>
    </row>
    <row r="7" spans="1:18">
      <c r="A7" s="32" t="s">
        <v>53</v>
      </c>
      <c r="B7" s="37">
        <f t="shared" ref="B7:B12" si="0">B27</f>
        <v>903.33600000000001</v>
      </c>
      <c r="C7" s="33"/>
      <c r="D7" s="37">
        <f>IF(ISERROR(TER_horeca_gas_kWh/1000),0,TER_horeca_gas_kWh/1000)*0.902</f>
        <v>548.742524</v>
      </c>
      <c r="E7" s="33">
        <f>$C$27*'E Balans VL '!I9/100/3.6*1000000</f>
        <v>37.919521409097364</v>
      </c>
      <c r="F7" s="33">
        <f>$C$27*('E Balans VL '!L9+'E Balans VL '!N9)/100/3.6*1000000</f>
        <v>194.10026424938607</v>
      </c>
      <c r="G7" s="34"/>
      <c r="H7" s="33"/>
      <c r="I7" s="33"/>
      <c r="J7" s="33">
        <f>$C$27*('E Balans VL '!D9+'E Balans VL '!E9)/100/3.6*1000000</f>
        <v>0</v>
      </c>
      <c r="K7" s="33"/>
      <c r="L7" s="33"/>
      <c r="M7" s="33"/>
      <c r="N7" s="33">
        <f>$C$27*'E Balans VL '!Y9/100/3.6*1000000</f>
        <v>0.23278178724009072</v>
      </c>
      <c r="O7" s="33"/>
      <c r="P7" s="33"/>
      <c r="R7" s="32"/>
    </row>
    <row r="8" spans="1:18">
      <c r="A8" s="6" t="s">
        <v>52</v>
      </c>
      <c r="B8" s="37">
        <f t="shared" si="0"/>
        <v>4141.4009999999998</v>
      </c>
      <c r="C8" s="33"/>
      <c r="D8" s="37">
        <f>IF(ISERROR(TER_handel_gas_kWh/1000),0,TER_handel_gas_kWh/1000)*0.902</f>
        <v>1761.713338</v>
      </c>
      <c r="E8" s="33">
        <f>$C$28*'E Balans VL '!I13/100/3.6*1000000</f>
        <v>44.482093530071815</v>
      </c>
      <c r="F8" s="33">
        <f>$C$28*('E Balans VL '!L13+'E Balans VL '!N13)/100/3.6*1000000</f>
        <v>536.13855843445299</v>
      </c>
      <c r="G8" s="34"/>
      <c r="H8" s="33"/>
      <c r="I8" s="33"/>
      <c r="J8" s="33">
        <f>$C$28*('E Balans VL '!D13+'E Balans VL '!E13)/100/3.6*1000000</f>
        <v>0</v>
      </c>
      <c r="K8" s="33"/>
      <c r="L8" s="33"/>
      <c r="M8" s="33"/>
      <c r="N8" s="33">
        <f>$C$28*'E Balans VL '!Y13/100/3.6*1000000</f>
        <v>33.595271042326637</v>
      </c>
      <c r="O8" s="33"/>
      <c r="P8" s="33"/>
      <c r="R8" s="32"/>
    </row>
    <row r="9" spans="1:18">
      <c r="A9" s="32" t="s">
        <v>51</v>
      </c>
      <c r="B9" s="37">
        <f t="shared" si="0"/>
        <v>4414.0439999999999</v>
      </c>
      <c r="C9" s="33"/>
      <c r="D9" s="37">
        <f>IF(ISERROR(TER_gezond_gas_kWh/1000),0,TER_gezond_gas_kWh/1000)*0.902</f>
        <v>977.37743399999999</v>
      </c>
      <c r="E9" s="33">
        <f>$C$29*'E Balans VL '!I10/100/3.6*1000000</f>
        <v>3.5138645167173439</v>
      </c>
      <c r="F9" s="33">
        <f>$C$29*('E Balans VL '!L10+'E Balans VL '!N10)/100/3.6*1000000</f>
        <v>536.59083688127237</v>
      </c>
      <c r="G9" s="34"/>
      <c r="H9" s="33"/>
      <c r="I9" s="33"/>
      <c r="J9" s="33">
        <f>$C$29*('E Balans VL '!D10+'E Balans VL '!E10)/100/3.6*1000000</f>
        <v>0</v>
      </c>
      <c r="K9" s="33"/>
      <c r="L9" s="33"/>
      <c r="M9" s="33"/>
      <c r="N9" s="33">
        <f>$C$29*'E Balans VL '!Y10/100/3.6*1000000</f>
        <v>35.655478007877697</v>
      </c>
      <c r="O9" s="33"/>
      <c r="P9" s="33"/>
      <c r="R9" s="32"/>
    </row>
    <row r="10" spans="1:18">
      <c r="A10" s="32" t="s">
        <v>50</v>
      </c>
      <c r="B10" s="37">
        <f t="shared" si="0"/>
        <v>587.61099999999999</v>
      </c>
      <c r="C10" s="33"/>
      <c r="D10" s="37">
        <f>IF(ISERROR(TER_ander_gas_kWh/1000),0,TER_ander_gas_kWh/1000)*0.902</f>
        <v>331.62480999999997</v>
      </c>
      <c r="E10" s="33">
        <f>$C$30*'E Balans VL '!I14/100/3.6*1000000</f>
        <v>2.013773766124952</v>
      </c>
      <c r="F10" s="33">
        <f>$C$30*('E Balans VL '!L14+'E Balans VL '!N14)/100/3.6*1000000</f>
        <v>131.24841970166932</v>
      </c>
      <c r="G10" s="34"/>
      <c r="H10" s="33"/>
      <c r="I10" s="33"/>
      <c r="J10" s="33">
        <f>$C$30*('E Balans VL '!D14+'E Balans VL '!E14)/100/3.6*1000000</f>
        <v>0</v>
      </c>
      <c r="K10" s="33"/>
      <c r="L10" s="33"/>
      <c r="M10" s="33"/>
      <c r="N10" s="33">
        <f>$C$30*'E Balans VL '!Y14/100/3.6*1000000</f>
        <v>413.91639845614509</v>
      </c>
      <c r="O10" s="33"/>
      <c r="P10" s="33"/>
      <c r="R10" s="32"/>
    </row>
    <row r="11" spans="1:18">
      <c r="A11" s="32" t="s">
        <v>55</v>
      </c>
      <c r="B11" s="37">
        <f t="shared" si="0"/>
        <v>52.774999999999999</v>
      </c>
      <c r="C11" s="33"/>
      <c r="D11" s="37">
        <f>IF(ISERROR(TER_onderwijs_gas_kWh/1000),0,TER_onderwijs_gas_kWh/1000)*0.902</f>
        <v>132.835736</v>
      </c>
      <c r="E11" s="33">
        <f>$C$31*'E Balans VL '!I11/100/3.6*1000000</f>
        <v>3.6481732157916447E-2</v>
      </c>
      <c r="F11" s="33">
        <f>$C$31*('E Balans VL '!L11+'E Balans VL '!N11)/100/3.6*1000000</f>
        <v>13.814961990267209</v>
      </c>
      <c r="G11" s="34"/>
      <c r="H11" s="33"/>
      <c r="I11" s="33"/>
      <c r="J11" s="33">
        <f>$C$31*('E Balans VL '!D11+'E Balans VL '!E11)/100/3.6*1000000</f>
        <v>0</v>
      </c>
      <c r="K11" s="33"/>
      <c r="L11" s="33"/>
      <c r="M11" s="33"/>
      <c r="N11" s="33">
        <f>$C$31*'E Balans VL '!Y11/100/3.6*1000000</f>
        <v>5.253301747614899E-2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814.5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-2327.1428571428573</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13633.31</v>
      </c>
      <c r="C16" s="21">
        <f t="shared" ca="1" si="1"/>
        <v>0</v>
      </c>
      <c r="D16" s="21">
        <f t="shared" ca="1" si="1"/>
        <v>7566.0436500000014</v>
      </c>
      <c r="E16" s="21">
        <f t="shared" si="1"/>
        <v>95.844939753376735</v>
      </c>
      <c r="F16" s="21">
        <f t="shared" ca="1" si="1"/>
        <v>1719.6967104761454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0.19236904371960861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2622.6268074329773</v>
      </c>
      <c r="C20" s="23">
        <f t="shared" ref="C20:P20" ca="1" si="2">C16*C18</f>
        <v>0</v>
      </c>
      <c r="D20" s="23">
        <f t="shared" ca="1" si="2"/>
        <v>1528.3408173000005</v>
      </c>
      <c r="E20" s="23">
        <f t="shared" si="2"/>
        <v>21.756801324016518</v>
      </c>
      <c r="F20" s="23">
        <f t="shared" ca="1" si="2"/>
        <v>459.15902169713087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2719.643</v>
      </c>
      <c r="C26" s="39">
        <f>IF(ISERROR(B26*3.6/1000000/'E Balans VL '!Z12*100),0,B26*3.6/1000000/'E Balans VL '!Z12*100)</f>
        <v>5.9740102717161729E-2</v>
      </c>
      <c r="D26" s="237" t="s">
        <v>692</v>
      </c>
      <c r="F26" s="6"/>
    </row>
    <row r="27" spans="1:18">
      <c r="A27" s="231" t="s">
        <v>53</v>
      </c>
      <c r="B27" s="33">
        <f>IF(ISERROR(TER_horeca_ele_kWh/1000),0,TER_horeca_ele_kWh/1000)</f>
        <v>903.33600000000001</v>
      </c>
      <c r="C27" s="39">
        <f>IF(ISERROR(B27*3.6/1000000/'E Balans VL '!Z9*100),0,B27*3.6/1000000/'E Balans VL '!Z9*100)</f>
        <v>7.2592052159601572E-2</v>
      </c>
      <c r="D27" s="237" t="s">
        <v>692</v>
      </c>
      <c r="F27" s="6"/>
    </row>
    <row r="28" spans="1:18">
      <c r="A28" s="171" t="s">
        <v>52</v>
      </c>
      <c r="B28" s="33">
        <f>IF(ISERROR(TER_handel_ele_kWh/1000),0,TER_handel_ele_kWh/1000)</f>
        <v>4141.4009999999998</v>
      </c>
      <c r="C28" s="39">
        <f>IF(ISERROR(B28*3.6/1000000/'E Balans VL '!Z13*100),0,B28*3.6/1000000/'E Balans VL '!Z13*100)</f>
        <v>0.12245833432651321</v>
      </c>
      <c r="D28" s="237" t="s">
        <v>692</v>
      </c>
      <c r="F28" s="6"/>
    </row>
    <row r="29" spans="1:18">
      <c r="A29" s="231" t="s">
        <v>51</v>
      </c>
      <c r="B29" s="33">
        <f>IF(ISERROR(TER_gezond_ele_kWh/1000),0,TER_gezond_ele_kWh/1000)</f>
        <v>4414.0439999999999</v>
      </c>
      <c r="C29" s="39">
        <f>IF(ISERROR(B29*3.6/1000000/'E Balans VL '!Z10*100),0,B29*3.6/1000000/'E Balans VL '!Z10*100)</f>
        <v>0.49734879822956968</v>
      </c>
      <c r="D29" s="237" t="s">
        <v>692</v>
      </c>
      <c r="F29" s="6"/>
    </row>
    <row r="30" spans="1:18">
      <c r="A30" s="231" t="s">
        <v>50</v>
      </c>
      <c r="B30" s="33">
        <f>IF(ISERROR(TER_ander_ele_kWh/1000),0,TER_ander_ele_kWh/1000)</f>
        <v>587.61099999999999</v>
      </c>
      <c r="C30" s="39">
        <f>IF(ISERROR(B30*3.6/1000000/'E Balans VL '!Z14*100),0,B30*3.6/1000000/'E Balans VL '!Z14*100)</f>
        <v>4.444001545436773E-2</v>
      </c>
      <c r="D30" s="237" t="s">
        <v>692</v>
      </c>
      <c r="F30" s="6"/>
    </row>
    <row r="31" spans="1:18">
      <c r="A31" s="231" t="s">
        <v>55</v>
      </c>
      <c r="B31" s="33">
        <f>IF(ISERROR(TER_onderwijs_ele_kWh/1000),0,TER_onderwijs_ele_kWh/1000)</f>
        <v>52.774999999999999</v>
      </c>
      <c r="C31" s="39">
        <f>IF(ISERROR(B31*3.6/1000000/'E Balans VL '!Z11*100),0,B31*3.6/1000000/'E Balans VL '!Z11*100)</f>
        <v>1.095486488096988E-2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1282.4070000000002</v>
      </c>
      <c r="C5" s="17">
        <f>IF(ISERROR('Eigen informatie GS &amp; warmtenet'!B59),0,'Eigen informatie GS &amp; warmtenet'!B59)</f>
        <v>0</v>
      </c>
      <c r="D5" s="30">
        <f>SUM(D6:D15)</f>
        <v>657.64368999999999</v>
      </c>
      <c r="E5" s="17">
        <f>SUM(E6:E15)</f>
        <v>151.7234037650741</v>
      </c>
      <c r="F5" s="17">
        <f>SUM(F6:F15)</f>
        <v>884.01560969755872</v>
      </c>
      <c r="G5" s="18"/>
      <c r="H5" s="17"/>
      <c r="I5" s="17"/>
      <c r="J5" s="17">
        <f>SUM(J6:J15)</f>
        <v>6.3164165869838742</v>
      </c>
      <c r="K5" s="17"/>
      <c r="L5" s="17"/>
      <c r="M5" s="17"/>
      <c r="N5" s="17">
        <f>SUM(N6:N15)</f>
        <v>299.30845663017919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33.771000000000001</v>
      </c>
      <c r="C8" s="33"/>
      <c r="D8" s="37">
        <f>IF( ISERROR(IND_metaal_Gas_kWH/1000),0,IND_metaal_Gas_kWH/1000)*0.902</f>
        <v>0</v>
      </c>
      <c r="E8" s="33">
        <f>C30*'E Balans VL '!I18/100/3.6*1000000</f>
        <v>0.84516993403218355</v>
      </c>
      <c r="F8" s="33">
        <f>C30*'E Balans VL '!L18/100/3.6*1000000+C30*'E Balans VL '!N18/100/3.6*1000000</f>
        <v>10.583999385593158</v>
      </c>
      <c r="G8" s="34"/>
      <c r="H8" s="33"/>
      <c r="I8" s="33"/>
      <c r="J8" s="40">
        <f>C30*'E Balans VL '!D18/100/3.6*1000000+C30*'E Balans VL '!E18/100/3.6*1000000</f>
        <v>0</v>
      </c>
      <c r="K8" s="33"/>
      <c r="L8" s="33"/>
      <c r="M8" s="33"/>
      <c r="N8" s="33">
        <f>C30*'E Balans VL '!Y18/100/3.6*1000000</f>
        <v>0.84841516338756251</v>
      </c>
      <c r="O8" s="33"/>
      <c r="P8" s="33"/>
      <c r="R8" s="32"/>
    </row>
    <row r="9" spans="1:18">
      <c r="A9" s="6" t="s">
        <v>33</v>
      </c>
      <c r="B9" s="37">
        <f t="shared" si="0"/>
        <v>529.529</v>
      </c>
      <c r="C9" s="33"/>
      <c r="D9" s="37">
        <f>IF( ISERROR(IND_andere_gas_kWh/1000),0,IND_andere_gas_kWh/1000)*0.902</f>
        <v>513.96230600000001</v>
      </c>
      <c r="E9" s="33">
        <f>C31*'E Balans VL '!I19/100/3.6*1000000</f>
        <v>145.59875633862626</v>
      </c>
      <c r="F9" s="33">
        <f>C31*'E Balans VL '!L19/100/3.6*1000000+C31*'E Balans VL '!N19/100/3.6*1000000</f>
        <v>417.36099666179877</v>
      </c>
      <c r="G9" s="34"/>
      <c r="H9" s="33"/>
      <c r="I9" s="33"/>
      <c r="J9" s="40">
        <f>C31*'E Balans VL '!D19/100/3.6*1000000+C31*'E Balans VL '!E19/100/3.6*1000000</f>
        <v>0</v>
      </c>
      <c r="K9" s="33"/>
      <c r="L9" s="33"/>
      <c r="M9" s="33"/>
      <c r="N9" s="33">
        <f>C31*'E Balans VL '!Y19/100/3.6*1000000</f>
        <v>171.42251452666284</v>
      </c>
      <c r="O9" s="33"/>
      <c r="P9" s="33"/>
      <c r="R9" s="32"/>
    </row>
    <row r="10" spans="1:18">
      <c r="A10" s="6" t="s">
        <v>41</v>
      </c>
      <c r="B10" s="37">
        <f t="shared" si="0"/>
        <v>230.18700000000001</v>
      </c>
      <c r="C10" s="33"/>
      <c r="D10" s="37">
        <f>IF( ISERROR(IND_voed_gas_kWh/1000),0,IND_voed_gas_kWh/1000)*0.902</f>
        <v>24.842884000000002</v>
      </c>
      <c r="E10" s="33">
        <f>C32*'E Balans VL '!I20/100/3.6*1000000</f>
        <v>2.3466296542581149</v>
      </c>
      <c r="F10" s="33">
        <f>C32*'E Balans VL '!L20/100/3.6*1000000+C32*'E Balans VL '!N20/100/3.6*1000000</f>
        <v>434.82180331928879</v>
      </c>
      <c r="G10" s="34"/>
      <c r="H10" s="33"/>
      <c r="I10" s="33"/>
      <c r="J10" s="40">
        <f>C32*'E Balans VL '!D20/100/3.6*1000000+C32*'E Balans VL '!E20/100/3.6*1000000</f>
        <v>5.5091280852739253</v>
      </c>
      <c r="K10" s="33"/>
      <c r="L10" s="33"/>
      <c r="M10" s="33"/>
      <c r="N10" s="33">
        <f>C32*'E Balans VL '!Y20/100/3.6*1000000</f>
        <v>121.33506329112309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458.56900000000002</v>
      </c>
      <c r="C12" s="33"/>
      <c r="D12" s="37">
        <f>IF( ISERROR(IND_min_gas_kWh/1000),0,IND_min_gas_kWh/1000)*0.902</f>
        <v>0</v>
      </c>
      <c r="E12" s="33">
        <f>C34*'E Balans VL '!I22/100/3.6*1000000</f>
        <v>1.3887980659679267</v>
      </c>
      <c r="F12" s="33">
        <f>C34*'E Balans VL '!L22/100/3.6*1000000+C34*'E Balans VL '!N22/100/3.6*1000000</f>
        <v>14.330675498325935</v>
      </c>
      <c r="G12" s="34"/>
      <c r="H12" s="33"/>
      <c r="I12" s="33"/>
      <c r="J12" s="40">
        <f>C34*'E Balans VL '!D22/100/3.6*1000000+C34*'E Balans VL '!E22/100/3.6*1000000</f>
        <v>0.67995602992750481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30.350999999999999</v>
      </c>
      <c r="C15" s="33"/>
      <c r="D15" s="37">
        <f>IF( ISERROR(IND_rest_gas_kWh/1000),0,IND_rest_gas_kWh/1000)*0.902</f>
        <v>118.8385</v>
      </c>
      <c r="E15" s="33">
        <f>C37*'E Balans VL '!I15/100/3.6*1000000</f>
        <v>1.5440497721895847</v>
      </c>
      <c r="F15" s="33">
        <f>C37*'E Balans VL '!L15/100/3.6*1000000+C37*'E Balans VL '!N15/100/3.6*1000000</f>
        <v>6.9181348325519982</v>
      </c>
      <c r="G15" s="34"/>
      <c r="H15" s="33"/>
      <c r="I15" s="33"/>
      <c r="J15" s="40">
        <f>C37*'E Balans VL '!D15/100/3.6*1000000+C37*'E Balans VL '!E15/100/3.6*1000000</f>
        <v>0.12733247178244461</v>
      </c>
      <c r="K15" s="33"/>
      <c r="L15" s="33"/>
      <c r="M15" s="33"/>
      <c r="N15" s="33">
        <f>C37*'E Balans VL '!Y15/100/3.6*1000000</f>
        <v>5.7024636490057414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1282.4070000000002</v>
      </c>
      <c r="C18" s="21">
        <f>C5+C16</f>
        <v>0</v>
      </c>
      <c r="D18" s="21">
        <f>MAX((D5+D16),0)</f>
        <v>657.64368999999999</v>
      </c>
      <c r="E18" s="21">
        <f>MAX((E5+E16),0)</f>
        <v>151.7234037650741</v>
      </c>
      <c r="F18" s="21">
        <f>MAX((F5+F16),0)</f>
        <v>884.01560969755872</v>
      </c>
      <c r="G18" s="21"/>
      <c r="H18" s="21"/>
      <c r="I18" s="21"/>
      <c r="J18" s="21">
        <f>MAX((J5+J16),0)</f>
        <v>6.3164165869838742</v>
      </c>
      <c r="K18" s="21"/>
      <c r="L18" s="21">
        <f>MAX((L5+L16),0)</f>
        <v>0</v>
      </c>
      <c r="M18" s="21"/>
      <c r="N18" s="21">
        <f>MAX((N5+N16),0)</f>
        <v>299.30845663017919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0.19236904371960861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246.69540824933216</v>
      </c>
      <c r="C22" s="23">
        <f ca="1">C18*C20</f>
        <v>0</v>
      </c>
      <c r="D22" s="23">
        <f>D18*D20</f>
        <v>132.84402538000001</v>
      </c>
      <c r="E22" s="23">
        <f>E18*E20</f>
        <v>34.441212654671823</v>
      </c>
      <c r="F22" s="23">
        <f>F18*F20</f>
        <v>236.03216778924818</v>
      </c>
      <c r="G22" s="23"/>
      <c r="H22" s="23"/>
      <c r="I22" s="23"/>
      <c r="J22" s="23">
        <f>J18*J20</f>
        <v>2.2360114717922914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33.771000000000001</v>
      </c>
      <c r="C30" s="39">
        <f>IF(ISERROR(B30*3.6/1000000/'E Balans VL '!Z18*100),0,B30*3.6/1000000/'E Balans VL '!Z18*100)</f>
        <v>4.7268145689920204E-3</v>
      </c>
      <c r="D30" s="237" t="s">
        <v>692</v>
      </c>
    </row>
    <row r="31" spans="1:18">
      <c r="A31" s="6" t="s">
        <v>33</v>
      </c>
      <c r="B31" s="37">
        <f>IF( ISERROR(IND_ander_ele_kWh/1000),0,IND_ander_ele_kWh/1000)</f>
        <v>529.529</v>
      </c>
      <c r="C31" s="39">
        <f>IF(ISERROR(B31*3.6/1000000/'E Balans VL '!Z19*100),0,B31*3.6/1000000/'E Balans VL '!Z19*100)</f>
        <v>2.3177398428191758E-2</v>
      </c>
      <c r="D31" s="237" t="s">
        <v>692</v>
      </c>
    </row>
    <row r="32" spans="1:18">
      <c r="A32" s="171" t="s">
        <v>41</v>
      </c>
      <c r="B32" s="37">
        <f>IF( ISERROR(IND_voed_ele_kWh/1000),0,IND_voed_ele_kWh/1000)</f>
        <v>230.18700000000001</v>
      </c>
      <c r="C32" s="39">
        <f>IF(ISERROR(B32*3.6/1000000/'E Balans VL '!Z20*100),0,B32*3.6/1000000/'E Balans VL '!Z20*100)</f>
        <v>5.6986657066780549E-2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458.56900000000002</v>
      </c>
      <c r="C34" s="39">
        <f>IF(ISERROR(B34*3.6/1000000/'E Balans VL '!Z22*100),0,B34*3.6/1000000/'E Balans VL '!Z22*100)</f>
        <v>1.3012317359028405E-2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30.350999999999999</v>
      </c>
      <c r="C37" s="39">
        <f>IF(ISERROR(B37*3.6/1000000/'E Balans VL '!Z15*100),0,B37*3.6/1000000/'E Balans VL '!Z15*100)</f>
        <v>2.250474686889106E-4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709.48800000000006</v>
      </c>
      <c r="C5" s="17">
        <f>'Eigen informatie GS &amp; warmtenet'!B60</f>
        <v>0</v>
      </c>
      <c r="D5" s="30">
        <f>IF(ISERROR(SUM(LB_lb_gas_kWh,LB_rest_gas_kWh)/1000),0,SUM(LB_lb_gas_kWh,LB_rest_gas_kWh)/1000)*0.902</f>
        <v>105.841582</v>
      </c>
      <c r="E5" s="17">
        <f>B17*'E Balans VL '!I25/3.6*1000000/100</f>
        <v>6.5715750168900016</v>
      </c>
      <c r="F5" s="17">
        <f>B17*('E Balans VL '!L25/3.6*1000000+'E Balans VL '!N25/3.6*1000000)/100</f>
        <v>1800.1062133252992</v>
      </c>
      <c r="G5" s="18"/>
      <c r="H5" s="17"/>
      <c r="I5" s="17"/>
      <c r="J5" s="17">
        <f>('E Balans VL '!D25+'E Balans VL '!E25)/3.6*1000000*landbouw!B17/100</f>
        <v>108.77242830918919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709.48800000000006</v>
      </c>
      <c r="C8" s="21">
        <f>C5+C6</f>
        <v>0</v>
      </c>
      <c r="D8" s="21">
        <f>MAX((D5+D6),0)</f>
        <v>105.841582</v>
      </c>
      <c r="E8" s="21">
        <f>MAX((E5+E6),0)</f>
        <v>6.5715750168900016</v>
      </c>
      <c r="F8" s="21">
        <f>MAX((F5+F6),0)</f>
        <v>1800.1062133252992</v>
      </c>
      <c r="G8" s="21"/>
      <c r="H8" s="21"/>
      <c r="I8" s="21"/>
      <c r="J8" s="21">
        <f>MAX((J5+J6),0)</f>
        <v>108.77242830918919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0.19236904371960861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136.48352809053767</v>
      </c>
      <c r="C12" s="23">
        <f ca="1">C8*C10</f>
        <v>0</v>
      </c>
      <c r="D12" s="23">
        <f>D8*D10</f>
        <v>21.379999564000002</v>
      </c>
      <c r="E12" s="23">
        <f>E8*E10</f>
        <v>1.4917475288340305</v>
      </c>
      <c r="F12" s="23">
        <f>F8*F10</f>
        <v>480.62835895785491</v>
      </c>
      <c r="G12" s="23"/>
      <c r="H12" s="23"/>
      <c r="I12" s="23"/>
      <c r="J12" s="23">
        <f>J8*J10</f>
        <v>38.505439621452972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0.10087414985410253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179.89878158125188</v>
      </c>
      <c r="C26" s="247">
        <f>B26*'GWP N2O_CH4'!B5</f>
        <v>3777.8744132062893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41.938809495596452</v>
      </c>
      <c r="C27" s="247">
        <f>B27*'GWP N2O_CH4'!B5</f>
        <v>880.71499940752551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2.6897525585044444</v>
      </c>
      <c r="C28" s="247">
        <f>B28*'GWP N2O_CH4'!B4</f>
        <v>833.82329313637774</v>
      </c>
      <c r="D28" s="50"/>
    </row>
    <row r="29" spans="1:4">
      <c r="A29" s="41" t="s">
        <v>277</v>
      </c>
      <c r="B29" s="247">
        <f>B34*'ha_N2O bodem landbouw'!B4</f>
        <v>15.086494909356192</v>
      </c>
      <c r="C29" s="247">
        <f>B29*'GWP N2O_CH4'!B4</f>
        <v>4676.8134219004196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3.383635024705435E-3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4.1313665851582566E-5</v>
      </c>
      <c r="C5" s="464" t="s">
        <v>211</v>
      </c>
      <c r="D5" s="449">
        <f>SUM(D6:D11)</f>
        <v>1.1867035310670659E-4</v>
      </c>
      <c r="E5" s="449">
        <f>SUM(E6:E11)</f>
        <v>7.460168123234101E-4</v>
      </c>
      <c r="F5" s="462" t="s">
        <v>211</v>
      </c>
      <c r="G5" s="449">
        <f>SUM(G6:G11)</f>
        <v>0.2293635854596251</v>
      </c>
      <c r="H5" s="449">
        <f>SUM(H6:H11)</f>
        <v>4.4604764308962257E-2</v>
      </c>
      <c r="I5" s="464" t="s">
        <v>211</v>
      </c>
      <c r="J5" s="464" t="s">
        <v>211</v>
      </c>
      <c r="K5" s="464" t="s">
        <v>211</v>
      </c>
      <c r="L5" s="464" t="s">
        <v>211</v>
      </c>
      <c r="M5" s="449">
        <f>SUM(M6:M11)</f>
        <v>1.4640741742012237E-2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2.8318208988118087E-5</v>
      </c>
      <c r="C6" s="450"/>
      <c r="D6" s="893">
        <f>vkm_2011_GW_PW*SUMIFS(TableVerdeelsleutelVkm[CNG],TableVerdeelsleutelVkm[Voertuigtype],"Lichte voertuigen")*SUMIFS(TableECFTransport[EnergieConsumptieFactor (PJ per km)],TableECFTransport[Index],CONCATENATE($A6,"_CNG_CNG"))</f>
        <v>6.5503135095176731E-5</v>
      </c>
      <c r="E6" s="893">
        <f>vkm_2011_GW_PW*SUMIFS(TableVerdeelsleutelVkm[LPG],TableVerdeelsleutelVkm[Voertuigtype],"Lichte voertuigen")*SUMIFS(TableECFTransport[EnergieConsumptieFactor (PJ per km)],TableECFTransport[Index],CONCATENATE($A6,"_LPG_LPG"))</f>
        <v>4.2651685950450429E-4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8.8605722075212251E-2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2.4976121961047551E-2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5.8943089049482977E-3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6.0668356187027969E-2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2.0747476027291373E-5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3.5100082892683456E-3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1.2995456863464481E-5</v>
      </c>
      <c r="C8" s="450"/>
      <c r="D8" s="452">
        <f>vkm_2011_NGW_PW*SUMIFS(TableVerdeelsleutelVkm[CNG],TableVerdeelsleutelVkm[Voertuigtype],"Lichte voertuigen")*SUMIFS(TableECFTransport[EnergieConsumptieFactor (PJ per km)],TableECFTransport[Index],CONCATENATE($A8,"_CNG_CNG"))</f>
        <v>5.3167218011529864E-5</v>
      </c>
      <c r="E8" s="452">
        <f>vkm_2011_NGW_PW*SUMIFS(TableVerdeelsleutelVkm[LPG],TableVerdeelsleutelVkm[Voertuigtype],"Lichte voertuigen")*SUMIFS(TableECFTransport[EnergieConsumptieFactor (PJ per km)],TableECFTransport[Index],CONCATENATE($A8,"_LPG_LPG"))</f>
        <v>3.1949995281890586E-4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6.2046421471385414E-2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1.9602056339524696E-2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4.1925399825896792E-3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1.8043085725999459E-2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5.8385323627163446E-6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1.043884565205913E-3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11.47601829210627</v>
      </c>
      <c r="C14" s="21"/>
      <c r="D14" s="21">
        <f t="shared" ref="D14:M14" si="0">((D5)*10^9/3600)+D12</f>
        <v>32.963986974085167</v>
      </c>
      <c r="E14" s="21">
        <f t="shared" si="0"/>
        <v>207.22689231205834</v>
      </c>
      <c r="F14" s="21"/>
      <c r="G14" s="21">
        <f t="shared" si="0"/>
        <v>63712.10707211808</v>
      </c>
      <c r="H14" s="21">
        <f t="shared" si="0"/>
        <v>12390.212308045071</v>
      </c>
      <c r="I14" s="21"/>
      <c r="J14" s="21"/>
      <c r="K14" s="21"/>
      <c r="L14" s="21"/>
      <c r="M14" s="21">
        <f t="shared" si="0"/>
        <v>4066.87270611451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0.19236904371960861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2.2076306645612194</v>
      </c>
      <c r="C18" s="23"/>
      <c r="D18" s="23">
        <f t="shared" ref="D18:M18" si="1">D14*D16</f>
        <v>6.6587253687652037</v>
      </c>
      <c r="E18" s="23">
        <f t="shared" si="1"/>
        <v>47.040504554837241</v>
      </c>
      <c r="F18" s="23"/>
      <c r="G18" s="23">
        <f t="shared" si="1"/>
        <v>17011.132588255528</v>
      </c>
      <c r="H18" s="23">
        <f t="shared" si="1"/>
        <v>3085.1628647032226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1.304977717221373E-2</v>
      </c>
      <c r="H50" s="321">
        <f t="shared" si="2"/>
        <v>0</v>
      </c>
      <c r="I50" s="321">
        <f t="shared" si="2"/>
        <v>0</v>
      </c>
      <c r="J50" s="321">
        <f t="shared" si="2"/>
        <v>0</v>
      </c>
      <c r="K50" s="321">
        <f t="shared" si="2"/>
        <v>0</v>
      </c>
      <c r="L50" s="321">
        <f t="shared" si="2"/>
        <v>0</v>
      </c>
      <c r="M50" s="321">
        <f t="shared" si="2"/>
        <v>7.4419074997586433E-4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1.304977717221373E-2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7.4419074997586433E-4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3624.9381033927025</v>
      </c>
      <c r="H54" s="21">
        <f t="shared" si="3"/>
        <v>0</v>
      </c>
      <c r="I54" s="21">
        <f t="shared" si="3"/>
        <v>0</v>
      </c>
      <c r="J54" s="21">
        <f t="shared" si="3"/>
        <v>0</v>
      </c>
      <c r="K54" s="21">
        <f t="shared" si="3"/>
        <v>0</v>
      </c>
      <c r="L54" s="21">
        <f t="shared" si="3"/>
        <v>0</v>
      </c>
      <c r="M54" s="21">
        <f t="shared" si="3"/>
        <v>206.71965277107341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0.19236904371960861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967.8584736058516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14515.775</v>
      </c>
      <c r="D10" s="1025">
        <f ca="1">tertiair!C16</f>
        <v>0</v>
      </c>
      <c r="E10" s="1025">
        <f ca="1">tertiair!D16</f>
        <v>7566.0436500000014</v>
      </c>
      <c r="F10" s="1025">
        <f>tertiair!E16</f>
        <v>95.844939753376735</v>
      </c>
      <c r="G10" s="1025">
        <f ca="1">tertiair!F16</f>
        <v>1719.6967104761454</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38.133333333333333</v>
      </c>
      <c r="R10" s="701">
        <f ca="1">SUM(C10:Q10)</f>
        <v>23940.183633562858</v>
      </c>
      <c r="S10" s="67"/>
    </row>
    <row r="11" spans="1:19" s="474" customFormat="1">
      <c r="A11" s="810" t="s">
        <v>225</v>
      </c>
      <c r="B11" s="815"/>
      <c r="C11" s="1025">
        <f>huishoudens!B8</f>
        <v>26846.141846403843</v>
      </c>
      <c r="D11" s="1025">
        <f>huishoudens!C8</f>
        <v>0</v>
      </c>
      <c r="E11" s="1025">
        <f>huishoudens!D8</f>
        <v>30354.129256</v>
      </c>
      <c r="F11" s="1025">
        <f>huishoudens!E8</f>
        <v>2562.1288293608413</v>
      </c>
      <c r="G11" s="1025">
        <f>huishoudens!F8</f>
        <v>59091.874523464649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6246.1674607262603</v>
      </c>
      <c r="P11" s="1025">
        <f>huishoudens!O8</f>
        <v>254.82333333333335</v>
      </c>
      <c r="Q11" s="1026">
        <f>huishoudens!P8</f>
        <v>762.66666666666674</v>
      </c>
      <c r="R11" s="701">
        <f>SUM(C11:Q11)</f>
        <v>126117.93191595559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1282.4070000000002</v>
      </c>
      <c r="D13" s="1025">
        <f>industrie!C18</f>
        <v>0</v>
      </c>
      <c r="E13" s="1025">
        <f>industrie!D18</f>
        <v>657.64368999999999</v>
      </c>
      <c r="F13" s="1025">
        <f>industrie!E18</f>
        <v>151.7234037650741</v>
      </c>
      <c r="G13" s="1025">
        <f>industrie!F18</f>
        <v>884.01560969755872</v>
      </c>
      <c r="H13" s="1025">
        <f>industrie!G18</f>
        <v>0</v>
      </c>
      <c r="I13" s="1025">
        <f>industrie!H18</f>
        <v>0</v>
      </c>
      <c r="J13" s="1025">
        <f>industrie!I18</f>
        <v>0</v>
      </c>
      <c r="K13" s="1025">
        <f>industrie!J18</f>
        <v>6.3164165869838742</v>
      </c>
      <c r="L13" s="1025">
        <f>industrie!K18</f>
        <v>0</v>
      </c>
      <c r="M13" s="1025">
        <f>industrie!L18</f>
        <v>0</v>
      </c>
      <c r="N13" s="1025">
        <f>industrie!M18</f>
        <v>0</v>
      </c>
      <c r="O13" s="1025">
        <f>industrie!N18</f>
        <v>299.30845663017919</v>
      </c>
      <c r="P13" s="1025">
        <f>industrie!O18</f>
        <v>0</v>
      </c>
      <c r="Q13" s="1026">
        <f>industrie!P18</f>
        <v>0</v>
      </c>
      <c r="R13" s="701">
        <f>SUM(C13:Q13)</f>
        <v>3281.414576679796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42644.323846403844</v>
      </c>
      <c r="D16" s="733">
        <f t="shared" ref="D16:R16" ca="1" si="0">SUM(D9:D15)</f>
        <v>0</v>
      </c>
      <c r="E16" s="733">
        <f t="shared" ca="1" si="0"/>
        <v>38577.816595999997</v>
      </c>
      <c r="F16" s="733">
        <f t="shared" si="0"/>
        <v>2809.6971728792923</v>
      </c>
      <c r="G16" s="733">
        <f t="shared" ca="1" si="0"/>
        <v>61695.586843638346</v>
      </c>
      <c r="H16" s="733">
        <f t="shared" si="0"/>
        <v>0</v>
      </c>
      <c r="I16" s="733">
        <f t="shared" si="0"/>
        <v>0</v>
      </c>
      <c r="J16" s="733">
        <f t="shared" si="0"/>
        <v>0</v>
      </c>
      <c r="K16" s="733">
        <f t="shared" si="0"/>
        <v>6.3164165869838742</v>
      </c>
      <c r="L16" s="733">
        <f t="shared" si="0"/>
        <v>0</v>
      </c>
      <c r="M16" s="733">
        <f t="shared" ca="1" si="0"/>
        <v>0</v>
      </c>
      <c r="N16" s="733">
        <f t="shared" si="0"/>
        <v>0</v>
      </c>
      <c r="O16" s="733">
        <f t="shared" ca="1" si="0"/>
        <v>6545.4759173564398</v>
      </c>
      <c r="P16" s="733">
        <f t="shared" si="0"/>
        <v>259.51333333333338</v>
      </c>
      <c r="Q16" s="733">
        <f t="shared" si="0"/>
        <v>800.80000000000007</v>
      </c>
      <c r="R16" s="733">
        <f t="shared" ca="1" si="0"/>
        <v>153339.53012619822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3624.9381033927025</v>
      </c>
      <c r="I19" s="1025">
        <f>transport!H54</f>
        <v>0</v>
      </c>
      <c r="J19" s="1025">
        <f>transport!I54</f>
        <v>0</v>
      </c>
      <c r="K19" s="1025">
        <f>transport!J54</f>
        <v>0</v>
      </c>
      <c r="L19" s="1025">
        <f>transport!K54</f>
        <v>0</v>
      </c>
      <c r="M19" s="1025">
        <f>transport!L54</f>
        <v>0</v>
      </c>
      <c r="N19" s="1025">
        <f>transport!M54</f>
        <v>206.71965277107341</v>
      </c>
      <c r="O19" s="1025">
        <f>transport!N54</f>
        <v>0</v>
      </c>
      <c r="P19" s="1025">
        <f>transport!O54</f>
        <v>0</v>
      </c>
      <c r="Q19" s="1026">
        <f>transport!P54</f>
        <v>0</v>
      </c>
      <c r="R19" s="701">
        <f>SUM(C19:Q19)</f>
        <v>3831.657756163776</v>
      </c>
      <c r="S19" s="67"/>
    </row>
    <row r="20" spans="1:19" s="474" customFormat="1">
      <c r="A20" s="810" t="s">
        <v>307</v>
      </c>
      <c r="B20" s="815"/>
      <c r="C20" s="1025">
        <f>transport!B14</f>
        <v>11.47601829210627</v>
      </c>
      <c r="D20" s="1025">
        <f>transport!C14</f>
        <v>0</v>
      </c>
      <c r="E20" s="1025">
        <f>transport!D14</f>
        <v>32.963986974085167</v>
      </c>
      <c r="F20" s="1025">
        <f>transport!E14</f>
        <v>207.22689231205834</v>
      </c>
      <c r="G20" s="1025">
        <f>transport!F14</f>
        <v>0</v>
      </c>
      <c r="H20" s="1025">
        <f>transport!G14</f>
        <v>63712.10707211808</v>
      </c>
      <c r="I20" s="1025">
        <f>transport!H14</f>
        <v>12390.212308045071</v>
      </c>
      <c r="J20" s="1025">
        <f>transport!I14</f>
        <v>0</v>
      </c>
      <c r="K20" s="1025">
        <f>transport!J14</f>
        <v>0</v>
      </c>
      <c r="L20" s="1025">
        <f>transport!K14</f>
        <v>0</v>
      </c>
      <c r="M20" s="1025">
        <f>transport!L14</f>
        <v>0</v>
      </c>
      <c r="N20" s="1025">
        <f>transport!M14</f>
        <v>4066.87270611451</v>
      </c>
      <c r="O20" s="1025">
        <f>transport!N14</f>
        <v>0</v>
      </c>
      <c r="P20" s="1025">
        <f>transport!O14</f>
        <v>0</v>
      </c>
      <c r="Q20" s="1026">
        <f>transport!P14</f>
        <v>0</v>
      </c>
      <c r="R20" s="701">
        <f>SUM(C20:Q20)</f>
        <v>80420.858983855913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11.47601829210627</v>
      </c>
      <c r="D22" s="813">
        <f t="shared" ref="D22:R22" si="1">SUM(D18:D21)</f>
        <v>0</v>
      </c>
      <c r="E22" s="813">
        <f t="shared" si="1"/>
        <v>32.963986974085167</v>
      </c>
      <c r="F22" s="813">
        <f t="shared" si="1"/>
        <v>207.22689231205834</v>
      </c>
      <c r="G22" s="813">
        <f t="shared" si="1"/>
        <v>0</v>
      </c>
      <c r="H22" s="813">
        <f t="shared" si="1"/>
        <v>67337.045175510779</v>
      </c>
      <c r="I22" s="813">
        <f t="shared" si="1"/>
        <v>12390.212308045071</v>
      </c>
      <c r="J22" s="813">
        <f t="shared" si="1"/>
        <v>0</v>
      </c>
      <c r="K22" s="813">
        <f t="shared" si="1"/>
        <v>0</v>
      </c>
      <c r="L22" s="813">
        <f t="shared" si="1"/>
        <v>0</v>
      </c>
      <c r="M22" s="813">
        <f t="shared" si="1"/>
        <v>0</v>
      </c>
      <c r="N22" s="813">
        <f t="shared" si="1"/>
        <v>4273.5923588855831</v>
      </c>
      <c r="O22" s="813">
        <f t="shared" si="1"/>
        <v>0</v>
      </c>
      <c r="P22" s="813">
        <f t="shared" si="1"/>
        <v>0</v>
      </c>
      <c r="Q22" s="813">
        <f t="shared" si="1"/>
        <v>0</v>
      </c>
      <c r="R22" s="813">
        <f t="shared" si="1"/>
        <v>84252.516740019695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709.48800000000006</v>
      </c>
      <c r="D24" s="1025">
        <f>+landbouw!C8</f>
        <v>0</v>
      </c>
      <c r="E24" s="1025">
        <f>+landbouw!D8</f>
        <v>105.841582</v>
      </c>
      <c r="F24" s="1025">
        <f>+landbouw!E8</f>
        <v>6.5715750168900016</v>
      </c>
      <c r="G24" s="1025">
        <f>+landbouw!F8</f>
        <v>1800.1062133252992</v>
      </c>
      <c r="H24" s="1025">
        <f>+landbouw!G8</f>
        <v>0</v>
      </c>
      <c r="I24" s="1025">
        <f>+landbouw!H8</f>
        <v>0</v>
      </c>
      <c r="J24" s="1025">
        <f>+landbouw!I8</f>
        <v>0</v>
      </c>
      <c r="K24" s="1025">
        <f>+landbouw!J8</f>
        <v>108.77242830918919</v>
      </c>
      <c r="L24" s="1025">
        <f>+landbouw!K8</f>
        <v>0</v>
      </c>
      <c r="M24" s="1025">
        <f>+landbouw!L8</f>
        <v>0</v>
      </c>
      <c r="N24" s="1025">
        <f>+landbouw!M8</f>
        <v>0</v>
      </c>
      <c r="O24" s="1025">
        <f>+landbouw!N8</f>
        <v>0</v>
      </c>
      <c r="P24" s="1025">
        <f>+landbouw!O8</f>
        <v>0</v>
      </c>
      <c r="Q24" s="1026">
        <f>+landbouw!P8</f>
        <v>0</v>
      </c>
      <c r="R24" s="701">
        <f>SUM(C24:Q24)</f>
        <v>2730.7797986513788</v>
      </c>
      <c r="S24" s="67"/>
    </row>
    <row r="25" spans="1:19" s="474" customFormat="1" ht="15" thickBot="1">
      <c r="A25" s="832" t="s">
        <v>864</v>
      </c>
      <c r="B25" s="1028"/>
      <c r="C25" s="1029">
        <f>IF(Onbekend_ele_kWh="---",0,Onbekend_ele_kWh)/1000+IF(REST_rest_ele_kWh="---",0,REST_rest_ele_kWh)/1000</f>
        <v>1145.047</v>
      </c>
      <c r="D25" s="1029"/>
      <c r="E25" s="1029">
        <f>IF(onbekend_gas_kWh="---",0,onbekend_gas_kWh)/1000+IF(REST_rest_gas_kWh="---",0,REST_rest_gas_kWh)/1000</f>
        <v>791.62400000000002</v>
      </c>
      <c r="F25" s="1029"/>
      <c r="G25" s="1029"/>
      <c r="H25" s="1029"/>
      <c r="I25" s="1029"/>
      <c r="J25" s="1029"/>
      <c r="K25" s="1029"/>
      <c r="L25" s="1029"/>
      <c r="M25" s="1029"/>
      <c r="N25" s="1029"/>
      <c r="O25" s="1029"/>
      <c r="P25" s="1029"/>
      <c r="Q25" s="1030"/>
      <c r="R25" s="701">
        <f>SUM(C25:Q25)</f>
        <v>1936.671</v>
      </c>
      <c r="S25" s="67"/>
    </row>
    <row r="26" spans="1:19" s="474" customFormat="1" ht="15.75" thickBot="1">
      <c r="A26" s="706" t="s">
        <v>865</v>
      </c>
      <c r="B26" s="818"/>
      <c r="C26" s="813">
        <f>SUM(C24:C25)</f>
        <v>1854.5350000000001</v>
      </c>
      <c r="D26" s="813">
        <f t="shared" ref="D26:R26" si="2">SUM(D24:D25)</f>
        <v>0</v>
      </c>
      <c r="E26" s="813">
        <f t="shared" si="2"/>
        <v>897.46558200000004</v>
      </c>
      <c r="F26" s="813">
        <f t="shared" si="2"/>
        <v>6.5715750168900016</v>
      </c>
      <c r="G26" s="813">
        <f t="shared" si="2"/>
        <v>1800.1062133252992</v>
      </c>
      <c r="H26" s="813">
        <f t="shared" si="2"/>
        <v>0</v>
      </c>
      <c r="I26" s="813">
        <f t="shared" si="2"/>
        <v>0</v>
      </c>
      <c r="J26" s="813">
        <f t="shared" si="2"/>
        <v>0</v>
      </c>
      <c r="K26" s="813">
        <f t="shared" si="2"/>
        <v>108.77242830918919</v>
      </c>
      <c r="L26" s="813">
        <f t="shared" si="2"/>
        <v>0</v>
      </c>
      <c r="M26" s="813">
        <f t="shared" si="2"/>
        <v>0</v>
      </c>
      <c r="N26" s="813">
        <f t="shared" si="2"/>
        <v>0</v>
      </c>
      <c r="O26" s="813">
        <f t="shared" si="2"/>
        <v>0</v>
      </c>
      <c r="P26" s="813">
        <f t="shared" si="2"/>
        <v>0</v>
      </c>
      <c r="Q26" s="813">
        <f t="shared" si="2"/>
        <v>0</v>
      </c>
      <c r="R26" s="813">
        <f t="shared" si="2"/>
        <v>4667.450798651379</v>
      </c>
      <c r="S26" s="67"/>
    </row>
    <row r="27" spans="1:19" s="474" customFormat="1" ht="17.25" thickTop="1" thickBot="1">
      <c r="A27" s="707" t="s">
        <v>116</v>
      </c>
      <c r="B27" s="806"/>
      <c r="C27" s="708">
        <f ca="1">C22+C16+C26</f>
        <v>44510.334864695957</v>
      </c>
      <c r="D27" s="708">
        <f t="shared" ref="D27:R27" ca="1" si="3">D22+D16+D26</f>
        <v>0</v>
      </c>
      <c r="E27" s="708">
        <f t="shared" ca="1" si="3"/>
        <v>39508.24616497408</v>
      </c>
      <c r="F27" s="708">
        <f t="shared" si="3"/>
        <v>3023.4956402082407</v>
      </c>
      <c r="G27" s="708">
        <f t="shared" ca="1" si="3"/>
        <v>63495.693056963646</v>
      </c>
      <c r="H27" s="708">
        <f t="shared" si="3"/>
        <v>67337.045175510779</v>
      </c>
      <c r="I27" s="708">
        <f t="shared" si="3"/>
        <v>12390.212308045071</v>
      </c>
      <c r="J27" s="708">
        <f t="shared" si="3"/>
        <v>0</v>
      </c>
      <c r="K27" s="708">
        <f t="shared" si="3"/>
        <v>115.08884489617307</v>
      </c>
      <c r="L27" s="708">
        <f t="shared" si="3"/>
        <v>0</v>
      </c>
      <c r="M27" s="708">
        <f t="shared" ca="1" si="3"/>
        <v>0</v>
      </c>
      <c r="N27" s="708">
        <f t="shared" si="3"/>
        <v>4273.5923588855831</v>
      </c>
      <c r="O27" s="708">
        <f t="shared" ca="1" si="3"/>
        <v>6545.4759173564398</v>
      </c>
      <c r="P27" s="708">
        <f t="shared" si="3"/>
        <v>259.51333333333338</v>
      </c>
      <c r="Q27" s="708">
        <f t="shared" si="3"/>
        <v>800.80000000000007</v>
      </c>
      <c r="R27" s="708">
        <f t="shared" ca="1" si="3"/>
        <v>242259.4976648693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2792.3857555990016</v>
      </c>
      <c r="D40" s="1025">
        <f ca="1">tertiair!C20</f>
        <v>0</v>
      </c>
      <c r="E40" s="1025">
        <f ca="1">tertiair!D20</f>
        <v>1528.3408173000005</v>
      </c>
      <c r="F40" s="1025">
        <f>tertiair!E20</f>
        <v>21.756801324016518</v>
      </c>
      <c r="G40" s="1025">
        <f ca="1">tertiair!F20</f>
        <v>459.15902169713087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4801.6423959201493</v>
      </c>
    </row>
    <row r="41" spans="1:18">
      <c r="A41" s="823" t="s">
        <v>225</v>
      </c>
      <c r="B41" s="830"/>
      <c r="C41" s="1025">
        <f ca="1">huishoudens!B12</f>
        <v>5164.3666345536749</v>
      </c>
      <c r="D41" s="1025">
        <f ca="1">huishoudens!C12</f>
        <v>0</v>
      </c>
      <c r="E41" s="1025">
        <f>huishoudens!D12</f>
        <v>6131.5341097120008</v>
      </c>
      <c r="F41" s="1025">
        <f>huishoudens!E12</f>
        <v>581.60324426491104</v>
      </c>
      <c r="G41" s="1025">
        <f>huishoudens!F12</f>
        <v>15777.530497765061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27655.034486295648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246.69540824933216</v>
      </c>
      <c r="D43" s="1025">
        <f ca="1">industrie!C22</f>
        <v>0</v>
      </c>
      <c r="E43" s="1025">
        <f>industrie!D22</f>
        <v>132.84402538000001</v>
      </c>
      <c r="F43" s="1025">
        <f>industrie!E22</f>
        <v>34.441212654671823</v>
      </c>
      <c r="G43" s="1025">
        <f>industrie!F22</f>
        <v>236.03216778924818</v>
      </c>
      <c r="H43" s="1025">
        <f>industrie!G22</f>
        <v>0</v>
      </c>
      <c r="I43" s="1025">
        <f>industrie!H22</f>
        <v>0</v>
      </c>
      <c r="J43" s="1025">
        <f>industrie!I22</f>
        <v>0</v>
      </c>
      <c r="K43" s="1025">
        <f>industrie!J22</f>
        <v>2.2360114717922914</v>
      </c>
      <c r="L43" s="1025">
        <f>industrie!K22</f>
        <v>0</v>
      </c>
      <c r="M43" s="1025">
        <f>industrie!L22</f>
        <v>0</v>
      </c>
      <c r="N43" s="1025">
        <f>industrie!M22</f>
        <v>0</v>
      </c>
      <c r="O43" s="1025">
        <f>industrie!N22</f>
        <v>0</v>
      </c>
      <c r="P43" s="1025">
        <f>industrie!O22</f>
        <v>0</v>
      </c>
      <c r="Q43" s="775">
        <f>industrie!P22</f>
        <v>0</v>
      </c>
      <c r="R43" s="850">
        <f t="shared" ca="1" si="4"/>
        <v>652.24882554504438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8203.4477984020086</v>
      </c>
      <c r="D46" s="733">
        <f t="shared" ref="D46:Q46" ca="1" si="5">SUM(D39:D45)</f>
        <v>0</v>
      </c>
      <c r="E46" s="733">
        <f t="shared" ca="1" si="5"/>
        <v>7792.7189523920015</v>
      </c>
      <c r="F46" s="733">
        <f t="shared" si="5"/>
        <v>637.80125824359936</v>
      </c>
      <c r="G46" s="733">
        <f t="shared" ca="1" si="5"/>
        <v>16472.72168725144</v>
      </c>
      <c r="H46" s="733">
        <f t="shared" si="5"/>
        <v>0</v>
      </c>
      <c r="I46" s="733">
        <f t="shared" si="5"/>
        <v>0</v>
      </c>
      <c r="J46" s="733">
        <f t="shared" si="5"/>
        <v>0</v>
      </c>
      <c r="K46" s="733">
        <f t="shared" si="5"/>
        <v>2.2360114717922914</v>
      </c>
      <c r="L46" s="733">
        <f t="shared" si="5"/>
        <v>0</v>
      </c>
      <c r="M46" s="733">
        <f t="shared" ca="1" si="5"/>
        <v>0</v>
      </c>
      <c r="N46" s="733">
        <f t="shared" si="5"/>
        <v>0</v>
      </c>
      <c r="O46" s="733">
        <f t="shared" ca="1" si="5"/>
        <v>0</v>
      </c>
      <c r="P46" s="733">
        <f t="shared" si="5"/>
        <v>0</v>
      </c>
      <c r="Q46" s="733">
        <f t="shared" si="5"/>
        <v>0</v>
      </c>
      <c r="R46" s="733">
        <f ca="1">SUM(R39:R45)</f>
        <v>33108.925707760842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967.8584736058516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967.8584736058516</v>
      </c>
    </row>
    <row r="50" spans="1:18">
      <c r="A50" s="826" t="s">
        <v>307</v>
      </c>
      <c r="B50" s="836"/>
      <c r="C50" s="704">
        <f ca="1">transport!B18</f>
        <v>2.2076306645612194</v>
      </c>
      <c r="D50" s="704">
        <f>transport!C18</f>
        <v>0</v>
      </c>
      <c r="E50" s="704">
        <f>transport!D18</f>
        <v>6.6587253687652037</v>
      </c>
      <c r="F50" s="704">
        <f>transport!E18</f>
        <v>47.040504554837241</v>
      </c>
      <c r="G50" s="704">
        <f>transport!F18</f>
        <v>0</v>
      </c>
      <c r="H50" s="704">
        <f>transport!G18</f>
        <v>17011.132588255528</v>
      </c>
      <c r="I50" s="704">
        <f>transport!H18</f>
        <v>3085.1628647032226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20152.202313546914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2.2076306645612194</v>
      </c>
      <c r="D52" s="733">
        <f t="shared" ref="D52:Q52" ca="1" si="6">SUM(D48:D51)</f>
        <v>0</v>
      </c>
      <c r="E52" s="733">
        <f t="shared" si="6"/>
        <v>6.6587253687652037</v>
      </c>
      <c r="F52" s="733">
        <f t="shared" si="6"/>
        <v>47.040504554837241</v>
      </c>
      <c r="G52" s="733">
        <f t="shared" si="6"/>
        <v>0</v>
      </c>
      <c r="H52" s="733">
        <f t="shared" si="6"/>
        <v>17978.991061861379</v>
      </c>
      <c r="I52" s="733">
        <f t="shared" si="6"/>
        <v>3085.1628647032226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21120.060787152765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136.48352809053767</v>
      </c>
      <c r="D54" s="704">
        <f ca="1">+landbouw!C12</f>
        <v>0</v>
      </c>
      <c r="E54" s="704">
        <f>+landbouw!D12</f>
        <v>21.379999564000002</v>
      </c>
      <c r="F54" s="704">
        <f>+landbouw!E12</f>
        <v>1.4917475288340305</v>
      </c>
      <c r="G54" s="704">
        <f>+landbouw!F12</f>
        <v>480.62835895785491</v>
      </c>
      <c r="H54" s="704">
        <f>+landbouw!G12</f>
        <v>0</v>
      </c>
      <c r="I54" s="704">
        <f>+landbouw!H12</f>
        <v>0</v>
      </c>
      <c r="J54" s="704">
        <f>+landbouw!I12</f>
        <v>0</v>
      </c>
      <c r="K54" s="704">
        <f>+landbouw!J12</f>
        <v>38.505439621452972</v>
      </c>
      <c r="L54" s="704">
        <f>+landbouw!K12</f>
        <v>0</v>
      </c>
      <c r="M54" s="704">
        <f>+landbouw!L12</f>
        <v>0</v>
      </c>
      <c r="N54" s="704">
        <f>+landbouw!M12</f>
        <v>0</v>
      </c>
      <c r="O54" s="704">
        <f>+landbouw!N12</f>
        <v>0</v>
      </c>
      <c r="P54" s="704">
        <f>+landbouw!O12</f>
        <v>0</v>
      </c>
      <c r="Q54" s="705">
        <f>+landbouw!P12</f>
        <v>0</v>
      </c>
      <c r="R54" s="732">
        <f ca="1">SUM(C54:Q54)</f>
        <v>678.4890737626796</v>
      </c>
    </row>
    <row r="55" spans="1:18" ht="15" thickBot="1">
      <c r="A55" s="826" t="s">
        <v>864</v>
      </c>
      <c r="B55" s="836"/>
      <c r="C55" s="704">
        <f ca="1">C25*'EF ele_warmte'!B12</f>
        <v>220.27159640400669</v>
      </c>
      <c r="D55" s="704"/>
      <c r="E55" s="704">
        <f>E25*EF_CO2_aardgas</f>
        <v>159.90804800000001</v>
      </c>
      <c r="F55" s="704"/>
      <c r="G55" s="704"/>
      <c r="H55" s="704"/>
      <c r="I55" s="704"/>
      <c r="J55" s="704"/>
      <c r="K55" s="704"/>
      <c r="L55" s="704"/>
      <c r="M55" s="704"/>
      <c r="N55" s="704"/>
      <c r="O55" s="704"/>
      <c r="P55" s="704"/>
      <c r="Q55" s="705"/>
      <c r="R55" s="732">
        <f ca="1">SUM(C55:Q55)</f>
        <v>380.17964440400669</v>
      </c>
    </row>
    <row r="56" spans="1:18" ht="15.75" thickBot="1">
      <c r="A56" s="824" t="s">
        <v>865</v>
      </c>
      <c r="B56" s="837"/>
      <c r="C56" s="733">
        <f ca="1">SUM(C54:C55)</f>
        <v>356.75512449454436</v>
      </c>
      <c r="D56" s="733">
        <f t="shared" ref="D56:Q56" ca="1" si="7">SUM(D54:D55)</f>
        <v>0</v>
      </c>
      <c r="E56" s="733">
        <f t="shared" si="7"/>
        <v>181.28804756400001</v>
      </c>
      <c r="F56" s="733">
        <f t="shared" si="7"/>
        <v>1.4917475288340305</v>
      </c>
      <c r="G56" s="733">
        <f t="shared" si="7"/>
        <v>480.62835895785491</v>
      </c>
      <c r="H56" s="733">
        <f t="shared" si="7"/>
        <v>0</v>
      </c>
      <c r="I56" s="733">
        <f t="shared" si="7"/>
        <v>0</v>
      </c>
      <c r="J56" s="733">
        <f t="shared" si="7"/>
        <v>0</v>
      </c>
      <c r="K56" s="733">
        <f t="shared" si="7"/>
        <v>38.505439621452972</v>
      </c>
      <c r="L56" s="733">
        <f t="shared" si="7"/>
        <v>0</v>
      </c>
      <c r="M56" s="733">
        <f t="shared" si="7"/>
        <v>0</v>
      </c>
      <c r="N56" s="733">
        <f t="shared" si="7"/>
        <v>0</v>
      </c>
      <c r="O56" s="733">
        <f t="shared" si="7"/>
        <v>0</v>
      </c>
      <c r="P56" s="733">
        <f t="shared" si="7"/>
        <v>0</v>
      </c>
      <c r="Q56" s="734">
        <f t="shared" si="7"/>
        <v>0</v>
      </c>
      <c r="R56" s="735">
        <f ca="1">SUM(R54:R55)</f>
        <v>1058.6687181666862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8562.4105535611143</v>
      </c>
      <c r="D61" s="741">
        <f t="shared" ref="D61:Q61" ca="1" si="8">D46+D52+D56</f>
        <v>0</v>
      </c>
      <c r="E61" s="741">
        <f t="shared" ca="1" si="8"/>
        <v>7980.6657253247668</v>
      </c>
      <c r="F61" s="741">
        <f t="shared" si="8"/>
        <v>686.33351032727057</v>
      </c>
      <c r="G61" s="741">
        <f t="shared" ca="1" si="8"/>
        <v>16953.350046209296</v>
      </c>
      <c r="H61" s="741">
        <f t="shared" si="8"/>
        <v>17978.991061861379</v>
      </c>
      <c r="I61" s="741">
        <f t="shared" si="8"/>
        <v>3085.1628647032226</v>
      </c>
      <c r="J61" s="741">
        <f t="shared" si="8"/>
        <v>0</v>
      </c>
      <c r="K61" s="741">
        <f t="shared" si="8"/>
        <v>40.74145109324526</v>
      </c>
      <c r="L61" s="741">
        <f t="shared" si="8"/>
        <v>0</v>
      </c>
      <c r="M61" s="741">
        <f t="shared" ca="1" si="8"/>
        <v>0</v>
      </c>
      <c r="N61" s="741">
        <f t="shared" si="8"/>
        <v>0</v>
      </c>
      <c r="O61" s="741">
        <f t="shared" ca="1" si="8"/>
        <v>0</v>
      </c>
      <c r="P61" s="741">
        <f t="shared" si="8"/>
        <v>0</v>
      </c>
      <c r="Q61" s="741">
        <f t="shared" si="8"/>
        <v>0</v>
      </c>
      <c r="R61" s="741">
        <f ca="1">R46+R52+R56</f>
        <v>55287.655213080296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0.19236904371960858</v>
      </c>
      <c r="D63" s="782">
        <f t="shared" ca="1" si="9"/>
        <v>0</v>
      </c>
      <c r="E63" s="1036">
        <f t="shared" ca="1" si="9"/>
        <v>0.20200000000000007</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4951.8957083108162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814.5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2327.1428571428573</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5766.3957083108162</v>
      </c>
      <c r="C78" s="756">
        <f>SUM(C72:C77)</f>
        <v>0</v>
      </c>
      <c r="D78" s="757">
        <f t="shared" ref="D78:H78" si="10">SUM(D76:D77)</f>
        <v>0</v>
      </c>
      <c r="E78" s="757">
        <f t="shared" si="10"/>
        <v>0</v>
      </c>
      <c r="F78" s="757">
        <f t="shared" si="10"/>
        <v>0</v>
      </c>
      <c r="G78" s="757">
        <f t="shared" si="10"/>
        <v>0</v>
      </c>
      <c r="H78" s="757">
        <f t="shared" si="10"/>
        <v>0</v>
      </c>
      <c r="I78" s="757">
        <f>SUM(I76:I77)</f>
        <v>0</v>
      </c>
      <c r="J78" s="757">
        <f>SUM(J76:J77)</f>
        <v>2327.1428571428573</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4951.8957083108162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814.5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5766.3957083108162</v>
      </c>
      <c r="C10" s="584">
        <f t="shared" ref="C10:L10" si="0">SUM(C8:C9)</f>
        <v>0</v>
      </c>
      <c r="D10" s="584">
        <f t="shared" si="0"/>
        <v>0</v>
      </c>
      <c r="E10" s="584">
        <f t="shared" si="0"/>
        <v>0</v>
      </c>
      <c r="F10" s="584">
        <f t="shared" si="0"/>
        <v>0</v>
      </c>
      <c r="G10" s="584">
        <f t="shared" si="0"/>
        <v>0</v>
      </c>
      <c r="H10" s="584">
        <f t="shared" si="0"/>
        <v>0</v>
      </c>
      <c r="I10" s="584">
        <f t="shared" si="0"/>
        <v>0</v>
      </c>
      <c r="J10" s="584">
        <f t="shared" si="0"/>
        <v>2327.1428571428573</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24066</v>
      </c>
      <c r="C64" s="797">
        <v>3210</v>
      </c>
      <c r="D64" s="656" t="s">
        <v>907</v>
      </c>
      <c r="E64" s="656" t="s">
        <v>908</v>
      </c>
      <c r="F64" s="656" t="s">
        <v>909</v>
      </c>
      <c r="G64" s="656" t="s">
        <v>910</v>
      </c>
      <c r="H64" s="656" t="s">
        <v>911</v>
      </c>
      <c r="I64" s="656" t="s">
        <v>912</v>
      </c>
      <c r="J64" s="796">
        <v>34344</v>
      </c>
      <c r="K64" s="796">
        <v>37803</v>
      </c>
      <c r="L64" s="656" t="s">
        <v>913</v>
      </c>
      <c r="M64" s="656">
        <v>181</v>
      </c>
      <c r="N64" s="656">
        <v>814.5</v>
      </c>
      <c r="O64" s="656">
        <v>0</v>
      </c>
      <c r="P64" s="656">
        <v>0</v>
      </c>
      <c r="Q64" s="656">
        <v>0</v>
      </c>
      <c r="R64" s="656">
        <v>2327.1428571428573</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181</v>
      </c>
      <c r="N89" s="611">
        <f t="shared" ref="N89:W89" si="5">SUM(N64:N88)</f>
        <v>814.5</v>
      </c>
      <c r="O89" s="611">
        <f t="shared" si="5"/>
        <v>0</v>
      </c>
      <c r="P89" s="611">
        <f t="shared" si="5"/>
        <v>0</v>
      </c>
      <c r="Q89" s="611">
        <f t="shared" si="5"/>
        <v>0</v>
      </c>
      <c r="R89" s="611">
        <f t="shared" si="5"/>
        <v>2327.1428571428573</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181</v>
      </c>
      <c r="N91" s="611">
        <f t="shared" si="7"/>
        <v>814.5</v>
      </c>
      <c r="O91" s="611">
        <f t="shared" si="7"/>
        <v>0</v>
      </c>
      <c r="P91" s="611">
        <f t="shared" si="7"/>
        <v>0</v>
      </c>
      <c r="Q91" s="611">
        <f t="shared" si="7"/>
        <v>0</v>
      </c>
      <c r="R91" s="611">
        <f t="shared" si="7"/>
        <v>2327.1428571428573</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26846.141846403843</v>
      </c>
      <c r="C4" s="478">
        <f>huishoudens!C8</f>
        <v>0</v>
      </c>
      <c r="D4" s="478">
        <f>huishoudens!D8</f>
        <v>30354.129256</v>
      </c>
      <c r="E4" s="478">
        <f>huishoudens!E8</f>
        <v>2562.1288293608413</v>
      </c>
      <c r="F4" s="478">
        <f>huishoudens!F8</f>
        <v>59091.874523464649</v>
      </c>
      <c r="G4" s="478">
        <f>huishoudens!G8</f>
        <v>0</v>
      </c>
      <c r="H4" s="478">
        <f>huishoudens!H8</f>
        <v>0</v>
      </c>
      <c r="I4" s="478">
        <f>huishoudens!I8</f>
        <v>0</v>
      </c>
      <c r="J4" s="478">
        <f>huishoudens!J8</f>
        <v>0</v>
      </c>
      <c r="K4" s="478">
        <f>huishoudens!K8</f>
        <v>0</v>
      </c>
      <c r="L4" s="478">
        <f>huishoudens!L8</f>
        <v>0</v>
      </c>
      <c r="M4" s="478">
        <f>huishoudens!M8</f>
        <v>0</v>
      </c>
      <c r="N4" s="478">
        <f>huishoudens!N8</f>
        <v>6246.1674607262603</v>
      </c>
      <c r="O4" s="478">
        <f>huishoudens!O8</f>
        <v>254.82333333333335</v>
      </c>
      <c r="P4" s="479">
        <f>huishoudens!P8</f>
        <v>762.66666666666674</v>
      </c>
      <c r="Q4" s="480">
        <f>SUM(B4:P4)</f>
        <v>126117.93191595559</v>
      </c>
    </row>
    <row r="5" spans="1:17">
      <c r="A5" s="477" t="s">
        <v>156</v>
      </c>
      <c r="B5" s="478">
        <f ca="1">tertiair!B16</f>
        <v>13633.31</v>
      </c>
      <c r="C5" s="478">
        <f ca="1">tertiair!C16</f>
        <v>0</v>
      </c>
      <c r="D5" s="478">
        <f ca="1">tertiair!D16</f>
        <v>7566.0436500000014</v>
      </c>
      <c r="E5" s="478">
        <f>tertiair!E16</f>
        <v>95.844939753376735</v>
      </c>
      <c r="F5" s="478">
        <f ca="1">tertiair!F16</f>
        <v>1719.6967104761454</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38.133333333333333</v>
      </c>
      <c r="Q5" s="477">
        <f t="shared" ref="Q5:Q14" ca="1" si="0">SUM(B5:P5)</f>
        <v>23057.718633562858</v>
      </c>
    </row>
    <row r="6" spans="1:17">
      <c r="A6" s="477" t="s">
        <v>194</v>
      </c>
      <c r="B6" s="478">
        <f>'openbare verlichting'!B8</f>
        <v>882.46500000000003</v>
      </c>
      <c r="C6" s="478"/>
      <c r="D6" s="478"/>
      <c r="E6" s="478"/>
      <c r="F6" s="478"/>
      <c r="G6" s="478"/>
      <c r="H6" s="478"/>
      <c r="I6" s="478"/>
      <c r="J6" s="478"/>
      <c r="K6" s="478"/>
      <c r="L6" s="478"/>
      <c r="M6" s="478"/>
      <c r="N6" s="478"/>
      <c r="O6" s="478"/>
      <c r="P6" s="479"/>
      <c r="Q6" s="477">
        <f t="shared" si="0"/>
        <v>882.46500000000003</v>
      </c>
    </row>
    <row r="7" spans="1:17">
      <c r="A7" s="477" t="s">
        <v>112</v>
      </c>
      <c r="B7" s="478">
        <f>landbouw!B8</f>
        <v>709.48800000000006</v>
      </c>
      <c r="C7" s="478">
        <f>landbouw!C8</f>
        <v>0</v>
      </c>
      <c r="D7" s="478">
        <f>landbouw!D8</f>
        <v>105.841582</v>
      </c>
      <c r="E7" s="478">
        <f>landbouw!E8</f>
        <v>6.5715750168900016</v>
      </c>
      <c r="F7" s="478">
        <f>landbouw!F8</f>
        <v>1800.1062133252992</v>
      </c>
      <c r="G7" s="478">
        <f>landbouw!G8</f>
        <v>0</v>
      </c>
      <c r="H7" s="478">
        <f>landbouw!H8</f>
        <v>0</v>
      </c>
      <c r="I7" s="478">
        <f>landbouw!I8</f>
        <v>0</v>
      </c>
      <c r="J7" s="478">
        <f>landbouw!J8</f>
        <v>108.77242830918919</v>
      </c>
      <c r="K7" s="478">
        <f>landbouw!K8</f>
        <v>0</v>
      </c>
      <c r="L7" s="478">
        <f>landbouw!L8</f>
        <v>0</v>
      </c>
      <c r="M7" s="478">
        <f>landbouw!M8</f>
        <v>0</v>
      </c>
      <c r="N7" s="478">
        <f>landbouw!N8</f>
        <v>0</v>
      </c>
      <c r="O7" s="478">
        <f>landbouw!O8</f>
        <v>0</v>
      </c>
      <c r="P7" s="479">
        <f>landbouw!P8</f>
        <v>0</v>
      </c>
      <c r="Q7" s="477">
        <f t="shared" si="0"/>
        <v>2730.7797986513788</v>
      </c>
    </row>
    <row r="8" spans="1:17">
      <c r="A8" s="477" t="s">
        <v>650</v>
      </c>
      <c r="B8" s="478">
        <f>industrie!B18</f>
        <v>1282.4070000000002</v>
      </c>
      <c r="C8" s="478">
        <f>industrie!C18</f>
        <v>0</v>
      </c>
      <c r="D8" s="478">
        <f>industrie!D18</f>
        <v>657.64368999999999</v>
      </c>
      <c r="E8" s="478">
        <f>industrie!E18</f>
        <v>151.7234037650741</v>
      </c>
      <c r="F8" s="478">
        <f>industrie!F18</f>
        <v>884.01560969755872</v>
      </c>
      <c r="G8" s="478">
        <f>industrie!G18</f>
        <v>0</v>
      </c>
      <c r="H8" s="478">
        <f>industrie!H18</f>
        <v>0</v>
      </c>
      <c r="I8" s="478">
        <f>industrie!I18</f>
        <v>0</v>
      </c>
      <c r="J8" s="478">
        <f>industrie!J18</f>
        <v>6.3164165869838742</v>
      </c>
      <c r="K8" s="478">
        <f>industrie!K18</f>
        <v>0</v>
      </c>
      <c r="L8" s="478">
        <f>industrie!L18</f>
        <v>0</v>
      </c>
      <c r="M8" s="478">
        <f>industrie!M18</f>
        <v>0</v>
      </c>
      <c r="N8" s="478">
        <f>industrie!N18</f>
        <v>299.30845663017919</v>
      </c>
      <c r="O8" s="478">
        <f>industrie!O18</f>
        <v>0</v>
      </c>
      <c r="P8" s="479">
        <f>industrie!P18</f>
        <v>0</v>
      </c>
      <c r="Q8" s="477">
        <f t="shared" si="0"/>
        <v>3281.414576679796</v>
      </c>
    </row>
    <row r="9" spans="1:17" s="483" customFormat="1">
      <c r="A9" s="481" t="s">
        <v>571</v>
      </c>
      <c r="B9" s="482">
        <f>transport!B14</f>
        <v>11.47601829210627</v>
      </c>
      <c r="C9" s="482">
        <f>transport!C14</f>
        <v>0</v>
      </c>
      <c r="D9" s="482">
        <f>transport!D14</f>
        <v>32.963986974085167</v>
      </c>
      <c r="E9" s="482">
        <f>transport!E14</f>
        <v>207.22689231205834</v>
      </c>
      <c r="F9" s="482">
        <f>transport!F14</f>
        <v>0</v>
      </c>
      <c r="G9" s="482">
        <f>transport!G14</f>
        <v>63712.10707211808</v>
      </c>
      <c r="H9" s="482">
        <f>transport!H14</f>
        <v>12390.212308045071</v>
      </c>
      <c r="I9" s="482">
        <f>transport!I14</f>
        <v>0</v>
      </c>
      <c r="J9" s="482">
        <f>transport!J14</f>
        <v>0</v>
      </c>
      <c r="K9" s="482">
        <f>transport!K14</f>
        <v>0</v>
      </c>
      <c r="L9" s="482">
        <f>transport!L14</f>
        <v>0</v>
      </c>
      <c r="M9" s="482">
        <f>transport!M14</f>
        <v>4066.87270611451</v>
      </c>
      <c r="N9" s="482">
        <f>transport!N14</f>
        <v>0</v>
      </c>
      <c r="O9" s="482">
        <f>transport!O14</f>
        <v>0</v>
      </c>
      <c r="P9" s="482">
        <f>transport!P14</f>
        <v>0</v>
      </c>
      <c r="Q9" s="481">
        <f>SUM(B9:P9)</f>
        <v>80420.858983855913</v>
      </c>
    </row>
    <row r="10" spans="1:17">
      <c r="A10" s="477" t="s">
        <v>561</v>
      </c>
      <c r="B10" s="478">
        <f>transport!B54</f>
        <v>0</v>
      </c>
      <c r="C10" s="478">
        <f>transport!C54</f>
        <v>0</v>
      </c>
      <c r="D10" s="478">
        <f>transport!D54</f>
        <v>0</v>
      </c>
      <c r="E10" s="478">
        <f>transport!E54</f>
        <v>0</v>
      </c>
      <c r="F10" s="478">
        <f>transport!F54</f>
        <v>0</v>
      </c>
      <c r="G10" s="478">
        <f>transport!G54</f>
        <v>3624.9381033927025</v>
      </c>
      <c r="H10" s="478">
        <f>transport!H54</f>
        <v>0</v>
      </c>
      <c r="I10" s="478">
        <f>transport!I54</f>
        <v>0</v>
      </c>
      <c r="J10" s="478">
        <f>transport!J54</f>
        <v>0</v>
      </c>
      <c r="K10" s="478">
        <f>transport!K54</f>
        <v>0</v>
      </c>
      <c r="L10" s="478">
        <f>transport!L54</f>
        <v>0</v>
      </c>
      <c r="M10" s="478">
        <f>transport!M54</f>
        <v>206.71965277107341</v>
      </c>
      <c r="N10" s="478">
        <f>transport!N54</f>
        <v>0</v>
      </c>
      <c r="O10" s="478">
        <f>transport!O54</f>
        <v>0</v>
      </c>
      <c r="P10" s="479">
        <f>transport!P54</f>
        <v>0</v>
      </c>
      <c r="Q10" s="477">
        <f t="shared" si="0"/>
        <v>3831.657756163776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1145.047</v>
      </c>
      <c r="C14" s="485"/>
      <c r="D14" s="485">
        <f>'SEAP template'!E25</f>
        <v>791.62400000000002</v>
      </c>
      <c r="E14" s="485"/>
      <c r="F14" s="485"/>
      <c r="G14" s="485"/>
      <c r="H14" s="485"/>
      <c r="I14" s="485"/>
      <c r="J14" s="485"/>
      <c r="K14" s="485"/>
      <c r="L14" s="485"/>
      <c r="M14" s="485"/>
      <c r="N14" s="485"/>
      <c r="O14" s="485"/>
      <c r="P14" s="486"/>
      <c r="Q14" s="477">
        <f t="shared" si="0"/>
        <v>1936.671</v>
      </c>
    </row>
    <row r="15" spans="1:17" s="487" customFormat="1">
      <c r="A15" s="1051" t="s">
        <v>565</v>
      </c>
      <c r="B15" s="991">
        <f ca="1">SUM(B4:B14)</f>
        <v>44510.334864695942</v>
      </c>
      <c r="C15" s="991">
        <f t="shared" ref="C15:Q15" ca="1" si="1">SUM(C4:C14)</f>
        <v>0</v>
      </c>
      <c r="D15" s="991">
        <f t="shared" ca="1" si="1"/>
        <v>39508.246164974087</v>
      </c>
      <c r="E15" s="991">
        <f t="shared" si="1"/>
        <v>3023.4956402082407</v>
      </c>
      <c r="F15" s="991">
        <f t="shared" ca="1" si="1"/>
        <v>63495.693056963646</v>
      </c>
      <c r="G15" s="991">
        <f t="shared" si="1"/>
        <v>67337.045175510779</v>
      </c>
      <c r="H15" s="991">
        <f t="shared" si="1"/>
        <v>12390.212308045071</v>
      </c>
      <c r="I15" s="991">
        <f t="shared" si="1"/>
        <v>0</v>
      </c>
      <c r="J15" s="991">
        <f t="shared" si="1"/>
        <v>115.08884489617307</v>
      </c>
      <c r="K15" s="991">
        <f t="shared" si="1"/>
        <v>0</v>
      </c>
      <c r="L15" s="991">
        <f t="shared" ca="1" si="1"/>
        <v>0</v>
      </c>
      <c r="M15" s="991">
        <f t="shared" si="1"/>
        <v>4273.5923588855831</v>
      </c>
      <c r="N15" s="991">
        <f t="shared" ca="1" si="1"/>
        <v>6545.4759173564398</v>
      </c>
      <c r="O15" s="991">
        <f t="shared" si="1"/>
        <v>259.51333333333338</v>
      </c>
      <c r="P15" s="991">
        <f t="shared" si="1"/>
        <v>800.80000000000007</v>
      </c>
      <c r="Q15" s="991">
        <f t="shared" ca="1" si="1"/>
        <v>242259.4976648693</v>
      </c>
    </row>
    <row r="17" spans="1:17">
      <c r="A17" s="488" t="s">
        <v>566</v>
      </c>
      <c r="B17" s="787">
        <f ca="1">huishoudens!B10</f>
        <v>0.19236904371960861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5164.3666345536749</v>
      </c>
      <c r="C22" s="478">
        <f t="shared" ref="C22:C32" ca="1" si="3">C4*$C$17</f>
        <v>0</v>
      </c>
      <c r="D22" s="478">
        <f t="shared" ref="D22:D32" si="4">D4*$D$17</f>
        <v>6131.5341097120008</v>
      </c>
      <c r="E22" s="478">
        <f t="shared" ref="E22:E32" si="5">E4*$E$17</f>
        <v>581.60324426491104</v>
      </c>
      <c r="F22" s="478">
        <f t="shared" ref="F22:F32" si="6">F4*$F$17</f>
        <v>15777.530497765061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27655.034486295648</v>
      </c>
    </row>
    <row r="23" spans="1:17">
      <c r="A23" s="477" t="s">
        <v>156</v>
      </c>
      <c r="B23" s="478">
        <f t="shared" ca="1" si="2"/>
        <v>2622.6268074329773</v>
      </c>
      <c r="C23" s="478">
        <f t="shared" ca="1" si="3"/>
        <v>0</v>
      </c>
      <c r="D23" s="478">
        <f t="shared" ca="1" si="4"/>
        <v>1528.3408173000005</v>
      </c>
      <c r="E23" s="478">
        <f t="shared" si="5"/>
        <v>21.756801324016518</v>
      </c>
      <c r="F23" s="478">
        <f t="shared" ca="1" si="6"/>
        <v>459.15902169713087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4631.883447754125</v>
      </c>
    </row>
    <row r="24" spans="1:17">
      <c r="A24" s="477" t="s">
        <v>194</v>
      </c>
      <c r="B24" s="478">
        <f t="shared" ca="1" si="2"/>
        <v>169.75894816602442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169.75894816602442</v>
      </c>
    </row>
    <row r="25" spans="1:17">
      <c r="A25" s="477" t="s">
        <v>112</v>
      </c>
      <c r="B25" s="478">
        <f t="shared" ca="1" si="2"/>
        <v>136.48352809053767</v>
      </c>
      <c r="C25" s="478">
        <f t="shared" ca="1" si="3"/>
        <v>0</v>
      </c>
      <c r="D25" s="478">
        <f t="shared" si="4"/>
        <v>21.379999564000002</v>
      </c>
      <c r="E25" s="478">
        <f t="shared" si="5"/>
        <v>1.4917475288340305</v>
      </c>
      <c r="F25" s="478">
        <f t="shared" si="6"/>
        <v>480.62835895785491</v>
      </c>
      <c r="G25" s="478">
        <f t="shared" si="7"/>
        <v>0</v>
      </c>
      <c r="H25" s="478">
        <f t="shared" si="8"/>
        <v>0</v>
      </c>
      <c r="I25" s="478">
        <f t="shared" si="9"/>
        <v>0</v>
      </c>
      <c r="J25" s="478">
        <f t="shared" si="10"/>
        <v>38.505439621452972</v>
      </c>
      <c r="K25" s="478">
        <f t="shared" si="11"/>
        <v>0</v>
      </c>
      <c r="L25" s="478">
        <f t="shared" si="12"/>
        <v>0</v>
      </c>
      <c r="M25" s="478">
        <f t="shared" si="13"/>
        <v>0</v>
      </c>
      <c r="N25" s="478">
        <f t="shared" si="14"/>
        <v>0</v>
      </c>
      <c r="O25" s="478">
        <f t="shared" si="15"/>
        <v>0</v>
      </c>
      <c r="P25" s="479">
        <f t="shared" si="16"/>
        <v>0</v>
      </c>
      <c r="Q25" s="477">
        <f t="shared" ca="1" si="17"/>
        <v>678.4890737626796</v>
      </c>
    </row>
    <row r="26" spans="1:17">
      <c r="A26" s="477" t="s">
        <v>650</v>
      </c>
      <c r="B26" s="478">
        <f t="shared" ca="1" si="2"/>
        <v>246.69540824933216</v>
      </c>
      <c r="C26" s="478">
        <f t="shared" ca="1" si="3"/>
        <v>0</v>
      </c>
      <c r="D26" s="478">
        <f t="shared" si="4"/>
        <v>132.84402538000001</v>
      </c>
      <c r="E26" s="478">
        <f t="shared" si="5"/>
        <v>34.441212654671823</v>
      </c>
      <c r="F26" s="478">
        <f t="shared" si="6"/>
        <v>236.03216778924818</v>
      </c>
      <c r="G26" s="478">
        <f t="shared" si="7"/>
        <v>0</v>
      </c>
      <c r="H26" s="478">
        <f t="shared" si="8"/>
        <v>0</v>
      </c>
      <c r="I26" s="478">
        <f t="shared" si="9"/>
        <v>0</v>
      </c>
      <c r="J26" s="478">
        <f t="shared" si="10"/>
        <v>2.2360114717922914</v>
      </c>
      <c r="K26" s="478">
        <f t="shared" si="11"/>
        <v>0</v>
      </c>
      <c r="L26" s="478">
        <f t="shared" si="12"/>
        <v>0</v>
      </c>
      <c r="M26" s="478">
        <f t="shared" si="13"/>
        <v>0</v>
      </c>
      <c r="N26" s="478">
        <f t="shared" si="14"/>
        <v>0</v>
      </c>
      <c r="O26" s="478">
        <f t="shared" si="15"/>
        <v>0</v>
      </c>
      <c r="P26" s="479">
        <f t="shared" si="16"/>
        <v>0</v>
      </c>
      <c r="Q26" s="477">
        <f t="shared" ca="1" si="17"/>
        <v>652.24882554504438</v>
      </c>
    </row>
    <row r="27" spans="1:17" s="483" customFormat="1">
      <c r="A27" s="481" t="s">
        <v>571</v>
      </c>
      <c r="B27" s="781">
        <f t="shared" ca="1" si="2"/>
        <v>2.2076306645612194</v>
      </c>
      <c r="C27" s="482">
        <f t="shared" ca="1" si="3"/>
        <v>0</v>
      </c>
      <c r="D27" s="482">
        <f t="shared" si="4"/>
        <v>6.6587253687652037</v>
      </c>
      <c r="E27" s="482">
        <f t="shared" si="5"/>
        <v>47.040504554837241</v>
      </c>
      <c r="F27" s="482">
        <f t="shared" si="6"/>
        <v>0</v>
      </c>
      <c r="G27" s="482">
        <f t="shared" si="7"/>
        <v>17011.132588255528</v>
      </c>
      <c r="H27" s="482">
        <f t="shared" si="8"/>
        <v>3085.1628647032226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20152.202313546914</v>
      </c>
    </row>
    <row r="28" spans="1:17">
      <c r="A28" s="477" t="s">
        <v>561</v>
      </c>
      <c r="B28" s="478">
        <f t="shared" ca="1" si="2"/>
        <v>0</v>
      </c>
      <c r="C28" s="478">
        <f t="shared" ca="1" si="3"/>
        <v>0</v>
      </c>
      <c r="D28" s="478">
        <f t="shared" si="4"/>
        <v>0</v>
      </c>
      <c r="E28" s="478">
        <f t="shared" si="5"/>
        <v>0</v>
      </c>
      <c r="F28" s="478">
        <f t="shared" si="6"/>
        <v>0</v>
      </c>
      <c r="G28" s="478">
        <f t="shared" si="7"/>
        <v>967.8584736058516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967.8584736058516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220.27159640400669</v>
      </c>
      <c r="C32" s="478">
        <f t="shared" ca="1" si="3"/>
        <v>0</v>
      </c>
      <c r="D32" s="478">
        <f t="shared" si="4"/>
        <v>159.90804800000001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380.17964440400669</v>
      </c>
    </row>
    <row r="33" spans="1:17" s="487" customFormat="1">
      <c r="A33" s="1051" t="s">
        <v>565</v>
      </c>
      <c r="B33" s="991">
        <f ca="1">SUM(B22:B32)</f>
        <v>8562.4105535611143</v>
      </c>
      <c r="C33" s="991">
        <f t="shared" ref="C33:Q33" ca="1" si="18">SUM(C22:C32)</f>
        <v>0</v>
      </c>
      <c r="D33" s="991">
        <f t="shared" ca="1" si="18"/>
        <v>7980.6657253247668</v>
      </c>
      <c r="E33" s="991">
        <f t="shared" si="18"/>
        <v>686.33351032727069</v>
      </c>
      <c r="F33" s="991">
        <f t="shared" ca="1" si="18"/>
        <v>16953.350046209296</v>
      </c>
      <c r="G33" s="991">
        <f t="shared" si="18"/>
        <v>17978.991061861379</v>
      </c>
      <c r="H33" s="991">
        <f t="shared" si="18"/>
        <v>3085.1628647032226</v>
      </c>
      <c r="I33" s="991">
        <f t="shared" si="18"/>
        <v>0</v>
      </c>
      <c r="J33" s="991">
        <f t="shared" si="18"/>
        <v>40.74145109324526</v>
      </c>
      <c r="K33" s="991">
        <f t="shared" si="18"/>
        <v>0</v>
      </c>
      <c r="L33" s="991">
        <f t="shared" ca="1" si="18"/>
        <v>0</v>
      </c>
      <c r="M33" s="991">
        <f t="shared" si="18"/>
        <v>0</v>
      </c>
      <c r="N33" s="991">
        <f t="shared" ca="1" si="18"/>
        <v>0</v>
      </c>
      <c r="O33" s="991">
        <f t="shared" si="18"/>
        <v>0</v>
      </c>
      <c r="P33" s="991">
        <f t="shared" si="18"/>
        <v>0</v>
      </c>
      <c r="Q33" s="991">
        <f t="shared" ca="1" si="18"/>
        <v>55287.655213080296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4951.8957083108162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814.5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2327.1428571428573</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5766.3957083108162</v>
      </c>
      <c r="C10" s="1072">
        <f>SUM(C4:C9)</f>
        <v>0</v>
      </c>
      <c r="D10" s="1072">
        <f t="shared" ref="D10:H10" si="0">SUM(D8:D9)</f>
        <v>0</v>
      </c>
      <c r="E10" s="1072">
        <f t="shared" si="0"/>
        <v>0</v>
      </c>
      <c r="F10" s="1072">
        <f t="shared" si="0"/>
        <v>0</v>
      </c>
      <c r="G10" s="1072">
        <f t="shared" si="0"/>
        <v>0</v>
      </c>
      <c r="H10" s="1072">
        <f t="shared" si="0"/>
        <v>0</v>
      </c>
      <c r="I10" s="1072">
        <f>SUM(I8:I9)</f>
        <v>0</v>
      </c>
      <c r="J10" s="1072">
        <f>SUM(J8:J9)</f>
        <v>2327.1428571428573</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0.19236904371960861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0.19236904371960861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2019-08-12T08:08:05Z</dcterms:modified>
</cp:coreProperties>
</file>