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<sst xmlns="http://schemas.openxmlformats.org/spreadsheetml/2006/main" count="2428" uniqueCount="913">
  <si>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</si>
  <si>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</si>
  <si>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</si>
  <si>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</si>
  <si>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</si>
  <si>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</si>
  <si>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</si>
  <si>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</si>
  <si>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</si>
  <si>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</si>
  <si>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</si>
  <si>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</si>
  <si>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</si>
  <si>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</si>
  <si>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</si>
  <si>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</si>
  <si>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</si>
  <si>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</si>
  <si>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</si>
  <si>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</si>
  <si>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</si>
  <si>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</si>
  <si>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</si>
  <si>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</si>
  <si>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</si>
  <si>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</si>
  <si>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</si>
  <si>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</si>
  <si>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</si>
  <si>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</si>
  <si>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</si>
  <si>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</si>
  <si>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</si>
  <si>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</si>
  <si>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</si>
  <si>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</si>
  <si>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</si>
  <si>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</si>
  <si>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</si>
  <si>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</si>
  <si>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</si>
  <si>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</si>
  <si>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</si>
  <si>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</si>
  <si>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</si>
  <si>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</si>
  <si>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</si>
  <si>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</si>
  <si>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</si>
  <si>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</si>
  <si>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</si>
  <si>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</si>
  <si>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</si>
  <si>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</si>
  <si>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</si>
  <si>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</si>
  <si>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</si>
  <si>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</si>
  <si>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</si>
  <si>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</si>
  <si>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</si>
  <si>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</si>
  <si>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</si>
  <si>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</si>
  <si>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</si>
  <si>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</si>
  <si>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</si>
  <si>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</si>
  <si>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</si>
  <si>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</si>
  <si>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</si>
  <si>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</si>
  <si>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</si>
  <si>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</si>
  <si>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</si>
  <si>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</si>
  <si>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</si>
  <si>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</si>
  <si>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</si>
  <si>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</si>
  <si>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</si>
  <si>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</si>
  <si>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</si>
  <si>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</si>
  <si>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</si>
  <si>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</si>
  <si>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</si>
  <si>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</si>
  <si>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</si>
  <si>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</si>
  <si>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</si>
  <si>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</si>
  <si>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</si>
  <si>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</si>
  <si>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</si>
  <si>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</si>
  <si>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</si>
  <si>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</si>
  <si>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</si>
  <si>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</si>
  <si>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</si>
  <si>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</si>
  <si>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</si>
  <si>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</si>
  <si>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</si>
  <si>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</si>
  <si>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</si>
  <si>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</si>
  <si>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</si>
  <si>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</si>
  <si>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</si>
  <si>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</si>
  <si>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</si>
  <si>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</si>
  <si>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</si>
  <si>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</si>
  <si>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</si>
  <si>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</si>
  <si>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</si>
  <si>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</si>
  <si>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</si>
  <si>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</si>
  <si>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</si>
  <si>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</si>
  <si>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</si>
  <si>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</si>
  <si>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</si>
  <si>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</si>
  <si>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</si>
  <si>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</si>
  <si>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</si>
  <si>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</si>
  <si>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</si>
  <si>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</si>
  <si>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</si>
  <si>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</si>
  <si>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</si>
  <si>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</si>
  <si>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</si>
  <si>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</si>
  <si>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</si>
  <si>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</si>
  <si>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</si>
  <si>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</si>
  <si>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</si>
  <si>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</si>
  <si>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</si>
  <si>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</si>
  <si>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</si>
  <si>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</si>
  <si>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</si>
  <si>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</si>
  <si>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</si>
  <si>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</si>
  <si>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</si>
  <si>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</si>
  <si>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</si>
  <si>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</si>
  <si>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</si>
  <si>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</si>
  <si>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</si>
  <si>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</si>
  <si>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</si>
  <si>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</si>
  <si>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</si>
  <si>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</si>
  <si>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</si>
  <si>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</si>
  <si>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</si>
  <si>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</si>
  <si>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</si>
  <si>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</si>
  <si>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</si>
  <si>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</si>
  <si>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</si>
  <si>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</si>
  <si>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</si>
  <si>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</si>
  <si>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</si>
  <si>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</si>
  <si>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</si>
  <si>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</si>
  <si>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</si>
  <si>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</si>
  <si>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</si>
  <si>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</si>
  <si>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</si>
  <si>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</si>
  <si>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</si>
  <si>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</si>
  <si>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</si>
  <si>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</si>
  <si>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</si>
  <si>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</si>
  <si>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</si>
  <si>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</si>
  <si>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</si>
  <si>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</si>
  <si>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</si>
  <si>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</si>
  <si>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</si>
  <si>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</si>
  <si>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</si>
  <si>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</si>
  <si>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</si>
  <si>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</si>
  <si>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</si>
  <si>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</si>
  <si>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</si>
  <si>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</si>
  <si>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</si>
  <si>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</si>
  <si>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</si>
  <si>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</si>
  <si>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</si>
  <si>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</si>
  <si>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</si>
  <si>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</si>
  <si>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</si>
  <si>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</si>
  <si>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</si>
  <si>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</si>
  <si>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</si>
  <si>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</si>
  <si>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</si>
  <si>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</si>
  <si>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</si>
  <si>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</si>
  <si>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</si>
  <si>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</si>
  <si>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</si>
  <si>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</si>
  <si>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</si>
  <si>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</si>
  <si>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</si>
  <si>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</si>
  <si>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</si>
  <si>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</si>
  <si>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</si>
  <si>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</si>
  <si>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</si>
  <si>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</si>
  <si>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</si>
  <si>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</si>
  <si>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</si>
  <si>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</si>
  <si>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</si>
  <si>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</si>
  <si>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</si>
  <si>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</si>
  <si>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</si>
  <si>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</si>
  <si>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</si>
  <si>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</si>
  <si>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</si>
  <si>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</si>
  <si>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</si>
  <si>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</si>
  <si>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</si>
  <si>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</si>
  <si>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</si>
  <si>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</si>
  <si>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</si>
  <si>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</si>
  <si>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</si>
  <si>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</si>
  <si>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</si>
  <si>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</si>
  <si>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</si>
  <si>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</si>
  <si>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</si>
  <si>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</si>
  <si>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</si>
  <si>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</si>
  <si>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</si>
  <si>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</si>
  <si>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</si>
  <si>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</si>
  <si>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</si>
  <si>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</si>
  <si>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</si>
  <si>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</si>
  <si>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</si>
  <si>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</si>
  <si>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</si>
  <si>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</si>
  <si>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</si>
  <si>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</si>
  <si>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</si>
  <si>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</si>
  <si>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</si>
  <si>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</si>
  <si>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</si>
  <si>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</si>
  <si>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</si>
  <si>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</si>
  <si>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</si>
  <si>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</si>
  <si>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</si>
  <si>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</si>
  <si>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</si>
  <si>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</si>
  <si>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</si>
  <si>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</si>
  <si>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</si>
  <si>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</si>
  <si>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</si>
  <si>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</si>
  <si>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</si>
  <si>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</si>
  <si>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</si>
  <si>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</si>
  <si>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</si>
  <si>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</si>
  <si>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</si>
  <si>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</si>
  <si>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</si>
  <si>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</si>
  <si>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</si>
  <si>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</si>
  <si>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</si>
  <si>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</si>
  <si>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</si>
  <si>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</si>
  <si>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</si>
  <si>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</si>
  <si>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</si>
  <si>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</si>
  <si>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</si>
  <si>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</si>
  <si>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</si>
  <si>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</si>
  <si>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</si>
  <si>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</si>
  <si>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</si>
  <si>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</si>
  <si>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</si>
  <si>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</si>
  <si>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</si>
  <si>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</si>
  <si>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</si>
  <si>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</si>
  <si>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</si>
  <si>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</si>
  <si>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</si>
  <si>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</si>
  <si>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</si>
  <si>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</si>
  <si>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</si>
  <si>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</si>
  <si>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</si>
  <si>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</si>
  <si>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</si>
  <si>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</si>
  <si>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</si>
  <si>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</si>
  <si>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</si>
  <si>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</si>
  <si>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</si>
  <si>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</si>
  <si>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</si>
  <si>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</si>
  <si>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</si>
  <si>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</si>
  <si>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</si>
  <si>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</si>
  <si>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</si>
  <si>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</si>
  <si>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</si>
  <si>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</si>
  <si>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</si>
  <si>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</si>
  <si>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</si>
  <si>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</si>
  <si>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</si>
  <si>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</si>
  <si>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</si>
  <si>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</si>
  <si>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</si>
  <si>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</si>
  <si>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</si>
  <si>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</si>
  <si>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</si>
  <si>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</si>
  <si>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</si>
  <si>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</si>
  <si>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</si>
  <si>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</si>
  <si>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</si>
  <si>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</si>
  <si>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</si>
  <si>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</si>
  <si>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</si>
  <si>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</si>
  <si>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</si>
  <si>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</si>
  <si>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</si>
  <si>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</si>
  <si>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</si>
  <si>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</si>
  <si>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</si>
  <si>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</si>
  <si>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</si>
  <si>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</si>
  <si>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</si>
  <si>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</si>
  <si>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</si>
  <si>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</si>
  <si>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</si>
  <si>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</si>
  <si>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</si>
  <si>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</si>
  <si>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</si>
  <si>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</si>
  <si>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</si>
  <si>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</si>
  <si>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</si>
  <si>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</si>
  <si>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</si>
  <si>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</si>
  <si>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</si>
  <si>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</si>
  <si>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</si>
  <si>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</si>
  <si>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</si>
  <si>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</si>
  <si>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</si>
  <si>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</si>
  <si>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</si>
  <si>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</si>
  <si>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</si>
  <si>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</si>
  <si>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</si>
  <si>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</si>
  <si>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</si>
  <si>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</si>
  <si>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</si>
  <si>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</si>
  <si>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</si>
  <si>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</si>
  <si>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</si>
  <si>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</si>
  <si>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</si>
  <si>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</si>
  <si>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</si>
  <si>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</si>
  <si>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</si>
  <si>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</si>
  <si>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</si>
  <si>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</si>
  <si>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</si>
  <si>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</si>
  <si>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</si>
  <si>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</si>
  <si>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</si>
  <si>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</si>
  <si>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</si>
  <si>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</si>
  <si>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</si>
  <si>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</si>
  <si>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</si>
  <si>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</si>
  <si>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</si>
  <si>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</si>
  <si>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</si>
  <si>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</si>
  <si>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</si>
  <si>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</si>
  <si>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</si>
  <si>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</si>
  <si>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</si>
  <si>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</si>
  <si>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</si>
  <si>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</si>
  <si>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</si>
  <si>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</si>
  <si>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</si>
  <si>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</si>
  <si>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</si>
  <si>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</si>
  <si>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</si>
  <si>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</si>
  <si>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</si>
  <si>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</si>
  <si>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</si>
  <si>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</si>
  <si>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</si>
  <si>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</si>
  <si>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</si>
  <si>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</si>
  <si>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</si>
  <si>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</si>
  <si>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</si>
  <si>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</si>
  <si>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</si>
  <si>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</si>
  <si>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</si>
  <si>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</si>
  <si>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</si>
  <si>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</si>
  <si>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</si>
  <si>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</si>
  <si>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</si>
  <si>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</si>
  <si>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</si>
  <si>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</si>
  <si>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</si>
  <si>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</si>
  <si>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</si>
  <si>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</si>
  <si>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</si>
  <si>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</si>
  <si>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</si>
  <si>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</si>
  <si>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</si>
  <si>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</si>
  <si>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</si>
  <si>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</si>
  <si>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</si>
  <si>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</si>
  <si>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</si>
  <si>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</si>
  <si>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</si>
  <si>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</si>
  <si>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</si>
  <si>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</si>
  <si>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</si>
  <si>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</si>
  <si>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</si>
  <si>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</si>
  <si>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</si>
  <si>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</si>
  <si>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</si>
  <si>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</si>
  <si>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</si>
  <si>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</si>
  <si>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</si>
  <si>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</si>
  <si>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</si>
  <si>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</si>
  <si>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</si>
  <si>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</si>
  <si>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</si>
  <si>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</si>
  <si>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</si>
  <si>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</si>
  <si>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</si>
  <si>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</si>
  <si>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</si>
  <si>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</si>
  <si>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</si>
  <si>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</si>
  <si>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</si>
  <si>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</si>
  <si>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</si>
  <si>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</si>
  <si>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</si>
  <si>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</si>
  <si>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</si>
  <si>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</si>
  <si>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</si>
  <si>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</si>
  <si>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</si>
  <si>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</si>
  <si>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</si>
  <si>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</si>
  <si>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</si>
  <si>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</si>
  <si>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</si>
  <si>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</si>
  <si>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</si>
  <si>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</si>
  <si>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</si>
  <si>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</si>
  <si>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</si>
  <si>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</si>
  <si>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</si>
  <si>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</si>
  <si>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</si>
  <si>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</si>
  <si>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</si>
  <si>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</si>
  <si>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</si>
  <si>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</si>
  <si>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</si>
  <si>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</si>
  <si>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</si>
  <si>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</si>
  <si>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</si>
  <si>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</si>
  <si>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</si>
  <si>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</si>
  <si>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</si>
  <si>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</si>
  <si>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</si>
  <si>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</si>
  <si>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</si>
  <si>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</si>
  <si>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</si>
  <si>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</si>
  <si>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</si>
  <si>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</si>
  <si>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</si>
  <si>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</si>
  <si>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</si>
  <si>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</si>
  <si>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</si>
  <si>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</si>
  <si>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</si>
  <si>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</si>
  <si>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</si>
  <si>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</si>
  <si>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</si>
  <si>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</si>
  <si>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</si>
  <si>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</si>
  <si>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</si>
  <si>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</si>
  <si>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</si>
  <si>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</si>
  <si>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</si>
  <si>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</si>
  <si>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</si>
  <si>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</si>
  <si>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</si>
  <si>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</si>
  <si>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</si>
  <si>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</si>
  <si>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</si>
  <si>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</si>
  <si>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</si>
  <si>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</si>
  <si>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</si>
  <si>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</si>
  <si>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</si>
  <si>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</si>
  <si>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</si>
  <si>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</si>
  <si>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</si>
  <si>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</si>
  <si>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</si>
  <si>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</si>
  <si>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</si>
  <si>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</si>
  <si>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</si>
  <si>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</si>
  <si>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</si>
  <si>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</si>
  <si>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</si>
  <si>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</si>
  <si>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</si>
  <si>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</si>
  <si>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</si>
  <si>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</si>
  <si>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</si>
  <si>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</si>
  <si>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</si>
  <si>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</si>
  <si>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</si>
  <si>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</si>
  <si>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</si>
  <si>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</si>
  <si>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</si>
  <si>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</si>
  <si>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</si>
  <si>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</si>
  <si>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</si>
  <si>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</si>
  <si>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</si>
  <si>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</si>
  <si>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</si>
  <si>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</si>
  <si>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</si>
  <si>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</si>
  <si>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</si>
  <si>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</si>
  <si>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</si>
  <si>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</si>
  <si>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</si>
  <si>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</si>
  <si>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</si>
  <si>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</si>
  <si>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</si>
  <si>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</si>
  <si>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</si>
  <si>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</si>
  <si>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</si>
  <si>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</si>
  <si>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</si>
  <si>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</si>
  <si>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</si>
  <si>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</si>
  <si>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</si>
  <si>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</si>
  <si>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</si>
  <si>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</si>
  <si>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</si>
  <si>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</si>
  <si>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</si>
  <si>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</si>
  <si>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</si>
  <si>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</si>
  <si>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</si>
  <si>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</si>
  <si>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</si>
  <si>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</si>
  <si>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</si>
  <si>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</si>
  <si>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</si>
  <si>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</si>
  <si>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</si>
  <si>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</si>
  <si>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</si>
  <si>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</si>
  <si>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</si>
  <si>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</si>
  <si>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</si>
  <si>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</si>
  <si>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</si>
  <si>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</si>
  <si>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</si>
  <si>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</si>
  <si>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</si>
  <si>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</si>
  <si>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</si>
  <si>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</si>
  <si>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</si>
  <si>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</si>
  <si>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</si>
  <si>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</si>
  <si>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</si>
  <si>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</si>
  <si>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</si>
  <si>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</si>
  <si>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</si>
  <si>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</si>
  <si>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</si>
  <si>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</si>
  <si>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</si>
  <si>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</si>
  <si>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</si>
  <si>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</si>
  <si>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</si>
  <si>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</si>
  <si>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</si>
  <si>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</si>
  <si>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</si>
  <si>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</si>
  <si>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</si>
  <si>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</si>
  <si>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</si>
  <si>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</si>
  <si>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</si>
  <si>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</si>
  <si>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</si>
  <si>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</si>
  <si>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</si>
  <si>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</si>
  <si>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</si>
  <si>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</si>
  <si>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</si>
  <si>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</si>
  <si>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</si>
  <si>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</si>
  <si>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</si>
  <si>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</si>
  <si>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</si>
  <si>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</si>
  <si>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</si>
  <si>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</si>
  <si>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</si>
  <si>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</si>
  <si>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</si>
  <si>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</si>
  <si>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</si>
  <si>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</si>
  <si>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</si>
  <si>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</si>
  <si>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</si>
  <si>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</si>
  <si>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</si>
  <si>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</si>
  <si>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</si>
  <si>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</si>
  <si>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</si>
  <si>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</si>
  <si>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</si>
  <si>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</si>
  <si>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</si>
  <si>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</si>
  <si>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</si>
  <si>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</si>
  <si>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</si>
  <si>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</si>
  <si>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</si>
  <si>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</si>
  <si>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</si>
  <si>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</si>
  <si>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</si>
  <si>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</si>
  <si>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</si>
  <si>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</si>
  <si>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</si>
  <si>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</si>
  <si>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</si>
  <si>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</si>
  <si>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</si>
  <si>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</si>
  <si>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</si>
  <si>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</si>
  <si>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</si>
  <si>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</si>
  <si>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</si>
  <si>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</si>
  <si>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</si>
  <si>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</si>
  <si>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</si>
  <si>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</si>
  <si>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</si>
  <si>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</si>
  <si>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</si>
  <si>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</si>
  <si>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</si>
  <si>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</si>
  <si>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</si>
  <si>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</si>
  <si>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</si>
  <si>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</si>
  <si>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</si>
  <si>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</si>
  <si>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</si>
  <si>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</si>
  <si>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</si>
  <si>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</si>
  <si>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</si>
  <si>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</si>
  <si>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</si>
  <si>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</si>
  <si>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</si>
  <si>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</si>
  <si>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</si>
  <si>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</si>
  <si>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</si>
  <si>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</si>
  <si>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</si>
  <si>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</si>
  <si>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</si>
  <si>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</si>
  <si>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</si>
  <si>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</si>
  <si>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</si>
  <si>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</si>
  <si>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</si>
  <si>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</si>
  <si>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</si>
  <si>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</si>
  <si>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</si>
  <si>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</si>
  <si>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</si>
  <si>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</si>
  <si>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</si>
  <si>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</si>
  <si>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</si>
  <si>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</si>
  <si>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</si>
  <si>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</si>
  <si>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</si>
  <si>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</si>
  <si>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</si>
  <si>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</si>
  <si>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</si>
  <si>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</si>
  <si>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</si>
  <si>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</si>
  <si>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</si>
  <si>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</si>
  <si>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</si>
  <si>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</si>
  <si>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</si>
  <si>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</si>
  <si>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</si>
  <si>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</si>
  <si>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</si>
  <si>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</si>
  <si>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</si>
  <si>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</si>
  <si>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</si>
  <si>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</si>
  <si>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</si>
  <si>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</si>
  <si>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</si>
  <si>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</si>
  <si>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</si>
  <si>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</si>
  <si>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</si>
  <si>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</si>
  <si>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</si>
  <si>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</si>
  <si>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</si>
  <si>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24059</t>
  </si>
  <si>
    <t>LANDEN</t>
  </si>
  <si>
    <t>Paarden&amp;pony's 200 - 600 kg</t>
  </si>
  <si>
    <t>Paarden&amp;pony's &lt; 200 kg</t>
  </si>
  <si>
    <t>referentietaak LNE (2017); Jaarverslag De Lijn (2014)</t>
  </si>
  <si>
    <t>op basis van VEA (maart 2018) en Inventaris Hernieuwbare Energiebronnen (juni 2018)</t>
  </si>
  <si>
    <t>VEA (maart 2016)</t>
  </si>
  <si>
    <t>VEA (juni 2018)</t>
  </si>
  <si>
    <t>Coil NV</t>
  </si>
  <si>
    <t>Roosveld 5 , 3400 Landen</t>
  </si>
  <si>
    <t>WKK-0475 Coil</t>
  </si>
  <si>
    <t>interne verbrandingsmotor</t>
  </si>
  <si>
    <t>WKK interne verbrandinsgmotor (gas)</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</si>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</sst>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151295.72224773039</c:v>
                </c:pt>
                <c:pt idx="1">
                  <c:v>17876.449112341354</c:v>
                </c:pt>
                <c:pt idx="2">
                  <c:v>976.09</c:v>
                </c:pt>
                <c:pt idx="3">
                  <c:v>2053.8194175235112</c:v>
                </c:pt>
                <c:pt idx="4">
                  <c:v>47123.175132191252</c:v>
                </c:pt>
                <c:pt idx="5">
                  <c:v>91544.777070474171</c:v>
                </c:pt>
                <c:pt idx="6">
                  <c:v>1125.5328079466765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97952"/>
        <c:axId val="181999488"/>
      </c:barChart>
      <c:catAx>
        <c:axId val="181997952"/>
        <c:scaling>
          <c:orientation val="minMax"/>
        </c:scaling>
        <c:axPos val="b"/>
        <c:numFmt formatCode="General" sourceLinked="0"/>
        <c:tickLblPos val="nextTo"/>
        <c:crossAx val="181999488"/>
        <c:crosses val="autoZero"/>
        <c:auto val="1"/>
        <c:lblAlgn val="ctr"/>
        <c:lblOffset val="100"/>
      </c:catAx>
      <c:valAx>
        <c:axId val="181999488"/>
        <c:scaling>
          <c:orientation val="minMax"/>
        </c:scaling>
        <c:axPos val="l"/>
        <c:majorGridlines/>
        <c:numFmt formatCode="#,##0" sourceLinked="1"/>
        <c:tickLblPos val="nextTo"/>
        <c:crossAx val="18199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151295.72224773039</c:v>
                </c:pt>
                <c:pt idx="1">
                  <c:v>17876.449112341354</c:v>
                </c:pt>
                <c:pt idx="2">
                  <c:v>976.09</c:v>
                </c:pt>
                <c:pt idx="3">
                  <c:v>2053.8194175235112</c:v>
                </c:pt>
                <c:pt idx="4">
                  <c:v>47123.175132191252</c:v>
                </c:pt>
                <c:pt idx="5">
                  <c:v>91544.777070474171</c:v>
                </c:pt>
                <c:pt idx="6">
                  <c:v>1125.5328079466765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34496.471793376142</c:v>
                </c:pt>
                <c:pt idx="2">
                  <c:v>3501.0608166039246</c:v>
                </c:pt>
                <c:pt idx="3">
                  <c:v>205.34685036212468</c:v>
                </c:pt>
                <c:pt idx="4">
                  <c:v>515.81222975108562</c:v>
                </c:pt>
                <c:pt idx="5">
                  <c:v>10003.714358190091</c:v>
                </c:pt>
                <c:pt idx="6">
                  <c:v>22931.504091636038</c:v>
                </c:pt>
                <c:pt idx="7">
                  <c:v>284.30421890895423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424320"/>
      </c:barChart>
      <c:catAx>
        <c:axId val="182356992"/>
        <c:scaling>
          <c:orientation val="minMax"/>
        </c:scaling>
        <c:axPos val="b"/>
        <c:numFmt formatCode="General" sourceLinked="0"/>
        <c:tickLblPos val="nextTo"/>
        <c:crossAx val="182424320"/>
        <c:crosses val="autoZero"/>
        <c:auto val="1"/>
        <c:lblAlgn val="ctr"/>
        <c:lblOffset val="100"/>
      </c:catAx>
      <c:valAx>
        <c:axId val="182424320"/>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34496.471793376142</c:v>
                </c:pt>
                <c:pt idx="2">
                  <c:v>3501.0608166039246</c:v>
                </c:pt>
                <c:pt idx="3">
                  <c:v>205.34685036212468</c:v>
                </c:pt>
                <c:pt idx="4">
                  <c:v>515.81222975108562</c:v>
                </c:pt>
                <c:pt idx="5">
                  <c:v>10003.714358190091</c:v>
                </c:pt>
                <c:pt idx="6">
                  <c:v>22931.504091636038</c:v>
                </c:pt>
                <c:pt idx="7">
                  <c:v>284.30421890895423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24059</v>
      </c>
      <c r="B6" s="416"/>
      <c r="C6" s="417"/>
    </row>
    <row r="7" spans="1:7" s="414" customFormat="1" ht="15.75" customHeight="1">
      <c r="A7" s="418" t="str">
        <f>txtMunicipality</f>
        <v>LANDEN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9721.259</v>
      </c>
      <c r="D10" s="1025">
        <f ca="1">tertiair!C16</f>
        <v>0</v>
      </c>
      <c r="E10" s="1025">
        <f ca="1">tertiair!D16</f>
        <v>6331.5393900000008</v>
      </c>
      <c r="F10" s="1025">
        <f>tertiair!E16</f>
        <v>85.059928531764143</v>
      </c>
      <c r="G10" s="1025">
        <f ca="1">tertiair!F16</f>
        <v>1359.5474007513417</v>
      </c>
      <c r="H10" s="1025">
        <f>tertiair!G16</f>
        <v>0</v>
      </c>
      <c r="I10" s="1025">
        <f>tertiair!H16</f>
        <v>0</v>
      </c>
      <c r="J10" s="1025">
        <f>tertiair!I16</f>
        <v>0</v>
      </c>
      <c r="K10" s="1025">
        <f>tertiair!J16</f>
        <v>0</v>
      </c>
      <c r="L10" s="1025">
        <f>tertiair!K16</f>
        <v>0</v>
      </c>
      <c r="M10" s="1025">
        <f ca="1">tertiair!L16</f>
        <v>0</v>
      </c>
      <c r="N10" s="1025">
        <f>tertiair!M16</f>
        <v>0</v>
      </c>
      <c r="O10" s="1025">
        <f ca="1">tertiair!N16</f>
        <v>1355.1333930582482</v>
      </c>
      <c r="P10" s="1025">
        <f>tertiair!O16</f>
        <v>0</v>
      </c>
      <c r="Q10" s="1026">
        <f>tertiair!P16</f>
        <v>0</v>
      </c>
      <c r="R10" s="701">
        <f ca="1">SUM(C10:Q10)</f>
        <v>18852.539112341354</v>
      </c>
      <c r="S10" s="67"/>
    </row>
    <row r="11" spans="1:19" s="474" customFormat="1">
      <c r="A11" s="810" t="s">
        <v>225</v>
      </c>
      <c r="B11" s="815"/>
      <c r="C11" s="1025">
        <f>huishoudens!B8</f>
        <v>28787.025129386835</v>
      </c>
      <c r="D11" s="1025">
        <f>huishoudens!C8</f>
        <v>0</v>
      </c>
      <c r="E11" s="1025">
        <f>huishoudens!D8</f>
        <v>32302.418588</v>
      </c>
      <c r="F11" s="1025">
        <f>huishoudens!E8</f>
        <v>3359.7008549508973</v>
      </c>
      <c r="G11" s="1025">
        <f>huishoudens!F8</f>
        <v>79223.23673354146</v>
      </c>
      <c r="H11" s="1025">
        <f>huishoudens!G8</f>
        <v>0</v>
      </c>
      <c r="I11" s="1025">
        <f>huishoudens!H8</f>
        <v>0</v>
      </c>
      <c r="J11" s="1025">
        <f>huishoudens!I8</f>
        <v>0</v>
      </c>
      <c r="K11" s="1025">
        <f>huishoudens!J8</f>
        <v>0</v>
      </c>
      <c r="L11" s="1025">
        <f>huishoudens!K8</f>
        <v>0</v>
      </c>
      <c r="M11" s="1025">
        <f>huishoudens!L8</f>
        <v>0</v>
      </c>
      <c r="N11" s="1025">
        <f>huishoudens!M8</f>
        <v>0</v>
      </c>
      <c r="O11" s="1025">
        <f>huishoudens!N8</f>
        <v>6932.5276085178912</v>
      </c>
      <c r="P11" s="1025">
        <f>huishoudens!O8</f>
        <v>118.81333333333333</v>
      </c>
      <c r="Q11" s="1026">
        <f>huishoudens!P8</f>
        <v>572</v>
      </c>
      <c r="R11" s="701">
        <f>SUM(C11:Q11)</f>
        <v>151295.72224773039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21087.782999999996</v>
      </c>
      <c r="D13" s="1025">
        <f>industrie!C18</f>
        <v>1301.7857142857144</v>
      </c>
      <c r="E13" s="1025">
        <f>industrie!D18</f>
        <v>14258.145971428572</v>
      </c>
      <c r="F13" s="1025">
        <f>industrie!E18</f>
        <v>721.7807166235109</v>
      </c>
      <c r="G13" s="1025">
        <f>industrie!F18</f>
        <v>8252.7570414603615</v>
      </c>
      <c r="H13" s="1025">
        <f>industrie!G18</f>
        <v>0</v>
      </c>
      <c r="I13" s="1025">
        <f>industrie!H18</f>
        <v>0</v>
      </c>
      <c r="J13" s="1025">
        <f>industrie!I18</f>
        <v>0</v>
      </c>
      <c r="K13" s="1025">
        <f>industrie!J18</f>
        <v>29.630557144499193</v>
      </c>
      <c r="L13" s="1025">
        <f>industrie!K18</f>
        <v>0</v>
      </c>
      <c r="M13" s="1025">
        <f>industrie!L18</f>
        <v>0</v>
      </c>
      <c r="N13" s="1025">
        <f>industrie!M18</f>
        <v>0</v>
      </c>
      <c r="O13" s="1025">
        <f>industrie!N18</f>
        <v>1471.2921312486019</v>
      </c>
      <c r="P13" s="1025">
        <f>industrie!O18</f>
        <v>0</v>
      </c>
      <c r="Q13" s="1026">
        <f>industrie!P18</f>
        <v>0</v>
      </c>
      <c r="R13" s="701">
        <f>SUM(C13:Q13)</f>
        <v>47123.175132191252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59596.067129386829</v>
      </c>
      <c r="D16" s="733">
        <f t="shared" ref="D16:R16" ca="1" si="0">SUM(D9:D15)</f>
        <v>1301.7857142857144</v>
      </c>
      <c r="E16" s="733">
        <f t="shared" ca="1" si="0"/>
        <v>52892.103949428572</v>
      </c>
      <c r="F16" s="733">
        <f t="shared" si="0"/>
        <v>4166.541500106172</v>
      </c>
      <c r="G16" s="733">
        <f t="shared" ca="1" si="0"/>
        <v>88835.541175753169</v>
      </c>
      <c r="H16" s="733">
        <f t="shared" si="0"/>
        <v>0</v>
      </c>
      <c r="I16" s="733">
        <f t="shared" si="0"/>
        <v>0</v>
      </c>
      <c r="J16" s="733">
        <f t="shared" si="0"/>
        <v>0</v>
      </c>
      <c r="K16" s="733">
        <f t="shared" si="0"/>
        <v>29.630557144499193</v>
      </c>
      <c r="L16" s="733">
        <f t="shared" si="0"/>
        <v>0</v>
      </c>
      <c r="M16" s="733">
        <f t="shared" ca="1" si="0"/>
        <v>0</v>
      </c>
      <c r="N16" s="733">
        <f t="shared" si="0"/>
        <v>0</v>
      </c>
      <c r="O16" s="733">
        <f t="shared" ca="1" si="0"/>
        <v>9758.9531328247413</v>
      </c>
      <c r="P16" s="733">
        <f t="shared" si="0"/>
        <v>118.81333333333333</v>
      </c>
      <c r="Q16" s="733">
        <f t="shared" si="0"/>
        <v>572</v>
      </c>
      <c r="R16" s="733">
        <f t="shared" ca="1" si="0"/>
        <v>217271.43649226299</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1064.8098086477685</v>
      </c>
      <c r="I19" s="1025">
        <f>transport!H54</f>
        <v>0</v>
      </c>
      <c r="J19" s="1025">
        <f>transport!I54</f>
        <v>0</v>
      </c>
      <c r="K19" s="1025">
        <f>transport!J54</f>
        <v>0</v>
      </c>
      <c r="L19" s="1025">
        <f>transport!K54</f>
        <v>0</v>
      </c>
      <c r="M19" s="1025">
        <f>transport!L54</f>
        <v>0</v>
      </c>
      <c r="N19" s="1025">
        <f>transport!M54</f>
        <v>60.722999298907972</v>
      </c>
      <c r="O19" s="1025">
        <f>transport!N54</f>
        <v>0</v>
      </c>
      <c r="P19" s="1025">
        <f>transport!O54</f>
        <v>0</v>
      </c>
      <c r="Q19" s="1026">
        <f>transport!P54</f>
        <v>0</v>
      </c>
      <c r="R19" s="701">
        <f>SUM(C19:Q19)</f>
        <v>1125.5328079466765</v>
      </c>
      <c r="S19" s="67"/>
    </row>
    <row r="20" spans="1:19" s="474" customFormat="1">
      <c r="A20" s="810" t="s">
        <v>307</v>
      </c>
      <c r="B20" s="815"/>
      <c r="C20" s="1025">
        <f>transport!B14</f>
        <v>13.923374795095521</v>
      </c>
      <c r="D20" s="1025">
        <f>transport!C14</f>
        <v>0</v>
      </c>
      <c r="E20" s="1025">
        <f>transport!D14</f>
        <v>38.60569534542104</v>
      </c>
      <c r="F20" s="1025">
        <f>transport!E14</f>
        <v>266.73597729663879</v>
      </c>
      <c r="G20" s="1025">
        <f>transport!F14</f>
        <v>0</v>
      </c>
      <c r="H20" s="1025">
        <f>transport!G14</f>
        <v>71836.260136686324</v>
      </c>
      <c r="I20" s="1025">
        <f>transport!H14</f>
        <v>14778.89984145688</v>
      </c>
      <c r="J20" s="1025">
        <f>transport!I14</f>
        <v>0</v>
      </c>
      <c r="K20" s="1025">
        <f>transport!J14</f>
        <v>0</v>
      </c>
      <c r="L20" s="1025">
        <f>transport!K14</f>
        <v>0</v>
      </c>
      <c r="M20" s="1025">
        <f>transport!L14</f>
        <v>0</v>
      </c>
      <c r="N20" s="1025">
        <f>transport!M14</f>
        <v>4610.3520448938034</v>
      </c>
      <c r="O20" s="1025">
        <f>transport!N14</f>
        <v>0</v>
      </c>
      <c r="P20" s="1025">
        <f>transport!O14</f>
        <v>0</v>
      </c>
      <c r="Q20" s="1026">
        <f>transport!P14</f>
        <v>0</v>
      </c>
      <c r="R20" s="701">
        <f>SUM(C20:Q20)</f>
        <v>91544.777070474171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13.923374795095521</v>
      </c>
      <c r="D22" s="813">
        <f t="shared" ref="D22:R22" si="1">SUM(D18:D21)</f>
        <v>0</v>
      </c>
      <c r="E22" s="813">
        <f t="shared" si="1"/>
        <v>38.60569534542104</v>
      </c>
      <c r="F22" s="813">
        <f t="shared" si="1"/>
        <v>266.73597729663879</v>
      </c>
      <c r="G22" s="813">
        <f t="shared" si="1"/>
        <v>0</v>
      </c>
      <c r="H22" s="813">
        <f t="shared" si="1"/>
        <v>72901.069945334093</v>
      </c>
      <c r="I22" s="813">
        <f t="shared" si="1"/>
        <v>14778.89984145688</v>
      </c>
      <c r="J22" s="813">
        <f t="shared" si="1"/>
        <v>0</v>
      </c>
      <c r="K22" s="813">
        <f t="shared" si="1"/>
        <v>0</v>
      </c>
      <c r="L22" s="813">
        <f t="shared" si="1"/>
        <v>0</v>
      </c>
      <c r="M22" s="813">
        <f t="shared" si="1"/>
        <v>0</v>
      </c>
      <c r="N22" s="813">
        <f t="shared" si="1"/>
        <v>4671.0750441927112</v>
      </c>
      <c r="O22" s="813">
        <f t="shared" si="1"/>
        <v>0</v>
      </c>
      <c r="P22" s="813">
        <f t="shared" si="1"/>
        <v>0</v>
      </c>
      <c r="Q22" s="813">
        <f t="shared" si="1"/>
        <v>0</v>
      </c>
      <c r="R22" s="813">
        <f t="shared" si="1"/>
        <v>92670.309878420841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512.83399999999995</v>
      </c>
      <c r="D24" s="1025">
        <f>+landbouw!C8</f>
        <v>0</v>
      </c>
      <c r="E24" s="1025">
        <f>+landbouw!D8</f>
        <v>156.45460600000001</v>
      </c>
      <c r="F24" s="1025">
        <f>+landbouw!E8</f>
        <v>4.7500833026235352</v>
      </c>
      <c r="G24" s="1025">
        <f>+landbouw!F8</f>
        <v>1301.1575527767438</v>
      </c>
      <c r="H24" s="1025">
        <f>+landbouw!G8</f>
        <v>0</v>
      </c>
      <c r="I24" s="1025">
        <f>+landbouw!H8</f>
        <v>0</v>
      </c>
      <c r="J24" s="1025">
        <f>+landbouw!I8</f>
        <v>0</v>
      </c>
      <c r="K24" s="1025">
        <f>+landbouw!J8</f>
        <v>78.62317544414384</v>
      </c>
      <c r="L24" s="1025">
        <f>+landbouw!K8</f>
        <v>0</v>
      </c>
      <c r="M24" s="1025">
        <f>+landbouw!L8</f>
        <v>0</v>
      </c>
      <c r="N24" s="1025">
        <f>+landbouw!M8</f>
        <v>0</v>
      </c>
      <c r="O24" s="1025">
        <f>+landbouw!N8</f>
        <v>0</v>
      </c>
      <c r="P24" s="1025">
        <f>+landbouw!O8</f>
        <v>0</v>
      </c>
      <c r="Q24" s="1026">
        <f>+landbouw!P8</f>
        <v>0</v>
      </c>
      <c r="R24" s="701">
        <f>SUM(C24:Q24)</f>
        <v>2053.8194175235112</v>
      </c>
      <c r="S24" s="67"/>
    </row>
    <row r="25" spans="1:19" s="474" customFormat="1" ht="15" thickBot="1">
      <c r="A25" s="832" t="s">
        <v>864</v>
      </c>
      <c r="B25" s="1028"/>
      <c r="C25" s="1029">
        <f>IF(Onbekend_ele_kWh="---",0,Onbekend_ele_kWh)/1000+IF(REST_rest_ele_kWh="---",0,REST_rest_ele_kWh)/1000</f>
        <v>3594.2424088397788</v>
      </c>
      <c r="D25" s="1029"/>
      <c r="E25" s="1029">
        <f>IF(onbekend_gas_kWh="---",0,onbekend_gas_kWh)/1000+IF(REST_rest_gas_kWh="---",0,REST_rest_gas_kWh)/1000</f>
        <v>1215.752</v>
      </c>
      <c r="F25" s="1029"/>
      <c r="G25" s="1029"/>
      <c r="H25" s="1029"/>
      <c r="I25" s="1029"/>
      <c r="J25" s="1029"/>
      <c r="K25" s="1029"/>
      <c r="L25" s="1029"/>
      <c r="M25" s="1029"/>
      <c r="N25" s="1029"/>
      <c r="O25" s="1029"/>
      <c r="P25" s="1029"/>
      <c r="Q25" s="1030"/>
      <c r="R25" s="701">
        <f>SUM(C25:Q25)</f>
        <v>4809.9944088397788</v>
      </c>
      <c r="S25" s="67"/>
    </row>
    <row r="26" spans="1:19" s="474" customFormat="1" ht="15.75" thickBot="1">
      <c r="A26" s="706" t="s">
        <v>865</v>
      </c>
      <c r="B26" s="818"/>
      <c r="C26" s="813">
        <f>SUM(C24:C25)</f>
        <v>4107.0764088397791</v>
      </c>
      <c r="D26" s="813">
        <f t="shared" ref="D26:R26" si="2">SUM(D24:D25)</f>
        <v>0</v>
      </c>
      <c r="E26" s="813">
        <f t="shared" si="2"/>
        <v>1372.206606</v>
      </c>
      <c r="F26" s="813">
        <f t="shared" si="2"/>
        <v>4.7500833026235352</v>
      </c>
      <c r="G26" s="813">
        <f t="shared" si="2"/>
        <v>1301.1575527767438</v>
      </c>
      <c r="H26" s="813">
        <f t="shared" si="2"/>
        <v>0</v>
      </c>
      <c r="I26" s="813">
        <f t="shared" si="2"/>
        <v>0</v>
      </c>
      <c r="J26" s="813">
        <f t="shared" si="2"/>
        <v>0</v>
      </c>
      <c r="K26" s="813">
        <f t="shared" si="2"/>
        <v>78.62317544414384</v>
      </c>
      <c r="L26" s="813">
        <f t="shared" si="2"/>
        <v>0</v>
      </c>
      <c r="M26" s="813">
        <f t="shared" si="2"/>
        <v>0</v>
      </c>
      <c r="N26" s="813">
        <f t="shared" si="2"/>
        <v>0</v>
      </c>
      <c r="O26" s="813">
        <f t="shared" si="2"/>
        <v>0</v>
      </c>
      <c r="P26" s="813">
        <f t="shared" si="2"/>
        <v>0</v>
      </c>
      <c r="Q26" s="813">
        <f t="shared" si="2"/>
        <v>0</v>
      </c>
      <c r="R26" s="813">
        <f t="shared" si="2"/>
        <v>6863.81382636329</v>
      </c>
      <c r="S26" s="67"/>
    </row>
    <row r="27" spans="1:19" s="474" customFormat="1" ht="17.25" thickTop="1" thickBot="1">
      <c r="A27" s="707" t="s">
        <v>116</v>
      </c>
      <c r="B27" s="806"/>
      <c r="C27" s="708">
        <f ca="1">C22+C16+C26</f>
        <v>63717.066913021699</v>
      </c>
      <c r="D27" s="708">
        <f t="shared" ref="D27:R27" ca="1" si="3">D22+D16+D26</f>
        <v>1301.7857142857144</v>
      </c>
      <c r="E27" s="708">
        <f t="shared" ca="1" si="3"/>
        <v>54302.916250773997</v>
      </c>
      <c r="F27" s="708">
        <f t="shared" si="3"/>
        <v>4438.0275607054346</v>
      </c>
      <c r="G27" s="708">
        <f t="shared" ca="1" si="3"/>
        <v>90136.698728529911</v>
      </c>
      <c r="H27" s="708">
        <f t="shared" si="3"/>
        <v>72901.069945334093</v>
      </c>
      <c r="I27" s="708">
        <f t="shared" si="3"/>
        <v>14778.89984145688</v>
      </c>
      <c r="J27" s="708">
        <f t="shared" si="3"/>
        <v>0</v>
      </c>
      <c r="K27" s="708">
        <f t="shared" si="3"/>
        <v>108.25373258864303</v>
      </c>
      <c r="L27" s="708">
        <f t="shared" si="3"/>
        <v>0</v>
      </c>
      <c r="M27" s="708">
        <f t="shared" ca="1" si="3"/>
        <v>0</v>
      </c>
      <c r="N27" s="708">
        <f t="shared" si="3"/>
        <v>4671.0750441927112</v>
      </c>
      <c r="O27" s="708">
        <f t="shared" ca="1" si="3"/>
        <v>9758.9531328247413</v>
      </c>
      <c r="P27" s="708">
        <f t="shared" si="3"/>
        <v>118.81333333333333</v>
      </c>
      <c r="Q27" s="708">
        <f t="shared" si="3"/>
        <v>572</v>
      </c>
      <c r="R27" s="708">
        <f t="shared" ca="1" si="3"/>
        <v>316805.56019704713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2045.1289504087306</v>
      </c>
      <c r="D40" s="1025">
        <f ca="1">tertiair!C20</f>
        <v>0</v>
      </c>
      <c r="E40" s="1025">
        <f ca="1">tertiair!D20</f>
        <v>1278.9709567800003</v>
      </c>
      <c r="F40" s="1025">
        <f>tertiair!E20</f>
        <v>19.308603776710463</v>
      </c>
      <c r="G40" s="1025">
        <f ca="1">tertiair!F20</f>
        <v>362.99915600060825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3706.4076669660494</v>
      </c>
    </row>
    <row r="41" spans="1:18">
      <c r="A41" s="823" t="s">
        <v>225</v>
      </c>
      <c r="B41" s="830"/>
      <c r="C41" s="1025">
        <f ca="1">huishoudens!B12</f>
        <v>6056.1269366707184</v>
      </c>
      <c r="D41" s="1025">
        <f ca="1">huishoudens!C12</f>
        <v>0</v>
      </c>
      <c r="E41" s="1025">
        <f>huishoudens!D12</f>
        <v>6525.0885547760008</v>
      </c>
      <c r="F41" s="1025">
        <f>huishoudens!E12</f>
        <v>762.65209407385373</v>
      </c>
      <c r="G41" s="1025">
        <f>huishoudens!F12</f>
        <v>21152.604207855569</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34496.471793376142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4436.3837557704264</v>
      </c>
      <c r="D43" s="1025">
        <f ca="1">industrie!C22</f>
        <v>309.36554621848745</v>
      </c>
      <c r="E43" s="1025">
        <f>industrie!D22</f>
        <v>2880.1454862285718</v>
      </c>
      <c r="F43" s="1025">
        <f>industrie!E22</f>
        <v>163.84422267353699</v>
      </c>
      <c r="G43" s="1025">
        <f>industrie!F22</f>
        <v>2203.4861300699167</v>
      </c>
      <c r="H43" s="1025">
        <f>industrie!G22</f>
        <v>0</v>
      </c>
      <c r="I43" s="1025">
        <f>industrie!H22</f>
        <v>0</v>
      </c>
      <c r="J43" s="1025">
        <f>industrie!I22</f>
        <v>0</v>
      </c>
      <c r="K43" s="1025">
        <f>industrie!J22</f>
        <v>10.489217229152713</v>
      </c>
      <c r="L43" s="1025">
        <f>industrie!K22</f>
        <v>0</v>
      </c>
      <c r="M43" s="1025">
        <f>industrie!L22</f>
        <v>0</v>
      </c>
      <c r="N43" s="1025">
        <f>industrie!M22</f>
        <v>0</v>
      </c>
      <c r="O43" s="1025">
        <f>industrie!N22</f>
        <v>0</v>
      </c>
      <c r="P43" s="1025">
        <f>industrie!O22</f>
        <v>0</v>
      </c>
      <c r="Q43" s="775">
        <f>industrie!P22</f>
        <v>0</v>
      </c>
      <c r="R43" s="850">
        <f t="shared" ca="1" si="4"/>
        <v>10003.714358190091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12537.639642849876</v>
      </c>
      <c r="D46" s="733">
        <f t="shared" ref="D46:Q46" ca="1" si="5">SUM(D39:D45)</f>
        <v>309.36554621848745</v>
      </c>
      <c r="E46" s="733">
        <f t="shared" ca="1" si="5"/>
        <v>10684.204997784573</v>
      </c>
      <c r="F46" s="733">
        <f t="shared" si="5"/>
        <v>945.80492052410114</v>
      </c>
      <c r="G46" s="733">
        <f t="shared" ca="1" si="5"/>
        <v>23719.089493926094</v>
      </c>
      <c r="H46" s="733">
        <f t="shared" si="5"/>
        <v>0</v>
      </c>
      <c r="I46" s="733">
        <f t="shared" si="5"/>
        <v>0</v>
      </c>
      <c r="J46" s="733">
        <f t="shared" si="5"/>
        <v>0</v>
      </c>
      <c r="K46" s="733">
        <f t="shared" si="5"/>
        <v>10.489217229152713</v>
      </c>
      <c r="L46" s="733">
        <f t="shared" si="5"/>
        <v>0</v>
      </c>
      <c r="M46" s="733">
        <f t="shared" ca="1" si="5"/>
        <v>0</v>
      </c>
      <c r="N46" s="733">
        <f t="shared" si="5"/>
        <v>0</v>
      </c>
      <c r="O46" s="733">
        <f t="shared" ca="1" si="5"/>
        <v>0</v>
      </c>
      <c r="P46" s="733">
        <f t="shared" si="5"/>
        <v>0</v>
      </c>
      <c r="Q46" s="733">
        <f t="shared" si="5"/>
        <v>0</v>
      </c>
      <c r="R46" s="733">
        <f ca="1">SUM(R39:R45)</f>
        <v>48206.593818532281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284.30421890895423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284.30421890895423</v>
      </c>
    </row>
    <row r="50" spans="1:18">
      <c r="A50" s="826" t="s">
        <v>307</v>
      </c>
      <c r="B50" s="836"/>
      <c r="C50" s="704">
        <f ca="1">transport!B18</f>
        <v>2.9291573119120762</v>
      </c>
      <c r="D50" s="704">
        <f>transport!C18</f>
        <v>0</v>
      </c>
      <c r="E50" s="704">
        <f>transport!D18</f>
        <v>7.798350459775051</v>
      </c>
      <c r="F50" s="704">
        <f>transport!E18</f>
        <v>60.549066846337006</v>
      </c>
      <c r="G50" s="704">
        <f>transport!F18</f>
        <v>0</v>
      </c>
      <c r="H50" s="704">
        <f>transport!G18</f>
        <v>19180.28145649525</v>
      </c>
      <c r="I50" s="704">
        <f>transport!H18</f>
        <v>3679.9460605227632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22931.504091636038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2.9291573119120762</v>
      </c>
      <c r="D52" s="733">
        <f t="shared" ref="D52:Q52" ca="1" si="6">SUM(D48:D51)</f>
        <v>0</v>
      </c>
      <c r="E52" s="733">
        <f t="shared" si="6"/>
        <v>7.798350459775051</v>
      </c>
      <c r="F52" s="733">
        <f t="shared" si="6"/>
        <v>60.549066846337006</v>
      </c>
      <c r="G52" s="733">
        <f t="shared" si="6"/>
        <v>0</v>
      </c>
      <c r="H52" s="733">
        <f t="shared" si="6"/>
        <v>19464.585675404203</v>
      </c>
      <c r="I52" s="733">
        <f t="shared" si="6"/>
        <v>3679.9460605227632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23215.808310544991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107.88845973077261</v>
      </c>
      <c r="D54" s="704">
        <f ca="1">+landbouw!C12</f>
        <v>0</v>
      </c>
      <c r="E54" s="704">
        <f>+landbouw!D12</f>
        <v>31.603830412000004</v>
      </c>
      <c r="F54" s="704">
        <f>+landbouw!E12</f>
        <v>1.0782689096955425</v>
      </c>
      <c r="G54" s="704">
        <f>+landbouw!F12</f>
        <v>347.40906659139063</v>
      </c>
      <c r="H54" s="704">
        <f>+landbouw!G12</f>
        <v>0</v>
      </c>
      <c r="I54" s="704">
        <f>+landbouw!H12</f>
        <v>0</v>
      </c>
      <c r="J54" s="704">
        <f>+landbouw!I12</f>
        <v>0</v>
      </c>
      <c r="K54" s="704">
        <f>+landbouw!J12</f>
        <v>27.832604107226917</v>
      </c>
      <c r="L54" s="704">
        <f>+landbouw!K12</f>
        <v>0</v>
      </c>
      <c r="M54" s="704">
        <f>+landbouw!L12</f>
        <v>0</v>
      </c>
      <c r="N54" s="704">
        <f>+landbouw!M12</f>
        <v>0</v>
      </c>
      <c r="O54" s="704">
        <f>+landbouw!N12</f>
        <v>0</v>
      </c>
      <c r="P54" s="704">
        <f>+landbouw!O12</f>
        <v>0</v>
      </c>
      <c r="Q54" s="705">
        <f>+landbouw!P12</f>
        <v>0</v>
      </c>
      <c r="R54" s="732">
        <f ca="1">SUM(C54:Q54)</f>
        <v>515.81222975108562</v>
      </c>
    </row>
    <row r="55" spans="1:18" ht="15" thickBot="1">
      <c r="A55" s="826" t="s">
        <v>864</v>
      </c>
      <c r="B55" s="836"/>
      <c r="C55" s="704">
        <f ca="1">C25*'EF ele_warmte'!B12</f>
        <v>756.14580427340172</v>
      </c>
      <c r="D55" s="704"/>
      <c r="E55" s="704">
        <f>E25*EF_CO2_aardgas</f>
        <v>245.58190400000001</v>
      </c>
      <c r="F55" s="704"/>
      <c r="G55" s="704"/>
      <c r="H55" s="704"/>
      <c r="I55" s="704"/>
      <c r="J55" s="704"/>
      <c r="K55" s="704"/>
      <c r="L55" s="704"/>
      <c r="M55" s="704"/>
      <c r="N55" s="704"/>
      <c r="O55" s="704"/>
      <c r="P55" s="704"/>
      <c r="Q55" s="705"/>
      <c r="R55" s="732">
        <f ca="1">SUM(C55:Q55)</f>
        <v>1001.7277082734017</v>
      </c>
    </row>
    <row r="56" spans="1:18" ht="15.75" thickBot="1">
      <c r="A56" s="824" t="s">
        <v>865</v>
      </c>
      <c r="B56" s="837"/>
      <c r="C56" s="733">
        <f ca="1">SUM(C54:C55)</f>
        <v>864.03426400417436</v>
      </c>
      <c r="D56" s="733">
        <f t="shared" ref="D56:Q56" ca="1" si="7">SUM(D54:D55)</f>
        <v>0</v>
      </c>
      <c r="E56" s="733">
        <f t="shared" si="7"/>
        <v>277.18573441199999</v>
      </c>
      <c r="F56" s="733">
        <f t="shared" si="7"/>
        <v>1.0782689096955425</v>
      </c>
      <c r="G56" s="733">
        <f t="shared" si="7"/>
        <v>347.40906659139063</v>
      </c>
      <c r="H56" s="733">
        <f t="shared" si="7"/>
        <v>0</v>
      </c>
      <c r="I56" s="733">
        <f t="shared" si="7"/>
        <v>0</v>
      </c>
      <c r="J56" s="733">
        <f t="shared" si="7"/>
        <v>0</v>
      </c>
      <c r="K56" s="733">
        <f t="shared" si="7"/>
        <v>27.832604107226917</v>
      </c>
      <c r="L56" s="733">
        <f t="shared" si="7"/>
        <v>0</v>
      </c>
      <c r="M56" s="733">
        <f t="shared" si="7"/>
        <v>0</v>
      </c>
      <c r="N56" s="733">
        <f t="shared" si="7"/>
        <v>0</v>
      </c>
      <c r="O56" s="733">
        <f t="shared" si="7"/>
        <v>0</v>
      </c>
      <c r="P56" s="733">
        <f t="shared" si="7"/>
        <v>0</v>
      </c>
      <c r="Q56" s="734">
        <f t="shared" si="7"/>
        <v>0</v>
      </c>
      <c r="R56" s="735">
        <f ca="1">SUM(R54:R55)</f>
        <v>1517.5399380244874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13404.603064165962</v>
      </c>
      <c r="D61" s="741">
        <f t="shared" ref="D61:Q61" ca="1" si="8">D46+D52+D56</f>
        <v>309.36554621848745</v>
      </c>
      <c r="E61" s="741">
        <f t="shared" ca="1" si="8"/>
        <v>10969.189082656347</v>
      </c>
      <c r="F61" s="741">
        <f t="shared" si="8"/>
        <v>1007.4322562801337</v>
      </c>
      <c r="G61" s="741">
        <f t="shared" ca="1" si="8"/>
        <v>24066.498560517484</v>
      </c>
      <c r="H61" s="741">
        <f t="shared" si="8"/>
        <v>19464.585675404203</v>
      </c>
      <c r="I61" s="741">
        <f t="shared" si="8"/>
        <v>3679.9460605227632</v>
      </c>
      <c r="J61" s="741">
        <f t="shared" si="8"/>
        <v>0</v>
      </c>
      <c r="K61" s="741">
        <f t="shared" si="8"/>
        <v>38.321821336379628</v>
      </c>
      <c r="L61" s="741">
        <f t="shared" si="8"/>
        <v>0</v>
      </c>
      <c r="M61" s="741">
        <f t="shared" ca="1" si="8"/>
        <v>0</v>
      </c>
      <c r="N61" s="741">
        <f t="shared" si="8"/>
        <v>0</v>
      </c>
      <c r="O61" s="741">
        <f t="shared" ca="1" si="8"/>
        <v>0</v>
      </c>
      <c r="P61" s="741">
        <f t="shared" si="8"/>
        <v>0</v>
      </c>
      <c r="Q61" s="741">
        <f t="shared" si="8"/>
        <v>0</v>
      </c>
      <c r="R61" s="741">
        <f ca="1">R46+R52+R56</f>
        <v>72939.942067101758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0.21037696356086499</v>
      </c>
      <c r="D63" s="782">
        <f t="shared" ca="1" si="9"/>
        <v>0.23764705882352943</v>
      </c>
      <c r="E63" s="1036">
        <f t="shared" ca="1" si="9"/>
        <v>0.20199999999999999</v>
      </c>
      <c r="F63" s="782">
        <f t="shared" si="9"/>
        <v>0.22700000000000004</v>
      </c>
      <c r="G63" s="782">
        <f t="shared" ca="1" si="9"/>
        <v>0.26699999999999996</v>
      </c>
      <c r="H63" s="782">
        <f t="shared" si="9"/>
        <v>0.26700000000000002</v>
      </c>
      <c r="I63" s="782">
        <f t="shared" si="9"/>
        <v>0.24900000000000003</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3131.3952758587211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911.25000000000011</v>
      </c>
      <c r="D76" s="1046">
        <f>'lokale energieproductie'!C8</f>
        <v>1072.0588235294119</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216.55588235294124</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3131.3952758587211</v>
      </c>
      <c r="C78" s="756">
        <f>SUM(C72:C77)</f>
        <v>911.25000000000011</v>
      </c>
      <c r="D78" s="757">
        <f t="shared" ref="D78:H78" si="10">SUM(D76:D77)</f>
        <v>1072.0588235294119</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216.55588235294124</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1301.7857142857144</v>
      </c>
      <c r="D87" s="778">
        <f>'lokale energieproductie'!C17</f>
        <v>1531.512605042017</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309.36554621848745</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1301.7857142857144</v>
      </c>
      <c r="D90" s="756">
        <f t="shared" ref="D90:H90" si="12">SUM(D87:D89)</f>
        <v>1531.512605042017</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309.36554621848745</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28787.025129386835</v>
      </c>
      <c r="C4" s="478">
        <f>huishoudens!C8</f>
        <v>0</v>
      </c>
      <c r="D4" s="478">
        <f>huishoudens!D8</f>
        <v>32302.418588</v>
      </c>
      <c r="E4" s="478">
        <f>huishoudens!E8</f>
        <v>3359.7008549508973</v>
      </c>
      <c r="F4" s="478">
        <f>huishoudens!F8</f>
        <v>79223.23673354146</v>
      </c>
      <c r="G4" s="478">
        <f>huishoudens!G8</f>
        <v>0</v>
      </c>
      <c r="H4" s="478">
        <f>huishoudens!H8</f>
        <v>0</v>
      </c>
      <c r="I4" s="478">
        <f>huishoudens!I8</f>
        <v>0</v>
      </c>
      <c r="J4" s="478">
        <f>huishoudens!J8</f>
        <v>0</v>
      </c>
      <c r="K4" s="478">
        <f>huishoudens!K8</f>
        <v>0</v>
      </c>
      <c r="L4" s="478">
        <f>huishoudens!L8</f>
        <v>0</v>
      </c>
      <c r="M4" s="478">
        <f>huishoudens!M8</f>
        <v>0</v>
      </c>
      <c r="N4" s="478">
        <f>huishoudens!N8</f>
        <v>6932.5276085178912</v>
      </c>
      <c r="O4" s="478">
        <f>huishoudens!O8</f>
        <v>118.81333333333333</v>
      </c>
      <c r="P4" s="479">
        <f>huishoudens!P8</f>
        <v>572</v>
      </c>
      <c r="Q4" s="480">
        <f>SUM(B4:P4)</f>
        <v>151295.72224773039</v>
      </c>
    </row>
    <row r="5" spans="1:17">
      <c r="A5" s="477" t="s">
        <v>156</v>
      </c>
      <c r="B5" s="478">
        <f ca="1">tertiair!B16</f>
        <v>8745.1689999999999</v>
      </c>
      <c r="C5" s="478">
        <f ca="1">tertiair!C16</f>
        <v>0</v>
      </c>
      <c r="D5" s="478">
        <f ca="1">tertiair!D16</f>
        <v>6331.5393900000008</v>
      </c>
      <c r="E5" s="478">
        <f>tertiair!E16</f>
        <v>85.059928531764143</v>
      </c>
      <c r="F5" s="478">
        <f ca="1">tertiair!F16</f>
        <v>1359.5474007513417</v>
      </c>
      <c r="G5" s="478">
        <f>tertiair!G16</f>
        <v>0</v>
      </c>
      <c r="H5" s="478">
        <f>tertiair!H16</f>
        <v>0</v>
      </c>
      <c r="I5" s="478">
        <f>tertiair!I16</f>
        <v>0</v>
      </c>
      <c r="J5" s="478">
        <f>tertiair!J16</f>
        <v>0</v>
      </c>
      <c r="K5" s="478">
        <f>tertiair!K16</f>
        <v>0</v>
      </c>
      <c r="L5" s="478">
        <f ca="1">tertiair!L16</f>
        <v>0</v>
      </c>
      <c r="M5" s="478">
        <f>tertiair!M16</f>
        <v>0</v>
      </c>
      <c r="N5" s="478">
        <f ca="1">tertiair!N16</f>
        <v>1355.1333930582482</v>
      </c>
      <c r="O5" s="478">
        <f>tertiair!O16</f>
        <v>0</v>
      </c>
      <c r="P5" s="479">
        <f>tertiair!P16</f>
        <v>0</v>
      </c>
      <c r="Q5" s="477">
        <f t="shared" ref="Q5:Q14" ca="1" si="0">SUM(B5:P5)</f>
        <v>17876.449112341354</v>
      </c>
    </row>
    <row r="6" spans="1:17">
      <c r="A6" s="477" t="s">
        <v>194</v>
      </c>
      <c r="B6" s="478">
        <f>'openbare verlichting'!B8</f>
        <v>976.09</v>
      </c>
      <c r="C6" s="478"/>
      <c r="D6" s="478"/>
      <c r="E6" s="478"/>
      <c r="F6" s="478"/>
      <c r="G6" s="478"/>
      <c r="H6" s="478"/>
      <c r="I6" s="478"/>
      <c r="J6" s="478"/>
      <c r="K6" s="478"/>
      <c r="L6" s="478"/>
      <c r="M6" s="478"/>
      <c r="N6" s="478"/>
      <c r="O6" s="478"/>
      <c r="P6" s="479"/>
      <c r="Q6" s="477">
        <f t="shared" si="0"/>
        <v>976.09</v>
      </c>
    </row>
    <row r="7" spans="1:17">
      <c r="A7" s="477" t="s">
        <v>112</v>
      </c>
      <c r="B7" s="478">
        <f>landbouw!B8</f>
        <v>512.83399999999995</v>
      </c>
      <c r="C7" s="478">
        <f>landbouw!C8</f>
        <v>0</v>
      </c>
      <c r="D7" s="478">
        <f>landbouw!D8</f>
        <v>156.45460600000001</v>
      </c>
      <c r="E7" s="478">
        <f>landbouw!E8</f>
        <v>4.7500833026235352</v>
      </c>
      <c r="F7" s="478">
        <f>landbouw!F8</f>
        <v>1301.1575527767438</v>
      </c>
      <c r="G7" s="478">
        <f>landbouw!G8</f>
        <v>0</v>
      </c>
      <c r="H7" s="478">
        <f>landbouw!H8</f>
        <v>0</v>
      </c>
      <c r="I7" s="478">
        <f>landbouw!I8</f>
        <v>0</v>
      </c>
      <c r="J7" s="478">
        <f>landbouw!J8</f>
        <v>78.62317544414384</v>
      </c>
      <c r="K7" s="478">
        <f>landbouw!K8</f>
        <v>0</v>
      </c>
      <c r="L7" s="478">
        <f>landbouw!L8</f>
        <v>0</v>
      </c>
      <c r="M7" s="478">
        <f>landbouw!M8</f>
        <v>0</v>
      </c>
      <c r="N7" s="478">
        <f>landbouw!N8</f>
        <v>0</v>
      </c>
      <c r="O7" s="478">
        <f>landbouw!O8</f>
        <v>0</v>
      </c>
      <c r="P7" s="479">
        <f>landbouw!P8</f>
        <v>0</v>
      </c>
      <c r="Q7" s="477">
        <f t="shared" si="0"/>
        <v>2053.8194175235112</v>
      </c>
    </row>
    <row r="8" spans="1:17">
      <c r="A8" s="477" t="s">
        <v>650</v>
      </c>
      <c r="B8" s="478">
        <f>industrie!B18</f>
        <v>21087.782999999996</v>
      </c>
      <c r="C8" s="478">
        <f>industrie!C18</f>
        <v>1301.7857142857144</v>
      </c>
      <c r="D8" s="478">
        <f>industrie!D18</f>
        <v>14258.145971428572</v>
      </c>
      <c r="E8" s="478">
        <f>industrie!E18</f>
        <v>721.7807166235109</v>
      </c>
      <c r="F8" s="478">
        <f>industrie!F18</f>
        <v>8252.7570414603615</v>
      </c>
      <c r="G8" s="478">
        <f>industrie!G18</f>
        <v>0</v>
      </c>
      <c r="H8" s="478">
        <f>industrie!H18</f>
        <v>0</v>
      </c>
      <c r="I8" s="478">
        <f>industrie!I18</f>
        <v>0</v>
      </c>
      <c r="J8" s="478">
        <f>industrie!J18</f>
        <v>29.630557144499193</v>
      </c>
      <c r="K8" s="478">
        <f>industrie!K18</f>
        <v>0</v>
      </c>
      <c r="L8" s="478">
        <f>industrie!L18</f>
        <v>0</v>
      </c>
      <c r="M8" s="478">
        <f>industrie!M18</f>
        <v>0</v>
      </c>
      <c r="N8" s="478">
        <f>industrie!N18</f>
        <v>1471.2921312486019</v>
      </c>
      <c r="O8" s="478">
        <f>industrie!O18</f>
        <v>0</v>
      </c>
      <c r="P8" s="479">
        <f>industrie!P18</f>
        <v>0</v>
      </c>
      <c r="Q8" s="477">
        <f t="shared" si="0"/>
        <v>47123.175132191252</v>
      </c>
    </row>
    <row r="9" spans="1:17" s="483" customFormat="1">
      <c r="A9" s="481" t="s">
        <v>571</v>
      </c>
      <c r="B9" s="482">
        <f>transport!B14</f>
        <v>13.923374795095521</v>
      </c>
      <c r="C9" s="482">
        <f>transport!C14</f>
        <v>0</v>
      </c>
      <c r="D9" s="482">
        <f>transport!D14</f>
        <v>38.60569534542104</v>
      </c>
      <c r="E9" s="482">
        <f>transport!E14</f>
        <v>266.73597729663879</v>
      </c>
      <c r="F9" s="482">
        <f>transport!F14</f>
        <v>0</v>
      </c>
      <c r="G9" s="482">
        <f>transport!G14</f>
        <v>71836.260136686324</v>
      </c>
      <c r="H9" s="482">
        <f>transport!H14</f>
        <v>14778.89984145688</v>
      </c>
      <c r="I9" s="482">
        <f>transport!I14</f>
        <v>0</v>
      </c>
      <c r="J9" s="482">
        <f>transport!J14</f>
        <v>0</v>
      </c>
      <c r="K9" s="482">
        <f>transport!K14</f>
        <v>0</v>
      </c>
      <c r="L9" s="482">
        <f>transport!L14</f>
        <v>0</v>
      </c>
      <c r="M9" s="482">
        <f>transport!M14</f>
        <v>4610.3520448938034</v>
      </c>
      <c r="N9" s="482">
        <f>transport!N14</f>
        <v>0</v>
      </c>
      <c r="O9" s="482">
        <f>transport!O14</f>
        <v>0</v>
      </c>
      <c r="P9" s="482">
        <f>transport!P14</f>
        <v>0</v>
      </c>
      <c r="Q9" s="481">
        <f>SUM(B9:P9)</f>
        <v>91544.777070474171</v>
      </c>
    </row>
    <row r="10" spans="1:17">
      <c r="A10" s="477" t="s">
        <v>561</v>
      </c>
      <c r="B10" s="478">
        <f>transport!B54</f>
        <v>0</v>
      </c>
      <c r="C10" s="478">
        <f>transport!C54</f>
        <v>0</v>
      </c>
      <c r="D10" s="478">
        <f>transport!D54</f>
        <v>0</v>
      </c>
      <c r="E10" s="478">
        <f>transport!E54</f>
        <v>0</v>
      </c>
      <c r="F10" s="478">
        <f>transport!F54</f>
        <v>0</v>
      </c>
      <c r="G10" s="478">
        <f>transport!G54</f>
        <v>1064.8098086477685</v>
      </c>
      <c r="H10" s="478">
        <f>transport!H54</f>
        <v>0</v>
      </c>
      <c r="I10" s="478">
        <f>transport!I54</f>
        <v>0</v>
      </c>
      <c r="J10" s="478">
        <f>transport!J54</f>
        <v>0</v>
      </c>
      <c r="K10" s="478">
        <f>transport!K54</f>
        <v>0</v>
      </c>
      <c r="L10" s="478">
        <f>transport!L54</f>
        <v>0</v>
      </c>
      <c r="M10" s="478">
        <f>transport!M54</f>
        <v>60.722999298907972</v>
      </c>
      <c r="N10" s="478">
        <f>transport!N54</f>
        <v>0</v>
      </c>
      <c r="O10" s="478">
        <f>transport!O54</f>
        <v>0</v>
      </c>
      <c r="P10" s="479">
        <f>transport!P54</f>
        <v>0</v>
      </c>
      <c r="Q10" s="477">
        <f t="shared" si="0"/>
        <v>1125.5328079466765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3594.2424088397788</v>
      </c>
      <c r="C14" s="485"/>
      <c r="D14" s="485">
        <f>'SEAP template'!E25</f>
        <v>1215.752</v>
      </c>
      <c r="E14" s="485"/>
      <c r="F14" s="485"/>
      <c r="G14" s="485"/>
      <c r="H14" s="485"/>
      <c r="I14" s="485"/>
      <c r="J14" s="485"/>
      <c r="K14" s="485"/>
      <c r="L14" s="485"/>
      <c r="M14" s="485"/>
      <c r="N14" s="485"/>
      <c r="O14" s="485"/>
      <c r="P14" s="486"/>
      <c r="Q14" s="477">
        <f t="shared" si="0"/>
        <v>4809.9944088397788</v>
      </c>
    </row>
    <row r="15" spans="1:17" s="487" customFormat="1">
      <c r="A15" s="1051" t="s">
        <v>565</v>
      </c>
      <c r="B15" s="991">
        <f ca="1">SUM(B4:B14)</f>
        <v>63717.066913021707</v>
      </c>
      <c r="C15" s="991">
        <f t="shared" ref="C15:Q15" ca="1" si="1">SUM(C4:C14)</f>
        <v>1301.7857142857144</v>
      </c>
      <c r="D15" s="991">
        <f t="shared" ca="1" si="1"/>
        <v>54302.916250773997</v>
      </c>
      <c r="E15" s="991">
        <f t="shared" si="1"/>
        <v>4438.0275607054336</v>
      </c>
      <c r="F15" s="991">
        <f t="shared" ca="1" si="1"/>
        <v>90136.698728529911</v>
      </c>
      <c r="G15" s="991">
        <f t="shared" si="1"/>
        <v>72901.069945334093</v>
      </c>
      <c r="H15" s="991">
        <f t="shared" si="1"/>
        <v>14778.89984145688</v>
      </c>
      <c r="I15" s="991">
        <f t="shared" si="1"/>
        <v>0</v>
      </c>
      <c r="J15" s="991">
        <f t="shared" si="1"/>
        <v>108.25373258864303</v>
      </c>
      <c r="K15" s="991">
        <f t="shared" si="1"/>
        <v>0</v>
      </c>
      <c r="L15" s="991">
        <f t="shared" ca="1" si="1"/>
        <v>0</v>
      </c>
      <c r="M15" s="991">
        <f t="shared" si="1"/>
        <v>4671.0750441927112</v>
      </c>
      <c r="N15" s="991">
        <f t="shared" ca="1" si="1"/>
        <v>9758.9531328247413</v>
      </c>
      <c r="O15" s="991">
        <f t="shared" si="1"/>
        <v>118.81333333333333</v>
      </c>
      <c r="P15" s="991">
        <f t="shared" si="1"/>
        <v>572</v>
      </c>
      <c r="Q15" s="991">
        <f t="shared" ca="1" si="1"/>
        <v>316805.56019704713</v>
      </c>
    </row>
    <row r="17" spans="1:17">
      <c r="A17" s="488" t="s">
        <v>566</v>
      </c>
      <c r="B17" s="787">
        <f ca="1">huishoudens!B10</f>
        <v>0.21037696356086497</v>
      </c>
      <c r="C17" s="787">
        <f ca="1">huishoudens!C10</f>
        <v>0.23764705882352943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6056.1269366707184</v>
      </c>
      <c r="C22" s="478">
        <f t="shared" ref="C22:C32" ca="1" si="3">C4*$C$17</f>
        <v>0</v>
      </c>
      <c r="D22" s="478">
        <f t="shared" ref="D22:D32" si="4">D4*$D$17</f>
        <v>6525.0885547760008</v>
      </c>
      <c r="E22" s="478">
        <f t="shared" ref="E22:E32" si="5">E4*$E$17</f>
        <v>762.65209407385373</v>
      </c>
      <c r="F22" s="478">
        <f t="shared" ref="F22:F32" si="6">F4*$F$17</f>
        <v>21152.604207855569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34496.471793376142</v>
      </c>
    </row>
    <row r="23" spans="1:17">
      <c r="A23" s="477" t="s">
        <v>156</v>
      </c>
      <c r="B23" s="478">
        <f t="shared" ca="1" si="2"/>
        <v>1839.7821000466058</v>
      </c>
      <c r="C23" s="478">
        <f t="shared" ca="1" si="3"/>
        <v>0</v>
      </c>
      <c r="D23" s="478">
        <f t="shared" ca="1" si="4"/>
        <v>1278.9709567800003</v>
      </c>
      <c r="E23" s="478">
        <f t="shared" si="5"/>
        <v>19.308603776710463</v>
      </c>
      <c r="F23" s="478">
        <f t="shared" ca="1" si="6"/>
        <v>362.99915600060825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3501.0608166039246</v>
      </c>
    </row>
    <row r="24" spans="1:17">
      <c r="A24" s="477" t="s">
        <v>194</v>
      </c>
      <c r="B24" s="478">
        <f t="shared" ca="1" si="2"/>
        <v>205.34685036212468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205.34685036212468</v>
      </c>
    </row>
    <row r="25" spans="1:17">
      <c r="A25" s="477" t="s">
        <v>112</v>
      </c>
      <c r="B25" s="478">
        <f t="shared" ca="1" si="2"/>
        <v>107.88845973077261</v>
      </c>
      <c r="C25" s="478">
        <f t="shared" ca="1" si="3"/>
        <v>0</v>
      </c>
      <c r="D25" s="478">
        <f t="shared" si="4"/>
        <v>31.603830412000004</v>
      </c>
      <c r="E25" s="478">
        <f t="shared" si="5"/>
        <v>1.0782689096955425</v>
      </c>
      <c r="F25" s="478">
        <f t="shared" si="6"/>
        <v>347.40906659139063</v>
      </c>
      <c r="G25" s="478">
        <f t="shared" si="7"/>
        <v>0</v>
      </c>
      <c r="H25" s="478">
        <f t="shared" si="8"/>
        <v>0</v>
      </c>
      <c r="I25" s="478">
        <f t="shared" si="9"/>
        <v>0</v>
      </c>
      <c r="J25" s="478">
        <f t="shared" si="10"/>
        <v>27.832604107226917</v>
      </c>
      <c r="K25" s="478">
        <f t="shared" si="11"/>
        <v>0</v>
      </c>
      <c r="L25" s="478">
        <f t="shared" si="12"/>
        <v>0</v>
      </c>
      <c r="M25" s="478">
        <f t="shared" si="13"/>
        <v>0</v>
      </c>
      <c r="N25" s="478">
        <f t="shared" si="14"/>
        <v>0</v>
      </c>
      <c r="O25" s="478">
        <f t="shared" si="15"/>
        <v>0</v>
      </c>
      <c r="P25" s="479">
        <f t="shared" si="16"/>
        <v>0</v>
      </c>
      <c r="Q25" s="477">
        <f t="shared" ca="1" si="17"/>
        <v>515.81222975108562</v>
      </c>
    </row>
    <row r="26" spans="1:17">
      <c r="A26" s="477" t="s">
        <v>650</v>
      </c>
      <c r="B26" s="478">
        <f t="shared" ca="1" si="2"/>
        <v>4436.3837557704264</v>
      </c>
      <c r="C26" s="478">
        <f t="shared" ca="1" si="3"/>
        <v>309.36554621848745</v>
      </c>
      <c r="D26" s="478">
        <f t="shared" si="4"/>
        <v>2880.1454862285718</v>
      </c>
      <c r="E26" s="478">
        <f t="shared" si="5"/>
        <v>163.84422267353699</v>
      </c>
      <c r="F26" s="478">
        <f t="shared" si="6"/>
        <v>2203.4861300699167</v>
      </c>
      <c r="G26" s="478">
        <f t="shared" si="7"/>
        <v>0</v>
      </c>
      <c r="H26" s="478">
        <f t="shared" si="8"/>
        <v>0</v>
      </c>
      <c r="I26" s="478">
        <f t="shared" si="9"/>
        <v>0</v>
      </c>
      <c r="J26" s="478">
        <f t="shared" si="10"/>
        <v>10.489217229152713</v>
      </c>
      <c r="K26" s="478">
        <f t="shared" si="11"/>
        <v>0</v>
      </c>
      <c r="L26" s="478">
        <f t="shared" si="12"/>
        <v>0</v>
      </c>
      <c r="M26" s="478">
        <f t="shared" si="13"/>
        <v>0</v>
      </c>
      <c r="N26" s="478">
        <f t="shared" si="14"/>
        <v>0</v>
      </c>
      <c r="O26" s="478">
        <f t="shared" si="15"/>
        <v>0</v>
      </c>
      <c r="P26" s="479">
        <f t="shared" si="16"/>
        <v>0</v>
      </c>
      <c r="Q26" s="477">
        <f t="shared" ca="1" si="17"/>
        <v>10003.714358190091</v>
      </c>
    </row>
    <row r="27" spans="1:17" s="483" customFormat="1">
      <c r="A27" s="481" t="s">
        <v>571</v>
      </c>
      <c r="B27" s="781">
        <f t="shared" ca="1" si="2"/>
        <v>2.9291573119120762</v>
      </c>
      <c r="C27" s="482">
        <f t="shared" ca="1" si="3"/>
        <v>0</v>
      </c>
      <c r="D27" s="482">
        <f t="shared" si="4"/>
        <v>7.798350459775051</v>
      </c>
      <c r="E27" s="482">
        <f t="shared" si="5"/>
        <v>60.549066846337006</v>
      </c>
      <c r="F27" s="482">
        <f t="shared" si="6"/>
        <v>0</v>
      </c>
      <c r="G27" s="482">
        <f t="shared" si="7"/>
        <v>19180.28145649525</v>
      </c>
      <c r="H27" s="482">
        <f t="shared" si="8"/>
        <v>3679.9460605227632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22931.504091636038</v>
      </c>
    </row>
    <row r="28" spans="1:17">
      <c r="A28" s="477" t="s">
        <v>561</v>
      </c>
      <c r="B28" s="478">
        <f t="shared" ca="1" si="2"/>
        <v>0</v>
      </c>
      <c r="C28" s="478">
        <f t="shared" ca="1" si="3"/>
        <v>0</v>
      </c>
      <c r="D28" s="478">
        <f t="shared" si="4"/>
        <v>0</v>
      </c>
      <c r="E28" s="478">
        <f t="shared" si="5"/>
        <v>0</v>
      </c>
      <c r="F28" s="478">
        <f t="shared" si="6"/>
        <v>0</v>
      </c>
      <c r="G28" s="478">
        <f t="shared" si="7"/>
        <v>284.30421890895423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284.30421890895423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756.14580427340172</v>
      </c>
      <c r="C32" s="478">
        <f t="shared" ca="1" si="3"/>
        <v>0</v>
      </c>
      <c r="D32" s="478">
        <f t="shared" si="4"/>
        <v>245.58190400000001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1001.7277082734017</v>
      </c>
    </row>
    <row r="33" spans="1:17" s="487" customFormat="1">
      <c r="A33" s="1051" t="s">
        <v>565</v>
      </c>
      <c r="B33" s="991">
        <f ca="1">SUM(B22:B32)</f>
        <v>13404.60306416596</v>
      </c>
      <c r="C33" s="991">
        <f t="shared" ref="C33:Q33" ca="1" si="18">SUM(C22:C32)</f>
        <v>309.36554621848745</v>
      </c>
      <c r="D33" s="991">
        <f t="shared" ca="1" si="18"/>
        <v>10969.189082656347</v>
      </c>
      <c r="E33" s="991">
        <f t="shared" si="18"/>
        <v>1007.4322562801339</v>
      </c>
      <c r="F33" s="991">
        <f t="shared" ca="1" si="18"/>
        <v>24066.498560517484</v>
      </c>
      <c r="G33" s="991">
        <f t="shared" si="18"/>
        <v>19464.585675404203</v>
      </c>
      <c r="H33" s="991">
        <f t="shared" si="18"/>
        <v>3679.9460605227632</v>
      </c>
      <c r="I33" s="991">
        <f t="shared" si="18"/>
        <v>0</v>
      </c>
      <c r="J33" s="991">
        <f t="shared" si="18"/>
        <v>38.321821336379628</v>
      </c>
      <c r="K33" s="991">
        <f t="shared" si="18"/>
        <v>0</v>
      </c>
      <c r="L33" s="991">
        <f t="shared" ca="1" si="18"/>
        <v>0</v>
      </c>
      <c r="M33" s="991">
        <f t="shared" si="18"/>
        <v>0</v>
      </c>
      <c r="N33" s="991">
        <f t="shared" ca="1" si="18"/>
        <v>0</v>
      </c>
      <c r="O33" s="991">
        <f t="shared" si="18"/>
        <v>0</v>
      </c>
      <c r="P33" s="991">
        <f t="shared" si="18"/>
        <v>0</v>
      </c>
      <c r="Q33" s="991">
        <f t="shared" ca="1" si="18"/>
        <v>72939.942067101772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3131.3952758587211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911.25000000000011</v>
      </c>
      <c r="D8" s="1068">
        <f>'SEAP template'!D76</f>
        <v>1072.0588235294119</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216.55588235294124</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3131.3952758587211</v>
      </c>
      <c r="C10" s="1072">
        <f>SUM(C4:C9)</f>
        <v>911.25000000000011</v>
      </c>
      <c r="D10" s="1072">
        <f t="shared" ref="D10:H10" si="0">SUM(D8:D9)</f>
        <v>1072.0588235294119</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216.55588235294124</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0.21037696356086497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1301.7857142857144</v>
      </c>
      <c r="D17" s="1069">
        <f>'SEAP template'!D87</f>
        <v>1531.512605042017</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309.36554621848745</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1301.7857142857144</v>
      </c>
      <c r="D20" s="1072">
        <f t="shared" ref="D20:H20" si="2">SUM(D17:D19)</f>
        <v>1531.512605042017</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309.36554621848745</v>
      </c>
    </row>
    <row r="22" spans="1:16">
      <c r="A22" s="488" t="s">
        <v>888</v>
      </c>
      <c r="B22" s="787" t="s">
        <v>882</v>
      </c>
      <c r="C22" s="78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0.21037696356086497</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0.21037696356086497</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0.21037696356086497</v>
      </c>
      <c r="C29" s="526">
        <f ca="1">'EF ele_warmte'!B22</f>
        <v>0.23764705882352943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24059</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6573</v>
      </c>
      <c r="C9" s="342">
        <v>7128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3957</v>
      </c>
    </row>
    <row r="15" spans="1:6">
      <c r="A15" s="348" t="s">
        <v>184</v>
      </c>
      <c r="B15" s="334">
        <v>4</v>
      </c>
    </row>
    <row r="16" spans="1:6">
      <c r="A16" s="348" t="s">
        <v>6</v>
      </c>
      <c r="B16" s="334">
        <v>145</v>
      </c>
    </row>
    <row r="17" spans="1:6">
      <c r="A17" s="348" t="s">
        <v>7</v>
      </c>
      <c r="B17" s="334">
        <v>254</v>
      </c>
    </row>
    <row r="18" spans="1:6">
      <c r="A18" s="348" t="s">
        <v>8</v>
      </c>
      <c r="B18" s="334">
        <v>325</v>
      </c>
    </row>
    <row r="19" spans="1:6">
      <c r="A19" s="348" t="s">
        <v>9</v>
      </c>
      <c r="B19" s="334">
        <v>264</v>
      </c>
    </row>
    <row r="20" spans="1:6">
      <c r="A20" s="348" t="s">
        <v>10</v>
      </c>
      <c r="B20" s="334">
        <v>208</v>
      </c>
    </row>
    <row r="21" spans="1:6">
      <c r="A21" s="348" t="s">
        <v>11</v>
      </c>
      <c r="B21" s="334">
        <v>738</v>
      </c>
    </row>
    <row r="22" spans="1:6">
      <c r="A22" s="348" t="s">
        <v>12</v>
      </c>
      <c r="B22" s="334">
        <v>2202</v>
      </c>
    </row>
    <row r="23" spans="1:6">
      <c r="A23" s="348" t="s">
        <v>13</v>
      </c>
      <c r="B23" s="334">
        <v>55</v>
      </c>
    </row>
    <row r="24" spans="1:6">
      <c r="A24" s="348" t="s">
        <v>14</v>
      </c>
      <c r="B24" s="334">
        <v>2</v>
      </c>
    </row>
    <row r="25" spans="1:6">
      <c r="A25" s="348" t="s">
        <v>15</v>
      </c>
      <c r="B25" s="334">
        <v>194</v>
      </c>
    </row>
    <row r="26" spans="1:6">
      <c r="A26" s="348" t="s">
        <v>16</v>
      </c>
      <c r="B26" s="334">
        <v>233</v>
      </c>
    </row>
    <row r="27" spans="1:6">
      <c r="A27" s="348" t="s">
        <v>17</v>
      </c>
      <c r="B27" s="334">
        <v>3</v>
      </c>
    </row>
    <row r="28" spans="1:6" s="356" customFormat="1">
      <c r="A28" s="355" t="s">
        <v>18</v>
      </c>
      <c r="B28" s="355">
        <v>10750</v>
      </c>
    </row>
    <row r="29" spans="1:6">
      <c r="A29" s="355" t="s">
        <v>901</v>
      </c>
      <c r="B29" s="355">
        <v>37</v>
      </c>
      <c r="C29" s="356"/>
      <c r="D29" s="356"/>
      <c r="E29" s="356"/>
      <c r="F29" s="356"/>
    </row>
    <row r="30" spans="1:6">
      <c r="A30" s="341" t="s">
        <v>902</v>
      </c>
      <c r="B30" s="341">
        <v>26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76210</v>
      </c>
    </row>
    <row r="39" spans="1:6">
      <c r="A39" s="348" t="s">
        <v>30</v>
      </c>
      <c r="B39" s="348" t="s">
        <v>31</v>
      </c>
      <c r="C39" s="334">
        <v>2073</v>
      </c>
      <c r="D39" s="334">
        <v>35811994</v>
      </c>
      <c r="E39" s="334">
        <v>6765</v>
      </c>
      <c r="F39" s="334">
        <v>26198012</v>
      </c>
    </row>
    <row r="40" spans="1:6">
      <c r="A40" s="348" t="s">
        <v>30</v>
      </c>
      <c r="B40" s="348" t="s">
        <v>29</v>
      </c>
      <c r="C40" s="334">
        <v>0</v>
      </c>
      <c r="D40" s="334">
        <v>0</v>
      </c>
      <c r="E40" s="334">
        <v>0</v>
      </c>
      <c r="F40" s="334">
        <v>0</v>
      </c>
    </row>
    <row r="41" spans="1:6">
      <c r="A41" s="348" t="s">
        <v>32</v>
      </c>
      <c r="B41" s="348" t="s">
        <v>33</v>
      </c>
      <c r="C41" s="334">
        <v>13</v>
      </c>
      <c r="D41" s="334">
        <v>338570</v>
      </c>
      <c r="E41" s="334">
        <v>58</v>
      </c>
      <c r="F41" s="334">
        <v>827390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16609182</v>
      </c>
      <c r="E44" s="334">
        <v>13</v>
      </c>
      <c r="F44" s="334">
        <v>17148481</v>
      </c>
    </row>
    <row r="45" spans="1:6">
      <c r="A45" s="348" t="s">
        <v>32</v>
      </c>
      <c r="B45" s="348" t="s">
        <v>37</v>
      </c>
      <c r="C45" s="334">
        <v>0</v>
      </c>
      <c r="D45" s="334">
        <v>0</v>
      </c>
      <c r="E45" s="334">
        <v>5</v>
      </c>
      <c r="F45" s="334">
        <v>39921</v>
      </c>
    </row>
    <row r="46" spans="1:6">
      <c r="A46" s="348" t="s">
        <v>32</v>
      </c>
      <c r="B46" s="348" t="s">
        <v>38</v>
      </c>
      <c r="C46" s="334">
        <v>0</v>
      </c>
      <c r="D46" s="334">
        <v>0</v>
      </c>
      <c r="E46" s="334">
        <v>0</v>
      </c>
      <c r="F46" s="334">
        <v>0</v>
      </c>
    </row>
    <row r="47" spans="1:6">
      <c r="A47" s="348" t="s">
        <v>32</v>
      </c>
      <c r="B47" s="348" t="s">
        <v>39</v>
      </c>
      <c r="C47" s="334">
        <v>0</v>
      </c>
      <c r="D47" s="334">
        <v>0</v>
      </c>
      <c r="E47" s="334">
        <v>3</v>
      </c>
      <c r="F47" s="334">
        <v>46412</v>
      </c>
    </row>
    <row r="48" spans="1:6">
      <c r="A48" s="348" t="s">
        <v>32</v>
      </c>
      <c r="B48" s="348" t="s">
        <v>29</v>
      </c>
      <c r="C48" s="334">
        <v>5</v>
      </c>
      <c r="D48" s="334">
        <v>1745948</v>
      </c>
      <c r="E48" s="334">
        <v>2</v>
      </c>
      <c r="F48" s="334">
        <v>1065534</v>
      </c>
    </row>
    <row r="49" spans="1:6">
      <c r="A49" s="348" t="s">
        <v>32</v>
      </c>
      <c r="B49" s="348" t="s">
        <v>40</v>
      </c>
      <c r="C49" s="334">
        <v>0</v>
      </c>
      <c r="D49" s="334">
        <v>0</v>
      </c>
      <c r="E49" s="334">
        <v>0</v>
      </c>
      <c r="F49" s="334">
        <v>0</v>
      </c>
    </row>
    <row r="50" spans="1:6">
      <c r="A50" s="348" t="s">
        <v>32</v>
      </c>
      <c r="B50" s="348" t="s">
        <v>41</v>
      </c>
      <c r="C50" s="334">
        <v>0</v>
      </c>
      <c r="D50" s="334">
        <v>0</v>
      </c>
      <c r="E50" s="334">
        <v>16</v>
      </c>
      <c r="F50" s="334">
        <v>1048795</v>
      </c>
    </row>
    <row r="51" spans="1:6">
      <c r="A51" s="348" t="s">
        <v>42</v>
      </c>
      <c r="B51" s="348" t="s">
        <v>43</v>
      </c>
      <c r="C51" s="334">
        <v>8</v>
      </c>
      <c r="D51" s="334">
        <v>173453</v>
      </c>
      <c r="E51" s="334">
        <v>56</v>
      </c>
      <c r="F51" s="334">
        <v>512834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v>
      </c>
      <c r="F54" s="334">
        <v>976090</v>
      </c>
    </row>
    <row r="55" spans="1:6">
      <c r="A55" s="348" t="s">
        <v>46</v>
      </c>
      <c r="B55" s="348" t="s">
        <v>29</v>
      </c>
      <c r="C55" s="334">
        <v>0</v>
      </c>
      <c r="D55" s="334">
        <v>0</v>
      </c>
      <c r="E55" s="334">
        <v>0</v>
      </c>
      <c r="F55" s="334">
        <v>0</v>
      </c>
    </row>
    <row r="56" spans="1:6">
      <c r="A56" s="348" t="s">
        <v>48</v>
      </c>
      <c r="B56" s="348" t="s">
        <v>29</v>
      </c>
      <c r="C56" s="334">
        <v>23</v>
      </c>
      <c r="D56" s="334">
        <v>1215752</v>
      </c>
      <c r="E56" s="334">
        <v>142</v>
      </c>
      <c r="F56" s="334">
        <v>3594242.408839779</v>
      </c>
    </row>
    <row r="57" spans="1:6">
      <c r="A57" s="348" t="s">
        <v>49</v>
      </c>
      <c r="B57" s="348" t="s">
        <v>50</v>
      </c>
      <c r="C57" s="334">
        <v>12</v>
      </c>
      <c r="D57" s="334">
        <v>338874</v>
      </c>
      <c r="E57" s="334">
        <v>81</v>
      </c>
      <c r="F57" s="334">
        <v>1849719</v>
      </c>
    </row>
    <row r="58" spans="1:6">
      <c r="A58" s="348" t="s">
        <v>49</v>
      </c>
      <c r="B58" s="348" t="s">
        <v>51</v>
      </c>
      <c r="C58" s="334">
        <v>9</v>
      </c>
      <c r="D58" s="334">
        <v>1191744</v>
      </c>
      <c r="E58" s="334">
        <v>21</v>
      </c>
      <c r="F58" s="334">
        <v>452377</v>
      </c>
    </row>
    <row r="59" spans="1:6">
      <c r="A59" s="348" t="s">
        <v>49</v>
      </c>
      <c r="B59" s="348" t="s">
        <v>52</v>
      </c>
      <c r="C59" s="334">
        <v>41</v>
      </c>
      <c r="D59" s="334">
        <v>2043133</v>
      </c>
      <c r="E59" s="334">
        <v>118</v>
      </c>
      <c r="F59" s="334">
        <v>3282524</v>
      </c>
    </row>
    <row r="60" spans="1:6">
      <c r="A60" s="348" t="s">
        <v>49</v>
      </c>
      <c r="B60" s="348" t="s">
        <v>53</v>
      </c>
      <c r="C60" s="334">
        <v>23</v>
      </c>
      <c r="D60" s="334">
        <v>1078640</v>
      </c>
      <c r="E60" s="334">
        <v>39</v>
      </c>
      <c r="F60" s="334">
        <v>876121</v>
      </c>
    </row>
    <row r="61" spans="1:6">
      <c r="A61" s="348" t="s">
        <v>49</v>
      </c>
      <c r="B61" s="348" t="s">
        <v>54</v>
      </c>
      <c r="C61" s="334">
        <v>54</v>
      </c>
      <c r="D61" s="334">
        <v>2136175</v>
      </c>
      <c r="E61" s="334">
        <v>185</v>
      </c>
      <c r="F61" s="334">
        <v>2152167</v>
      </c>
    </row>
    <row r="62" spans="1:6">
      <c r="A62" s="348" t="s">
        <v>49</v>
      </c>
      <c r="B62" s="348" t="s">
        <v>55</v>
      </c>
      <c r="C62" s="334">
        <v>4</v>
      </c>
      <c r="D62" s="334">
        <v>230879</v>
      </c>
      <c r="E62" s="334">
        <v>8</v>
      </c>
      <c r="F62" s="334">
        <v>132261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15214</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145657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36701907</v>
      </c>
      <c r="E73" s="476">
        <v>37727745.743849039</v>
      </c>
    </row>
    <row r="74" spans="1:6">
      <c r="A74" s="348" t="s">
        <v>64</v>
      </c>
      <c r="B74" s="348" t="s">
        <v>714</v>
      </c>
      <c r="C74" s="1311" t="s">
        <v>716</v>
      </c>
      <c r="D74" s="476">
        <v>2015338.3810650664</v>
      </c>
      <c r="E74" s="476">
        <v>2085892.1139631274</v>
      </c>
    </row>
    <row r="75" spans="1:6">
      <c r="A75" s="348" t="s">
        <v>65</v>
      </c>
      <c r="B75" s="348" t="s">
        <v>713</v>
      </c>
      <c r="C75" s="1311" t="s">
        <v>717</v>
      </c>
      <c r="D75" s="476">
        <v>23658245</v>
      </c>
      <c r="E75" s="476">
        <v>24285699.965346124</v>
      </c>
    </row>
    <row r="76" spans="1:6">
      <c r="A76" s="348" t="s">
        <v>65</v>
      </c>
      <c r="B76" s="348" t="s">
        <v>714</v>
      </c>
      <c r="C76" s="1311" t="s">
        <v>718</v>
      </c>
      <c r="D76" s="476">
        <v>432836.38106506632</v>
      </c>
      <c r="E76" s="476">
        <v>449209.73450961278</v>
      </c>
    </row>
    <row r="77" spans="1:6">
      <c r="A77" s="348" t="s">
        <v>66</v>
      </c>
      <c r="B77" s="348" t="s">
        <v>713</v>
      </c>
      <c r="C77" s="1311" t="s">
        <v>719</v>
      </c>
      <c r="D77" s="476">
        <v>41230633</v>
      </c>
      <c r="E77" s="476">
        <v>43614104.339726254</v>
      </c>
    </row>
    <row r="78" spans="1:6">
      <c r="A78" s="341" t="s">
        <v>66</v>
      </c>
      <c r="B78" s="341" t="s">
        <v>714</v>
      </c>
      <c r="C78" s="341" t="s">
        <v>720</v>
      </c>
      <c r="D78" s="1307">
        <v>5315856</v>
      </c>
      <c r="E78" s="1307">
        <v>5531609.7675319659</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300769.2378698673</v>
      </c>
      <c r="C83" s="476">
        <v>298971.42347102269</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2589.0131293868362</v>
      </c>
    </row>
    <row r="92" spans="1:6">
      <c r="A92" s="341" t="s">
        <v>69</v>
      </c>
      <c r="B92" s="342">
        <v>542.38214647188511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430</v>
      </c>
    </row>
    <row r="98" spans="1:6">
      <c r="A98" s="348" t="s">
        <v>72</v>
      </c>
      <c r="B98" s="334">
        <v>3</v>
      </c>
    </row>
    <row r="99" spans="1:6">
      <c r="A99" s="348" t="s">
        <v>73</v>
      </c>
      <c r="B99" s="334">
        <v>68</v>
      </c>
    </row>
    <row r="100" spans="1:6">
      <c r="A100" s="348" t="s">
        <v>74</v>
      </c>
      <c r="B100" s="334">
        <v>273</v>
      </c>
    </row>
    <row r="101" spans="1:6">
      <c r="A101" s="348" t="s">
        <v>75</v>
      </c>
      <c r="B101" s="334">
        <v>37</v>
      </c>
    </row>
    <row r="102" spans="1:6">
      <c r="A102" s="348" t="s">
        <v>76</v>
      </c>
      <c r="B102" s="334">
        <v>74</v>
      </c>
    </row>
    <row r="103" spans="1:6">
      <c r="A103" s="348" t="s">
        <v>77</v>
      </c>
      <c r="B103" s="334">
        <v>152</v>
      </c>
    </row>
    <row r="104" spans="1:6">
      <c r="A104" s="348" t="s">
        <v>78</v>
      </c>
      <c r="B104" s="334">
        <v>4697</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64</v>
      </c>
    </row>
    <row r="130" spans="1:6">
      <c r="A130" s="348" t="s">
        <v>295</v>
      </c>
      <c r="B130" s="334">
        <v>0</v>
      </c>
    </row>
    <row r="131" spans="1:6">
      <c r="A131" s="348" t="s">
        <v>296</v>
      </c>
      <c r="B131" s="334">
        <v>0</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63717.066913021699</v>
      </c>
      <c r="C3" s="43" t="s">
        <v>170</v>
      </c>
      <c r="D3" s="43"/>
      <c r="E3" s="154"/>
      <c r="F3" s="43"/>
      <c r="G3" s="43"/>
      <c r="H3" s="43"/>
      <c r="I3" s="43"/>
      <c r="J3" s="43"/>
      <c r="K3" s="96"/>
    </row>
    <row r="4" spans="1:11">
      <c r="A4" s="384" t="s">
        <v>171</v>
      </c>
      <c r="B4" s="49">
        <f>IF(ISERROR('SEAP template'!B78+'SEAP template'!C78),0,'SEAP template'!B78+'SEAP template'!C78)</f>
        <v>4042.6452758587211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216.55588235294124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0.21037696356086497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309.36554621848745</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1301.7857142857144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976.09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976.09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0.21037696356086497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205.34685036212468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26198.011999999999</v>
      </c>
      <c r="C5" s="17">
        <f>IF(ISERROR('Eigen informatie GS &amp; warmtenet'!B57),0,'Eigen informatie GS &amp; warmtenet'!B57)</f>
        <v>0</v>
      </c>
      <c r="D5" s="30">
        <f>(SUM(HH_hh_gas_kWh,HH_rest_gas_kWh)/1000)*0.902</f>
        <v>32302.418588</v>
      </c>
      <c r="E5" s="17">
        <f>B46*B57</f>
        <v>3359.7008549508973</v>
      </c>
      <c r="F5" s="17">
        <f>B51*B62</f>
        <v>79223.23673354146</v>
      </c>
      <c r="G5" s="18"/>
      <c r="H5" s="17"/>
      <c r="I5" s="17"/>
      <c r="J5" s="17">
        <f>B50*B61+C50*C61</f>
        <v>0</v>
      </c>
      <c r="K5" s="17"/>
      <c r="L5" s="17"/>
      <c r="M5" s="17"/>
      <c r="N5" s="17">
        <f>B48*B59+C48*C59</f>
        <v>6932.5276085178912</v>
      </c>
      <c r="O5" s="17">
        <f>B69*B70*B71</f>
        <v>118.81333333333333</v>
      </c>
      <c r="P5" s="17">
        <f>B77*B78*B79/1000-B77*B78*B79/1000/B80</f>
        <v>572</v>
      </c>
    </row>
    <row r="6" spans="1:16">
      <c r="A6" s="16" t="s">
        <v>631</v>
      </c>
      <c r="B6" s="789">
        <f>kWh_PV_kleiner_dan_10kW</f>
        <v>2589.0131293868362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28787.025129386835</v>
      </c>
      <c r="C8" s="21">
        <f>C5</f>
        <v>0</v>
      </c>
      <c r="D8" s="21">
        <f>D5</f>
        <v>32302.418588</v>
      </c>
      <c r="E8" s="21">
        <f>E5</f>
        <v>3359.7008549508973</v>
      </c>
      <c r="F8" s="21">
        <f>F5</f>
        <v>79223.23673354146</v>
      </c>
      <c r="G8" s="21"/>
      <c r="H8" s="21"/>
      <c r="I8" s="21"/>
      <c r="J8" s="21">
        <f>J5</f>
        <v>0</v>
      </c>
      <c r="K8" s="21"/>
      <c r="L8" s="21">
        <f>L5</f>
        <v>0</v>
      </c>
      <c r="M8" s="21">
        <f>M5</f>
        <v>0</v>
      </c>
      <c r="N8" s="21">
        <f>N5</f>
        <v>6932.5276085178912</v>
      </c>
      <c r="O8" s="21">
        <f>O5</f>
        <v>118.81333333333333</v>
      </c>
      <c r="P8" s="21">
        <f>P5</f>
        <v>572</v>
      </c>
    </row>
    <row r="9" spans="1:16">
      <c r="B9" s="19"/>
      <c r="C9" s="19"/>
      <c r="D9" s="258"/>
      <c r="E9" s="19"/>
      <c r="F9" s="19"/>
      <c r="G9" s="19"/>
      <c r="H9" s="19"/>
      <c r="I9" s="19"/>
      <c r="J9" s="19"/>
      <c r="K9" s="19"/>
      <c r="L9" s="19"/>
      <c r="M9" s="19"/>
      <c r="N9" s="19"/>
      <c r="O9" s="19"/>
      <c r="P9" s="19"/>
    </row>
    <row r="10" spans="1:16">
      <c r="A10" s="24" t="s">
        <v>214</v>
      </c>
      <c r="B10" s="25">
        <f ca="1">'EF ele_warmte'!B12</f>
        <v>0.21037696356086497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6056.1269366707184</v>
      </c>
      <c r="C12" s="23">
        <f ca="1">C10*C8</f>
        <v>0</v>
      </c>
      <c r="D12" s="23">
        <f>D8*D10</f>
        <v>6525.0885547760008</v>
      </c>
      <c r="E12" s="23">
        <f>E10*E8</f>
        <v>762.65209407385373</v>
      </c>
      <c r="F12" s="23">
        <f>F10*F8</f>
        <v>21152.604207855569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430</v>
      </c>
      <c r="C18" s="166" t="s">
        <v>111</v>
      </c>
      <c r="D18" s="228"/>
      <c r="E18" s="15"/>
    </row>
    <row r="19" spans="1:7">
      <c r="A19" s="171" t="s">
        <v>72</v>
      </c>
      <c r="B19" s="37">
        <f>aantalw2001_ander</f>
        <v>3</v>
      </c>
      <c r="C19" s="166" t="s">
        <v>111</v>
      </c>
      <c r="D19" s="229"/>
      <c r="E19" s="15"/>
    </row>
    <row r="20" spans="1:7">
      <c r="A20" s="171" t="s">
        <v>73</v>
      </c>
      <c r="B20" s="37">
        <f>aantalw2001_propaan</f>
        <v>68</v>
      </c>
      <c r="C20" s="167">
        <f>IF(ISERROR(B20/SUM($B$20,$B$21,$B$22)*100),0,B20/SUM($B$20,$B$21,$B$22)*100)</f>
        <v>17.989417989417987</v>
      </c>
      <c r="D20" s="229"/>
      <c r="E20" s="15"/>
    </row>
    <row r="21" spans="1:7">
      <c r="A21" s="171" t="s">
        <v>74</v>
      </c>
      <c r="B21" s="37">
        <f>aantalw2001_elektriciteit</f>
        <v>273</v>
      </c>
      <c r="C21" s="167">
        <f>IF(ISERROR(B21/SUM($B$20,$B$21,$B$22)*100),0,B21/SUM($B$20,$B$21,$B$22)*100)</f>
        <v>72.222222222222214</v>
      </c>
      <c r="D21" s="229"/>
      <c r="E21" s="15"/>
    </row>
    <row r="22" spans="1:7">
      <c r="A22" s="171" t="s">
        <v>75</v>
      </c>
      <c r="B22" s="37">
        <f>aantalw2001_hout</f>
        <v>37</v>
      </c>
      <c r="C22" s="167">
        <f>IF(ISERROR(B22/SUM($B$20,$B$21,$B$22)*100),0,B22/SUM($B$20,$B$21,$B$22)*100)</f>
        <v>9.7883597883597879</v>
      </c>
      <c r="D22" s="229"/>
      <c r="E22" s="15"/>
    </row>
    <row r="23" spans="1:7">
      <c r="A23" s="171" t="s">
        <v>76</v>
      </c>
      <c r="B23" s="37">
        <f>aantalw2001_niet_gespec</f>
        <v>74</v>
      </c>
      <c r="C23" s="166" t="s">
        <v>111</v>
      </c>
      <c r="D23" s="228"/>
      <c r="E23" s="15"/>
    </row>
    <row r="24" spans="1:7">
      <c r="A24" s="171" t="s">
        <v>77</v>
      </c>
      <c r="B24" s="37">
        <f>aantalw2001_steenkool</f>
        <v>152</v>
      </c>
      <c r="C24" s="166" t="s">
        <v>111</v>
      </c>
      <c r="D24" s="229"/>
      <c r="E24" s="15"/>
    </row>
    <row r="25" spans="1:7">
      <c r="A25" s="171" t="s">
        <v>78</v>
      </c>
      <c r="B25" s="37">
        <f>aantalw2001_stookolie</f>
        <v>4697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6573</v>
      </c>
      <c r="C28" s="36"/>
      <c r="D28" s="228"/>
    </row>
    <row r="29" spans="1:7" s="15" customFormat="1">
      <c r="A29" s="230" t="s">
        <v>741</v>
      </c>
      <c r="B29" s="37">
        <f>SUM(HH_hh_gas_aantal,HH_rest_gas_aantal)</f>
        <v>2073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2073</v>
      </c>
      <c r="C32" s="167">
        <f>IF(ISERROR(B32/SUM($B$32,$B$34,$B$35,$B$36,$B$38,$B$39)*100),0,B32/SUM($B$32,$B$34,$B$35,$B$36,$B$38,$B$39)*100)</f>
        <v>31.68271435121504</v>
      </c>
      <c r="D32" s="233"/>
      <c r="G32" s="15"/>
    </row>
    <row r="33" spans="1:7">
      <c r="A33" s="171" t="s">
        <v>72</v>
      </c>
      <c r="B33" s="34" t="s">
        <v>111</v>
      </c>
      <c r="C33" s="167"/>
      <c r="D33" s="233"/>
      <c r="G33" s="15"/>
    </row>
    <row r="34" spans="1:7">
      <c r="A34" s="171" t="s">
        <v>73</v>
      </c>
      <c r="B34" s="33">
        <f>IF((($B$28-$B$32-$B$39-$B$77-$B$38)*C20/100)&lt;0,0,($B$28-$B$32-$B$39-$B$77-$B$38)*C20/100)</f>
        <v>225.17354497354492</v>
      </c>
      <c r="C34" s="167">
        <f>IF(ISERROR(B34/SUM($B$32,$B$34,$B$35,$B$36,$B$38,$B$39)*100),0,B34/SUM($B$32,$B$34,$B$35,$B$36,$B$38,$B$39)*100)</f>
        <v>3.4414419222611174</v>
      </c>
      <c r="D34" s="233"/>
      <c r="G34" s="15"/>
    </row>
    <row r="35" spans="1:7">
      <c r="A35" s="171" t="s">
        <v>74</v>
      </c>
      <c r="B35" s="33">
        <f>IF((($B$28-$B$32-$B$39-$B$77-$B$38)*C21/100)&lt;0,0,($B$28-$B$32-$B$39-$B$77-$B$38)*C21/100)</f>
        <v>904.00555555555536</v>
      </c>
      <c r="C35" s="167">
        <f>IF(ISERROR(B35/SUM($B$32,$B$34,$B$35,$B$36,$B$38,$B$39)*100),0,B35/SUM($B$32,$B$34,$B$35,$B$36,$B$38,$B$39)*100)</f>
        <v>13.816377129077722</v>
      </c>
      <c r="D35" s="233"/>
      <c r="G35" s="15"/>
    </row>
    <row r="36" spans="1:7">
      <c r="A36" s="171" t="s">
        <v>75</v>
      </c>
      <c r="B36" s="33">
        <f>IF((($B$28-$B$32-$B$39-$B$77-$B$38)*C22/100)&lt;0,0,($B$28-$B$32-$B$39-$B$77-$B$38)*C22/100)</f>
        <v>122.52089947089944</v>
      </c>
      <c r="C36" s="167">
        <f>IF(ISERROR(B36/SUM($B$32,$B$34,$B$35,$B$36,$B$38,$B$39)*100),0,B36/SUM($B$32,$B$34,$B$35,$B$36,$B$38,$B$39)*100)</f>
        <v>1.8725492812303137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3218.3</v>
      </c>
      <c r="C39" s="167">
        <f>IF(ISERROR(B39/SUM($B$32,$B$34,$B$35,$B$36,$B$38,$B$39)*100),0,B39/SUM($B$32,$B$34,$B$35,$B$36,$B$38,$B$39)*100)</f>
        <v>49.186917316215805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2073</v>
      </c>
      <c r="C44" s="34" t="s">
        <v>111</v>
      </c>
      <c r="D44" s="174"/>
    </row>
    <row r="45" spans="1:7">
      <c r="A45" s="171" t="s">
        <v>72</v>
      </c>
      <c r="B45" s="33" t="str">
        <f t="shared" si="0"/>
        <v>-</v>
      </c>
      <c r="C45" s="34" t="s">
        <v>111</v>
      </c>
      <c r="D45" s="174"/>
    </row>
    <row r="46" spans="1:7">
      <c r="A46" s="171" t="s">
        <v>73</v>
      </c>
      <c r="B46" s="33">
        <f t="shared" si="0"/>
        <v>225.17354497354492</v>
      </c>
      <c r="C46" s="34" t="s">
        <v>111</v>
      </c>
      <c r="D46" s="174"/>
    </row>
    <row r="47" spans="1:7">
      <c r="A47" s="171" t="s">
        <v>74</v>
      </c>
      <c r="B47" s="33">
        <f t="shared" si="0"/>
        <v>904.00555555555536</v>
      </c>
      <c r="C47" s="34" t="s">
        <v>111</v>
      </c>
      <c r="D47" s="174"/>
    </row>
    <row r="48" spans="1:7">
      <c r="A48" s="171" t="s">
        <v>75</v>
      </c>
      <c r="B48" s="33">
        <f t="shared" si="0"/>
        <v>122.52089947089944</v>
      </c>
      <c r="C48" s="33">
        <f>B48*10</f>
        <v>1225.2089947089944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3218.3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8745.1689999999999</v>
      </c>
      <c r="C5" s="17">
        <f>IF(ISERROR('Eigen informatie GS &amp; warmtenet'!B58),0,'Eigen informatie GS &amp; warmtenet'!B58)</f>
        <v>0</v>
      </c>
      <c r="D5" s="30">
        <f>SUM(D6:D12)</f>
        <v>6331.5393900000008</v>
      </c>
      <c r="E5" s="17">
        <f>SUM(E6:E12)</f>
        <v>85.059928531764143</v>
      </c>
      <c r="F5" s="17">
        <f>SUM(F6:F12)</f>
        <v>1359.5474007513417</v>
      </c>
      <c r="G5" s="18"/>
      <c r="H5" s="17"/>
      <c r="I5" s="17"/>
      <c r="J5" s="17">
        <f>SUM(J6:J12)</f>
        <v>0</v>
      </c>
      <c r="K5" s="17"/>
      <c r="L5" s="17"/>
      <c r="M5" s="17"/>
      <c r="N5" s="17">
        <f>SUM(N6:N12)</f>
        <v>1355.1333930582482</v>
      </c>
      <c r="O5" s="17">
        <f>B38*B39*B40</f>
        <v>0</v>
      </c>
      <c r="P5" s="17">
        <f>B46*B47*B48/1000-B46*B47*B48/1000/B49</f>
        <v>0</v>
      </c>
      <c r="R5" s="32"/>
    </row>
    <row r="6" spans="1:18">
      <c r="A6" s="32" t="s">
        <v>54</v>
      </c>
      <c r="B6" s="37">
        <f>B26</f>
        <v>2152.1669999999999</v>
      </c>
      <c r="C6" s="33"/>
      <c r="D6" s="37">
        <f>IF(ISERROR(TER_kantoor_gas_kWh/1000),0,TER_kantoor_gas_kWh/1000)*0.902</f>
        <v>1926.8298500000003</v>
      </c>
      <c r="E6" s="33">
        <f>$C$26*'E Balans VL '!I12/100/3.6*1000000</f>
        <v>6.2351435666724182</v>
      </c>
      <c r="F6" s="33">
        <f>$C$26*('E Balans VL '!L12+'E Balans VL '!N12)/100/3.6*1000000</f>
        <v>243.57788848472288</v>
      </c>
      <c r="G6" s="34"/>
      <c r="H6" s="33"/>
      <c r="I6" s="33"/>
      <c r="J6" s="33">
        <f>$C$26*('E Balans VL '!D12+'E Balans VL '!E12)/100/3.6*1000000</f>
        <v>0</v>
      </c>
      <c r="K6" s="33"/>
      <c r="L6" s="33"/>
      <c r="M6" s="33"/>
      <c r="N6" s="33">
        <f>$C$26*'E Balans VL '!Y12/100/3.6*1000000</f>
        <v>21.54160588255094</v>
      </c>
      <c r="O6" s="33"/>
      <c r="P6" s="33"/>
      <c r="R6" s="32"/>
    </row>
    <row r="7" spans="1:18">
      <c r="A7" s="32" t="s">
        <v>53</v>
      </c>
      <c r="B7" s="37">
        <f t="shared" ref="B7:B12" si="0">B27</f>
        <v>876.12099999999998</v>
      </c>
      <c r="C7" s="33"/>
      <c r="D7" s="37">
        <f>IF(ISERROR(TER_horeca_gas_kWh/1000),0,TER_horeca_gas_kWh/1000)*0.902</f>
        <v>972.93328000000008</v>
      </c>
      <c r="E7" s="33">
        <f>$C$27*'E Balans VL '!I9/100/3.6*1000000</f>
        <v>36.777111746304577</v>
      </c>
      <c r="F7" s="33">
        <f>$C$27*('E Balans VL '!L9+'E Balans VL '!N9)/100/3.6*1000000</f>
        <v>188.25256340324793</v>
      </c>
      <c r="G7" s="34"/>
      <c r="H7" s="33"/>
      <c r="I7" s="33"/>
      <c r="J7" s="33">
        <f>$C$27*('E Balans VL '!D9+'E Balans VL '!E9)/100/3.6*1000000</f>
        <v>0</v>
      </c>
      <c r="K7" s="33"/>
      <c r="L7" s="33"/>
      <c r="M7" s="33"/>
      <c r="N7" s="33">
        <f>$C$27*'E Balans VL '!Y9/100/3.6*1000000</f>
        <v>0.22576871974389984</v>
      </c>
      <c r="O7" s="33"/>
      <c r="P7" s="33"/>
      <c r="R7" s="32"/>
    </row>
    <row r="8" spans="1:18">
      <c r="A8" s="6" t="s">
        <v>52</v>
      </c>
      <c r="B8" s="37">
        <f t="shared" si="0"/>
        <v>3282.5239999999999</v>
      </c>
      <c r="C8" s="33"/>
      <c r="D8" s="37">
        <f>IF(ISERROR(TER_handel_gas_kWh/1000),0,TER_handel_gas_kWh/1000)*0.902</f>
        <v>1842.905966</v>
      </c>
      <c r="E8" s="33">
        <f>$C$28*'E Balans VL '!I13/100/3.6*1000000</f>
        <v>35.257039727064686</v>
      </c>
      <c r="F8" s="33">
        <f>$C$28*('E Balans VL '!L13+'E Balans VL '!N13)/100/3.6*1000000</f>
        <v>424.94983832439658</v>
      </c>
      <c r="G8" s="34"/>
      <c r="H8" s="33"/>
      <c r="I8" s="33"/>
      <c r="J8" s="33">
        <f>$C$28*('E Balans VL '!D13+'E Balans VL '!E13)/100/3.6*1000000</f>
        <v>0</v>
      </c>
      <c r="K8" s="33"/>
      <c r="L8" s="33"/>
      <c r="M8" s="33"/>
      <c r="N8" s="33">
        <f>$C$28*'E Balans VL '!Y13/100/3.6*1000000</f>
        <v>26.62801392160339</v>
      </c>
      <c r="O8" s="33"/>
      <c r="P8" s="33"/>
      <c r="R8" s="32"/>
    </row>
    <row r="9" spans="1:18">
      <c r="A9" s="32" t="s">
        <v>51</v>
      </c>
      <c r="B9" s="37">
        <f t="shared" si="0"/>
        <v>452.37700000000001</v>
      </c>
      <c r="C9" s="33"/>
      <c r="D9" s="37">
        <f>IF(ISERROR(TER_gezond_gas_kWh/1000),0,TER_gezond_gas_kWh/1000)*0.902</f>
        <v>1074.953088</v>
      </c>
      <c r="E9" s="33">
        <f>$C$29*'E Balans VL '!I10/100/3.6*1000000</f>
        <v>0.36012135096048925</v>
      </c>
      <c r="F9" s="33">
        <f>$C$29*('E Balans VL '!L10+'E Balans VL '!N10)/100/3.6*1000000</f>
        <v>54.992961786479555</v>
      </c>
      <c r="G9" s="34"/>
      <c r="H9" s="33"/>
      <c r="I9" s="33"/>
      <c r="J9" s="33">
        <f>$C$29*('E Balans VL '!D10+'E Balans VL '!E10)/100/3.6*1000000</f>
        <v>0</v>
      </c>
      <c r="K9" s="33"/>
      <c r="L9" s="33"/>
      <c r="M9" s="33"/>
      <c r="N9" s="33">
        <f>$C$29*'E Balans VL '!Y10/100/3.6*1000000</f>
        <v>3.6541815565884006</v>
      </c>
      <c r="O9" s="33"/>
      <c r="P9" s="33"/>
      <c r="R9" s="32"/>
    </row>
    <row r="10" spans="1:18">
      <c r="A10" s="32" t="s">
        <v>50</v>
      </c>
      <c r="B10" s="37">
        <f t="shared" si="0"/>
        <v>1849.7190000000001</v>
      </c>
      <c r="C10" s="33"/>
      <c r="D10" s="37">
        <f>IF(ISERROR(TER_ander_gas_kWh/1000),0,TER_ander_gas_kWh/1000)*0.902</f>
        <v>305.66434800000002</v>
      </c>
      <c r="E10" s="33">
        <f>$C$30*'E Balans VL '!I14/100/3.6*1000000</f>
        <v>6.3390841847802024</v>
      </c>
      <c r="F10" s="33">
        <f>$C$30*('E Balans VL '!L14+'E Balans VL '!N14)/100/3.6*1000000</f>
        <v>413.152060873864</v>
      </c>
      <c r="G10" s="34"/>
      <c r="H10" s="33"/>
      <c r="I10" s="33"/>
      <c r="J10" s="33">
        <f>$C$30*('E Balans VL '!D14+'E Balans VL '!E14)/100/3.6*1000000</f>
        <v>0</v>
      </c>
      <c r="K10" s="33"/>
      <c r="L10" s="33"/>
      <c r="M10" s="33"/>
      <c r="N10" s="33">
        <f>$C$30*'E Balans VL '!Y14/100/3.6*1000000</f>
        <v>1302.9521684173749</v>
      </c>
      <c r="O10" s="33"/>
      <c r="P10" s="33"/>
      <c r="R10" s="32"/>
    </row>
    <row r="11" spans="1:18">
      <c r="A11" s="32" t="s">
        <v>55</v>
      </c>
      <c r="B11" s="37">
        <f t="shared" si="0"/>
        <v>132.261</v>
      </c>
      <c r="C11" s="33"/>
      <c r="D11" s="37">
        <f>IF(ISERROR(TER_onderwijs_gas_kWh/1000),0,TER_onderwijs_gas_kWh/1000)*0.902</f>
        <v>208.252858</v>
      </c>
      <c r="E11" s="33">
        <f>$C$31*'E Balans VL '!I11/100/3.6*1000000</f>
        <v>9.1427955981775208E-2</v>
      </c>
      <c r="F11" s="33">
        <f>$C$31*('E Balans VL '!L11+'E Balans VL '!N11)/100/3.6*1000000</f>
        <v>34.62208787863063</v>
      </c>
      <c r="G11" s="34"/>
      <c r="H11" s="33"/>
      <c r="I11" s="33"/>
      <c r="J11" s="33">
        <f>$C$31*('E Balans VL '!D11+'E Balans VL '!E11)/100/3.6*1000000</f>
        <v>0</v>
      </c>
      <c r="K11" s="33"/>
      <c r="L11" s="33"/>
      <c r="M11" s="33"/>
      <c r="N11" s="33">
        <f>$C$31*'E Balans VL '!Y11/100/3.6*1000000</f>
        <v>0.13165456038679188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8745.1689999999999</v>
      </c>
      <c r="C16" s="21">
        <f t="shared" ca="1" si="1"/>
        <v>0</v>
      </c>
      <c r="D16" s="21">
        <f t="shared" ca="1" si="1"/>
        <v>6331.5393900000008</v>
      </c>
      <c r="E16" s="21">
        <f t="shared" si="1"/>
        <v>85.059928531764143</v>
      </c>
      <c r="F16" s="21">
        <f t="shared" ca="1" si="1"/>
        <v>1359.5474007513417</v>
      </c>
      <c r="G16" s="21">
        <f t="shared" si="1"/>
        <v>0</v>
      </c>
      <c r="H16" s="21">
        <f t="shared" si="1"/>
        <v>0</v>
      </c>
      <c r="I16" s="21">
        <f t="shared" si="1"/>
        <v>0</v>
      </c>
      <c r="J16" s="21">
        <f t="shared" si="1"/>
        <v>0</v>
      </c>
      <c r="K16" s="21">
        <f t="shared" si="1"/>
        <v>0</v>
      </c>
      <c r="L16" s="21">
        <f t="shared" ca="1" si="1"/>
        <v>0</v>
      </c>
      <c r="M16" s="21">
        <f t="shared" si="1"/>
        <v>0</v>
      </c>
      <c r="N16" s="21">
        <f t="shared" ca="1" si="1"/>
        <v>1355.1333930582482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0.21037696356086497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1839.7821000466058</v>
      </c>
      <c r="C20" s="23">
        <f t="shared" ref="C20:P20" ca="1" si="2">C16*C18</f>
        <v>0</v>
      </c>
      <c r="D20" s="23">
        <f t="shared" ca="1" si="2"/>
        <v>1278.9709567800003</v>
      </c>
      <c r="E20" s="23">
        <f t="shared" si="2"/>
        <v>19.308603776710463</v>
      </c>
      <c r="F20" s="23">
        <f t="shared" ca="1" si="2"/>
        <v>362.99915600060825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2152.1669999999999</v>
      </c>
      <c r="C26" s="39">
        <f>IF(ISERROR(B26*3.6/1000000/'E Balans VL '!Z12*100),0,B26*3.6/1000000/'E Balans VL '!Z12*100)</f>
        <v>4.7274836309208902E-2</v>
      </c>
      <c r="D26" s="237" t="s">
        <v>692</v>
      </c>
      <c r="F26" s="6"/>
    </row>
    <row r="27" spans="1:18">
      <c r="A27" s="231" t="s">
        <v>53</v>
      </c>
      <c r="B27" s="33">
        <f>IF(ISERROR(TER_horeca_ele_kWh/1000),0,TER_horeca_ele_kWh/1000)</f>
        <v>876.12099999999998</v>
      </c>
      <c r="C27" s="39">
        <f>IF(ISERROR(B27*3.6/1000000/'E Balans VL '!Z9*100),0,B27*3.6/1000000/'E Balans VL '!Z9*100)</f>
        <v>7.0405055627277432E-2</v>
      </c>
      <c r="D27" s="237" t="s">
        <v>692</v>
      </c>
      <c r="F27" s="6"/>
    </row>
    <row r="28" spans="1:18">
      <c r="A28" s="171" t="s">
        <v>52</v>
      </c>
      <c r="B28" s="33">
        <f>IF(ISERROR(TER_handel_ele_kWh/1000),0,TER_handel_ele_kWh/1000)</f>
        <v>3282.5239999999999</v>
      </c>
      <c r="C28" s="39">
        <f>IF(ISERROR(B28*3.6/1000000/'E Balans VL '!Z13*100),0,B28*3.6/1000000/'E Balans VL '!Z13*100)</f>
        <v>9.7061941460583848E-2</v>
      </c>
      <c r="D28" s="237" t="s">
        <v>692</v>
      </c>
      <c r="F28" s="6"/>
    </row>
    <row r="29" spans="1:18">
      <c r="A29" s="231" t="s">
        <v>51</v>
      </c>
      <c r="B29" s="33">
        <f>IF(ISERROR(TER_gezond_ele_kWh/1000),0,TER_gezond_ele_kWh/1000)</f>
        <v>452.37700000000001</v>
      </c>
      <c r="C29" s="39">
        <f>IF(ISERROR(B29*3.6/1000000/'E Balans VL '!Z10*100),0,B29*3.6/1000000/'E Balans VL '!Z10*100)</f>
        <v>5.097120855539683E-2</v>
      </c>
      <c r="D29" s="237" t="s">
        <v>692</v>
      </c>
      <c r="F29" s="6"/>
    </row>
    <row r="30" spans="1:18">
      <c r="A30" s="231" t="s">
        <v>50</v>
      </c>
      <c r="B30" s="33">
        <f>IF(ISERROR(TER_ander_ele_kWh/1000),0,TER_ander_ele_kWh/1000)</f>
        <v>1849.7190000000001</v>
      </c>
      <c r="C30" s="39">
        <f>IF(ISERROR(B30*3.6/1000000/'E Balans VL '!Z14*100),0,B30*3.6/1000000/'E Balans VL '!Z14*100)</f>
        <v>0.13989108601819505</v>
      </c>
      <c r="D30" s="237" t="s">
        <v>692</v>
      </c>
      <c r="F30" s="6"/>
    </row>
    <row r="31" spans="1:18">
      <c r="A31" s="231" t="s">
        <v>55</v>
      </c>
      <c r="B31" s="33">
        <f>IF(ISERROR(TER_onderwijs_ele_kWh/1000),0,TER_onderwijs_ele_kWh/1000)</f>
        <v>132.261</v>
      </c>
      <c r="C31" s="39">
        <f>IF(ISERROR(B31*3.6/1000000/'E Balans VL '!Z11*100),0,B31*3.6/1000000/'E Balans VL '!Z11*100)</f>
        <v>2.7454313292694595E-2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20176.532999999996</v>
      </c>
      <c r="C5" s="17">
        <f>IF(ISERROR('Eigen informatie GS &amp; warmtenet'!B59),0,'Eigen informatie GS &amp; warmtenet'!B59)</f>
        <v>0</v>
      </c>
      <c r="D5" s="30">
        <f>SUM(D6:D15)</f>
        <v>16861.717400000001</v>
      </c>
      <c r="E5" s="17">
        <f>SUM(E6:E15)</f>
        <v>721.7807166235109</v>
      </c>
      <c r="F5" s="17">
        <f>SUM(F6:F15)</f>
        <v>8252.7570414603615</v>
      </c>
      <c r="G5" s="18"/>
      <c r="H5" s="17"/>
      <c r="I5" s="17"/>
      <c r="J5" s="17">
        <f>SUM(J6:J15)</f>
        <v>29.630557144499193</v>
      </c>
      <c r="K5" s="17"/>
      <c r="L5" s="17"/>
      <c r="M5" s="17"/>
      <c r="N5" s="17">
        <f>SUM(N6:N15)</f>
        <v>1471.2921312486019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17148.481</v>
      </c>
      <c r="C8" s="33"/>
      <c r="D8" s="37">
        <f>IF( ISERROR(IND_metaal_Gas_kWH/1000),0,IND_metaal_Gas_kWH/1000)*0.902</f>
        <v>14981.482164000001</v>
      </c>
      <c r="E8" s="33">
        <f>C30*'E Balans VL '!I18/100/3.6*1000000</f>
        <v>429.16646103231034</v>
      </c>
      <c r="F8" s="33">
        <f>C30*'E Balans VL '!L18/100/3.6*1000000+C30*'E Balans VL '!N18/100/3.6*1000000</f>
        <v>5374.4192463313475</v>
      </c>
      <c r="G8" s="34"/>
      <c r="H8" s="33"/>
      <c r="I8" s="33"/>
      <c r="J8" s="40">
        <f>C30*'E Balans VL '!D18/100/3.6*1000000+C30*'E Balans VL '!E18/100/3.6*1000000</f>
        <v>0</v>
      </c>
      <c r="K8" s="33"/>
      <c r="L8" s="33"/>
      <c r="M8" s="33"/>
      <c r="N8" s="33">
        <f>C30*'E Balans VL '!Y18/100/3.6*1000000</f>
        <v>430.81434690899022</v>
      </c>
      <c r="O8" s="33"/>
      <c r="P8" s="33"/>
      <c r="R8" s="32"/>
    </row>
    <row r="9" spans="1:18">
      <c r="A9" s="6" t="s">
        <v>33</v>
      </c>
      <c r="B9" s="37">
        <f t="shared" si="0"/>
        <v>827.39</v>
      </c>
      <c r="C9" s="33"/>
      <c r="D9" s="37">
        <f>IF( ISERROR(IND_andere_gas_kWh/1000),0,IND_andere_gas_kWh/1000)*0.902</f>
        <v>305.39013999999997</v>
      </c>
      <c r="E9" s="33">
        <f>C31*'E Balans VL '!I19/100/3.6*1000000</f>
        <v>227.49831455315189</v>
      </c>
      <c r="F9" s="33">
        <f>C31*'E Balans VL '!L19/100/3.6*1000000+C31*'E Balans VL '!N19/100/3.6*1000000</f>
        <v>652.1272961971971</v>
      </c>
      <c r="G9" s="34"/>
      <c r="H9" s="33"/>
      <c r="I9" s="33"/>
      <c r="J9" s="40">
        <f>C31*'E Balans VL '!D19/100/3.6*1000000+C31*'E Balans VL '!E19/100/3.6*1000000</f>
        <v>0</v>
      </c>
      <c r="K9" s="33"/>
      <c r="L9" s="33"/>
      <c r="M9" s="33"/>
      <c r="N9" s="33">
        <f>C31*'E Balans VL '!Y19/100/3.6*1000000</f>
        <v>267.84798244140649</v>
      </c>
      <c r="O9" s="33"/>
      <c r="P9" s="33"/>
      <c r="R9" s="32"/>
    </row>
    <row r="10" spans="1:18">
      <c r="A10" s="6" t="s">
        <v>41</v>
      </c>
      <c r="B10" s="37">
        <f t="shared" si="0"/>
        <v>1048.7950000000001</v>
      </c>
      <c r="C10" s="33"/>
      <c r="D10" s="37">
        <f>IF( ISERROR(IND_voed_gas_kWh/1000),0,IND_voed_gas_kWh/1000)*0.902</f>
        <v>0</v>
      </c>
      <c r="E10" s="33">
        <f>C32*'E Balans VL '!I20/100/3.6*1000000</f>
        <v>10.69188724053765</v>
      </c>
      <c r="F10" s="33">
        <f>C32*'E Balans VL '!L20/100/3.6*1000000+C32*'E Balans VL '!N20/100/3.6*1000000</f>
        <v>1981.1671954204778</v>
      </c>
      <c r="G10" s="34"/>
      <c r="H10" s="33"/>
      <c r="I10" s="33"/>
      <c r="J10" s="40">
        <f>C32*'E Balans VL '!D20/100/3.6*1000000+C32*'E Balans VL '!E20/100/3.6*1000000</f>
        <v>25.101096022776549</v>
      </c>
      <c r="K10" s="33"/>
      <c r="L10" s="33"/>
      <c r="M10" s="33"/>
      <c r="N10" s="33">
        <f>C32*'E Balans VL '!Y20/100/3.6*1000000</f>
        <v>552.83577137029204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39.920999999999999</v>
      </c>
      <c r="C12" s="33"/>
      <c r="D12" s="37">
        <f>IF( ISERROR(IND_min_gas_kWh/1000),0,IND_min_gas_kWh/1000)*0.902</f>
        <v>0</v>
      </c>
      <c r="E12" s="33">
        <f>C34*'E Balans VL '!I22/100/3.6*1000000</f>
        <v>0.12090265061856686</v>
      </c>
      <c r="F12" s="33">
        <f>C34*'E Balans VL '!L22/100/3.6*1000000+C34*'E Balans VL '!N22/100/3.6*1000000</f>
        <v>1.2475655715250478</v>
      </c>
      <c r="G12" s="34"/>
      <c r="H12" s="33"/>
      <c r="I12" s="33"/>
      <c r="J12" s="40">
        <f>C34*'E Balans VL '!D22/100/3.6*1000000+C34*'E Balans VL '!E22/100/3.6*1000000</f>
        <v>5.9193980994650577E-2</v>
      </c>
      <c r="K12" s="33"/>
      <c r="L12" s="33"/>
      <c r="M12" s="33"/>
      <c r="N12" s="33">
        <f>C34*'E Balans VL '!Y22/100/3.6*1000000</f>
        <v>0</v>
      </c>
      <c r="O12" s="33"/>
      <c r="P12" s="33"/>
      <c r="R12" s="32"/>
    </row>
    <row r="13" spans="1:18">
      <c r="A13" s="6" t="s">
        <v>39</v>
      </c>
      <c r="B13" s="37">
        <f t="shared" si="0"/>
        <v>46.411999999999999</v>
      </c>
      <c r="C13" s="33"/>
      <c r="D13" s="37">
        <f>IF( ISERROR(IND_papier_gas_kWh/1000),0,IND_papier_gas_kWh/1000)*0.902</f>
        <v>0</v>
      </c>
      <c r="E13" s="33">
        <f>C35*'E Balans VL '!I23/100/3.6*1000000</f>
        <v>9.6122384734565053E-2</v>
      </c>
      <c r="F13" s="33">
        <f>C35*'E Balans VL '!L23/100/3.6*1000000+C35*'E Balans VL '!N23/100/3.6*1000000</f>
        <v>0.92044945941970835</v>
      </c>
      <c r="G13" s="34"/>
      <c r="H13" s="33"/>
      <c r="I13" s="33"/>
      <c r="J13" s="40">
        <f>C35*'E Balans VL '!D23/100/3.6*1000000+C35*'E Balans VL '!E23/100/3.6*1000000</f>
        <v>0</v>
      </c>
      <c r="K13" s="33"/>
      <c r="L13" s="33"/>
      <c r="M13" s="33"/>
      <c r="N13" s="33">
        <f>C35*'E Balans VL '!Y23/100/3.6*1000000</f>
        <v>19.597368085829167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1065.5340000000001</v>
      </c>
      <c r="C15" s="33"/>
      <c r="D15" s="37">
        <f>IF( ISERROR(IND_rest_gas_kWh/1000),0,IND_rest_gas_kWh/1000)*0.902</f>
        <v>1574.845096</v>
      </c>
      <c r="E15" s="33">
        <f>C37*'E Balans VL '!I15/100/3.6*1000000</f>
        <v>54.207028762157989</v>
      </c>
      <c r="F15" s="33">
        <f>C37*'E Balans VL '!L15/100/3.6*1000000+C37*'E Balans VL '!N15/100/3.6*1000000</f>
        <v>242.87528848039474</v>
      </c>
      <c r="G15" s="34"/>
      <c r="H15" s="33"/>
      <c r="I15" s="33"/>
      <c r="J15" s="40">
        <f>C37*'E Balans VL '!D15/100/3.6*1000000+C37*'E Balans VL '!E15/100/3.6*1000000</f>
        <v>4.4702671407279944</v>
      </c>
      <c r="K15" s="33"/>
      <c r="L15" s="33"/>
      <c r="M15" s="33"/>
      <c r="N15" s="33">
        <f>C37*'E Balans VL '!Y15/100/3.6*1000000</f>
        <v>200.19666244208383</v>
      </c>
      <c r="O15" s="33"/>
      <c r="P15" s="33"/>
      <c r="R15" s="32"/>
    </row>
    <row r="16" spans="1:18">
      <c r="A16" s="16" t="s">
        <v>494</v>
      </c>
      <c r="B16" s="247">
        <f>'lokale energieproductie'!N90+'lokale energieproductie'!N59</f>
        <v>911.25000000000011</v>
      </c>
      <c r="C16" s="247">
        <f>'lokale energieproductie'!O90+'lokale energieproductie'!O59</f>
        <v>1301.7857142857144</v>
      </c>
      <c r="D16" s="310">
        <f>('lokale energieproductie'!P59+'lokale energieproductie'!P90)*(-1)</f>
        <v>-2603.5714285714289</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21087.782999999996</v>
      </c>
      <c r="C18" s="21">
        <f>C5+C16</f>
        <v>1301.7857142857144</v>
      </c>
      <c r="D18" s="21">
        <f>MAX((D5+D16),0)</f>
        <v>14258.145971428572</v>
      </c>
      <c r="E18" s="21">
        <f>MAX((E5+E16),0)</f>
        <v>721.7807166235109</v>
      </c>
      <c r="F18" s="21">
        <f>MAX((F5+F16),0)</f>
        <v>8252.7570414603615</v>
      </c>
      <c r="G18" s="21"/>
      <c r="H18" s="21"/>
      <c r="I18" s="21"/>
      <c r="J18" s="21">
        <f>MAX((J5+J16),0)</f>
        <v>29.630557144499193</v>
      </c>
      <c r="K18" s="21"/>
      <c r="L18" s="21">
        <f>MAX((L5+L16),0)</f>
        <v>0</v>
      </c>
      <c r="M18" s="21"/>
      <c r="N18" s="21">
        <f>MAX((N5+N16),0)</f>
        <v>1471.2921312486019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0.21037696356086497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4436.3837557704264</v>
      </c>
      <c r="C22" s="23">
        <f ca="1">C18*C20</f>
        <v>309.36554621848745</v>
      </c>
      <c r="D22" s="23">
        <f>D18*D20</f>
        <v>2880.1454862285718</v>
      </c>
      <c r="E22" s="23">
        <f>E18*E20</f>
        <v>163.84422267353699</v>
      </c>
      <c r="F22" s="23">
        <f>F18*F20</f>
        <v>2203.4861300699167</v>
      </c>
      <c r="G22" s="23"/>
      <c r="H22" s="23"/>
      <c r="I22" s="23"/>
      <c r="J22" s="23">
        <f>J18*J20</f>
        <v>10.489217229152713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17148.481</v>
      </c>
      <c r="C30" s="39">
        <f>IF(ISERROR(B30*3.6/1000000/'E Balans VL '!Z18*100),0,B30*3.6/1000000/'E Balans VL '!Z18*100)</f>
        <v>2.4002158605573674</v>
      </c>
      <c r="D30" s="237" t="s">
        <v>692</v>
      </c>
    </row>
    <row r="31" spans="1:18">
      <c r="A31" s="6" t="s">
        <v>33</v>
      </c>
      <c r="B31" s="37">
        <f>IF( ISERROR(IND_ander_ele_kWh/1000),0,IND_ander_ele_kWh/1000)</f>
        <v>827.39</v>
      </c>
      <c r="C31" s="39">
        <f>IF(ISERROR(B31*3.6/1000000/'E Balans VL '!Z19*100),0,B31*3.6/1000000/'E Balans VL '!Z19*100)</f>
        <v>3.621472607827253E-2</v>
      </c>
      <c r="D31" s="237" t="s">
        <v>692</v>
      </c>
    </row>
    <row r="32" spans="1:18">
      <c r="A32" s="171" t="s">
        <v>41</v>
      </c>
      <c r="B32" s="37">
        <f>IF( ISERROR(IND_voed_ele_kWh/1000),0,IND_voed_ele_kWh/1000)</f>
        <v>1048.7950000000001</v>
      </c>
      <c r="C32" s="39">
        <f>IF(ISERROR(B32*3.6/1000000/'E Balans VL '!Z20*100),0,B32*3.6/1000000/'E Balans VL '!Z20*100)</f>
        <v>0.25964681323599553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39.920999999999999</v>
      </c>
      <c r="C34" s="39">
        <f>IF(ISERROR(B34*3.6/1000000/'E Balans VL '!Z22*100),0,B34*3.6/1000000/'E Balans VL '!Z22*100)</f>
        <v>1.1327951110733016E-3</v>
      </c>
      <c r="D34" s="237" t="s">
        <v>692</v>
      </c>
    </row>
    <row r="35" spans="1:5">
      <c r="A35" s="171" t="s">
        <v>39</v>
      </c>
      <c r="B35" s="37">
        <f>IF( ISERROR(IND_papier_ele_kWh/1000),0,IND_papier_ele_kWh/1000)</f>
        <v>46.411999999999999</v>
      </c>
      <c r="C35" s="39">
        <f>IF(ISERROR(B35*3.6/1000000/'E Balans VL '!Z22*100),0,B35*3.6/1000000/'E Balans VL '!Z22*100)</f>
        <v>1.3169832092165548E-3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1065.5340000000001</v>
      </c>
      <c r="C37" s="39">
        <f>IF(ISERROR(B37*3.6/1000000/'E Balans VL '!Z15*100),0,B37*3.6/1000000/'E Balans VL '!Z15*100)</f>
        <v>7.9007521828595335E-3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512.83399999999995</v>
      </c>
      <c r="C5" s="17">
        <f>'Eigen informatie GS &amp; warmtenet'!B60</f>
        <v>0</v>
      </c>
      <c r="D5" s="30">
        <f>IF(ISERROR(SUM(LB_lb_gas_kWh,LB_rest_gas_kWh)/1000),0,SUM(LB_lb_gas_kWh,LB_rest_gas_kWh)/1000)*0.902</f>
        <v>156.45460600000001</v>
      </c>
      <c r="E5" s="17">
        <f>B17*'E Balans VL '!I25/3.6*1000000/100</f>
        <v>4.7500833026235352</v>
      </c>
      <c r="F5" s="17">
        <f>B17*('E Balans VL '!L25/3.6*1000000+'E Balans VL '!N25/3.6*1000000)/100</f>
        <v>1301.1575527767438</v>
      </c>
      <c r="G5" s="18"/>
      <c r="H5" s="17"/>
      <c r="I5" s="17"/>
      <c r="J5" s="17">
        <f>('E Balans VL '!D25+'E Balans VL '!E25)/3.6*1000000*landbouw!B17/100</f>
        <v>78.62317544414384</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512.83399999999995</v>
      </c>
      <c r="C8" s="21">
        <f>C5+C6</f>
        <v>0</v>
      </c>
      <c r="D8" s="21">
        <f>MAX((D5+D6),0)</f>
        <v>156.45460600000001</v>
      </c>
      <c r="E8" s="21">
        <f>MAX((E5+E6),0)</f>
        <v>4.7500833026235352</v>
      </c>
      <c r="F8" s="21">
        <f>MAX((F5+F6),0)</f>
        <v>1301.1575527767438</v>
      </c>
      <c r="G8" s="21"/>
      <c r="H8" s="21"/>
      <c r="I8" s="21"/>
      <c r="J8" s="21">
        <f>MAX((J5+J6),0)</f>
        <v>78.62317544414384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0.21037696356086497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107.88845973077261</v>
      </c>
      <c r="C12" s="23">
        <f ca="1">C8*C10</f>
        <v>0</v>
      </c>
      <c r="D12" s="23">
        <f>D8*D10</f>
        <v>31.603830412000004</v>
      </c>
      <c r="E12" s="23">
        <f>E8*E10</f>
        <v>1.0782689096955425</v>
      </c>
      <c r="F12" s="23">
        <f>F8*F10</f>
        <v>347.40906659139063</v>
      </c>
      <c r="G12" s="23"/>
      <c r="H12" s="23"/>
      <c r="I12" s="23"/>
      <c r="J12" s="23">
        <f>J8*J10</f>
        <v>27.832604107226917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7.2914120839646074E-2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84.555385629953108</v>
      </c>
      <c r="C26" s="247">
        <f>B26*'GWP N2O_CH4'!B5</f>
        <v>1775.6630982290153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24.65362036776925</v>
      </c>
      <c r="C27" s="247">
        <f>B27*'GWP N2O_CH4'!B5</f>
        <v>517.72602772315429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1.2054322006745142</v>
      </c>
      <c r="C28" s="247">
        <f>B28*'GWP N2O_CH4'!B4</f>
        <v>373.68398220909938</v>
      </c>
      <c r="D28" s="50"/>
    </row>
    <row r="29" spans="1:4">
      <c r="A29" s="41" t="s">
        <v>277</v>
      </c>
      <c r="B29" s="247">
        <f>B34*'ha_N2O bodem landbouw'!B4</f>
        <v>26.194497743011169</v>
      </c>
      <c r="C29" s="247">
        <f>B29*'GWP N2O_CH4'!B4</f>
        <v>8120.2943003334622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5.8749643671607756E-3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5.0124149262343875E-5</v>
      </c>
      <c r="C5" s="464" t="s">
        <v>211</v>
      </c>
      <c r="D5" s="449">
        <f>SUM(D6:D11)</f>
        <v>1.3898050324351573E-4</v>
      </c>
      <c r="E5" s="449">
        <f>SUM(E6:E11)</f>
        <v>9.6024951826789978E-4</v>
      </c>
      <c r="F5" s="462" t="s">
        <v>211</v>
      </c>
      <c r="G5" s="449">
        <f>SUM(G6:G11)</f>
        <v>0.25861053649207077</v>
      </c>
      <c r="H5" s="449">
        <f>SUM(H6:H11)</f>
        <v>5.3204039429244766E-2</v>
      </c>
      <c r="I5" s="464" t="s">
        <v>211</v>
      </c>
      <c r="J5" s="464" t="s">
        <v>211</v>
      </c>
      <c r="K5" s="464" t="s">
        <v>211</v>
      </c>
      <c r="L5" s="464" t="s">
        <v>211</v>
      </c>
      <c r="M5" s="449">
        <f>SUM(M6:M11)</f>
        <v>1.6597267361617693E-2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1.8108452106956978E-5</v>
      </c>
      <c r="C6" s="450"/>
      <c r="D6" s="893">
        <f>vkm_2011_GW_PW*SUMIFS(TableVerdeelsleutelVkm[CNG],TableVerdeelsleutelVkm[Voertuigtype],"Lichte voertuigen")*SUMIFS(TableECFTransport[EnergieConsumptieFactor (PJ per km)],TableECFTransport[Index],CONCATENATE($A6,"_CNG_CNG"))</f>
        <v>4.1886843381381807E-5</v>
      </c>
      <c r="E6" s="893">
        <f>vkm_2011_GW_PW*SUMIFS(TableVerdeelsleutelVkm[LPG],TableVerdeelsleutelVkm[Voertuigtype],"Lichte voertuigen")*SUMIFS(TableECFTransport[EnergieConsumptieFactor (PJ per km)],TableECFTransport[Index],CONCATENATE($A6,"_LPG_LPG"))</f>
        <v>2.7274182934336385E-4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5.6660097228414141E-2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1.5971310492796906E-2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3.7691935444664434E-3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1.8800778310934945E-2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6.4295247443006586E-6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1.0877315929352354E-3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1.1672804808675322E-5</v>
      </c>
      <c r="C8" s="450"/>
      <c r="D8" s="452">
        <f>vkm_2011_NGW_PW*SUMIFS(TableVerdeelsleutelVkm[CNG],TableVerdeelsleutelVkm[Voertuigtype],"Lichte voertuigen")*SUMIFS(TableECFTransport[EnergieConsumptieFactor (PJ per km)],TableECFTransport[Index],CONCATENATE($A8,"_CNG_CNG"))</f>
        <v>4.7755963071499529E-5</v>
      </c>
      <c r="E8" s="452">
        <f>vkm_2011_NGW_PW*SUMIFS(TableVerdeelsleutelVkm[LPG],TableVerdeelsleutelVkm[Voertuigtype],"Lichte voertuigen")*SUMIFS(TableECFTransport[EnergieConsumptieFactor (PJ per km)],TableECFTransport[Index],CONCATENATE($A8,"_LPG_LPG"))</f>
        <v>2.8698187565233619E-4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5.5731458656791126E-2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1.7606997576453755E-2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3.7658315043100142E-3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5.1512520392272337E-3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1.6668851545829912E-6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2.9802621219530501E-4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2.0342892346711574E-5</v>
      </c>
      <c r="C10" s="450"/>
      <c r="D10" s="452">
        <f>vkm_2011_SW_PW*SUMIFS(TableVerdeelsleutelVkm[CNG],TableVerdeelsleutelVkm[Voertuigtype],"Lichte voertuigen")*SUMIFS(TableECFTransport[EnergieConsumptieFactor (PJ per km)],TableECFTransport[Index],CONCATENATE($A10,"_CNG_CNG"))</f>
        <v>4.9337696790634393E-5</v>
      </c>
      <c r="E10" s="452">
        <f>vkm_2011_SW_PW*SUMIFS(TableVerdeelsleutelVkm[LPG],TableVerdeelsleutelVkm[Voertuigtype],"Lichte voertuigen")*SUMIFS(TableECFTransport[EnergieConsumptieFactor (PJ per km)],TableECFTransport[Index],CONCATENATE($A10,"_LPG_LPG"))</f>
        <v>4.0052581327219963E-4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7.4909827173270285E-2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1.9600180901657983E-2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4.9365677532386522E-3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4.7357123083433067E-2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1.745404843723585E-5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2.7399167544720411E-3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13.923374795095521</v>
      </c>
      <c r="C14" s="21"/>
      <c r="D14" s="21">
        <f t="shared" ref="D14:M14" si="0">((D5)*10^9/3600)+D12</f>
        <v>38.60569534542104</v>
      </c>
      <c r="E14" s="21">
        <f t="shared" si="0"/>
        <v>266.73597729663879</v>
      </c>
      <c r="F14" s="21"/>
      <c r="G14" s="21">
        <f t="shared" si="0"/>
        <v>71836.260136686324</v>
      </c>
      <c r="H14" s="21">
        <f t="shared" si="0"/>
        <v>14778.89984145688</v>
      </c>
      <c r="I14" s="21"/>
      <c r="J14" s="21"/>
      <c r="K14" s="21"/>
      <c r="L14" s="21"/>
      <c r="M14" s="21">
        <f t="shared" si="0"/>
        <v>4610.3520448938034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0.21037696356086497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2.9291573119120762</v>
      </c>
      <c r="C18" s="23"/>
      <c r="D18" s="23">
        <f t="shared" ref="D18:M18" si="1">D14*D16</f>
        <v>7.798350459775051</v>
      </c>
      <c r="E18" s="23">
        <f t="shared" si="1"/>
        <v>60.549066846337006</v>
      </c>
      <c r="F18" s="23"/>
      <c r="G18" s="23">
        <f t="shared" si="1"/>
        <v>19180.28145649525</v>
      </c>
      <c r="H18" s="23">
        <f t="shared" si="1"/>
        <v>3679.9460605227632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3.8333153111319669E-3</v>
      </c>
      <c r="H50" s="321">
        <f t="shared" si="2"/>
        <v>0</v>
      </c>
      <c r="I50" s="321">
        <f t="shared" si="2"/>
        <v>0</v>
      </c>
      <c r="J50" s="321">
        <f t="shared" si="2"/>
        <v>0</v>
      </c>
      <c r="K50" s="321">
        <f t="shared" si="2"/>
        <v>0</v>
      </c>
      <c r="L50" s="321">
        <f t="shared" si="2"/>
        <v>0</v>
      </c>
      <c r="M50" s="321">
        <f t="shared" si="2"/>
        <v>2.1860279747606869E-4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3.8333153111319669E-3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2.1860279747606869E-4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1064.8098086477685</v>
      </c>
      <c r="H54" s="21">
        <f t="shared" si="3"/>
        <v>0</v>
      </c>
      <c r="I54" s="21">
        <f t="shared" si="3"/>
        <v>0</v>
      </c>
      <c r="J54" s="21">
        <f t="shared" si="3"/>
        <v>0</v>
      </c>
      <c r="K54" s="21">
        <f t="shared" si="3"/>
        <v>0</v>
      </c>
      <c r="L54" s="21">
        <f t="shared" si="3"/>
        <v>0</v>
      </c>
      <c r="M54" s="21">
        <f t="shared" si="3"/>
        <v>60.722999298907972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0.21037696356086497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284.30421890895423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3131.3952758587211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911.25000000000011</v>
      </c>
      <c r="C8" s="571">
        <f>B101</f>
        <v>1072.0588235294119</v>
      </c>
      <c r="D8" s="1056"/>
      <c r="E8" s="1056">
        <f>E101</f>
        <v>0</v>
      </c>
      <c r="F8" s="1057"/>
      <c r="G8" s="572"/>
      <c r="H8" s="1056">
        <f>I101</f>
        <v>0</v>
      </c>
      <c r="I8" s="1056">
        <f>G101+F101</f>
        <v>0</v>
      </c>
      <c r="J8" s="1056">
        <f>H101+D101+C101</f>
        <v>0</v>
      </c>
      <c r="K8" s="1056"/>
      <c r="L8" s="1056"/>
      <c r="M8" s="1056"/>
      <c r="N8" s="573"/>
      <c r="O8" s="574">
        <f>C8*$C$12+D8*$D$12+E8*$E$12+F8*$F$12+G8*$G$12+H8*$H$12+I8*$I$12+J8*$J$12</f>
        <v>216.55588235294124</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4042.6452758587211</v>
      </c>
      <c r="C10" s="584">
        <f t="shared" ref="C10:L10" si="0">SUM(C8:C9)</f>
        <v>1072.0588235294119</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216.55588235294124</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1301.7857142857144</v>
      </c>
      <c r="C17" s="596">
        <f>B102</f>
        <v>1531.512605042017</v>
      </c>
      <c r="D17" s="597"/>
      <c r="E17" s="597">
        <f>E102</f>
        <v>0</v>
      </c>
      <c r="F17" s="1062"/>
      <c r="G17" s="598"/>
      <c r="H17" s="596">
        <f>I102</f>
        <v>0</v>
      </c>
      <c r="I17" s="597">
        <f>G102+F102</f>
        <v>0</v>
      </c>
      <c r="J17" s="597">
        <f>H102+D102+C102</f>
        <v>0</v>
      </c>
      <c r="K17" s="597"/>
      <c r="L17" s="597"/>
      <c r="M17" s="597"/>
      <c r="N17" s="1063"/>
      <c r="O17" s="599">
        <f>C17*$C$22+E17*$E$22+H17*$H$22+I17*$I$22+J17*$J$22+D17*$D$22+F17*$F$22+G17*$G$22+K17*$K$22+L17*$L$22</f>
        <v>309.36554621848745</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1301.7857142857144</v>
      </c>
      <c r="C20" s="583">
        <f>SUM(C17:C19)</f>
        <v>1531.512605042017</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309.36554621848745</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24059</v>
      </c>
      <c r="C28" s="797">
        <v>3400</v>
      </c>
      <c r="D28" s="654" t="s">
        <v>907</v>
      </c>
      <c r="E28" s="653" t="s">
        <v>908</v>
      </c>
      <c r="F28" s="653" t="s">
        <v>909</v>
      </c>
      <c r="G28" s="653" t="s">
        <v>910</v>
      </c>
      <c r="H28" s="653" t="s">
        <v>911</v>
      </c>
      <c r="I28" s="653" t="s">
        <v>908</v>
      </c>
      <c r="J28" s="796">
        <v>41906</v>
      </c>
      <c r="K28" s="796">
        <v>41906</v>
      </c>
      <c r="L28" s="653" t="s">
        <v>912</v>
      </c>
      <c r="M28" s="653">
        <v>810</v>
      </c>
      <c r="N28" s="653">
        <v>911.25000000000011</v>
      </c>
      <c r="O28" s="653">
        <v>1301.7857142857144</v>
      </c>
      <c r="P28" s="653">
        <v>2603.5714285714289</v>
      </c>
      <c r="Q28" s="653">
        <v>0</v>
      </c>
      <c r="R28" s="653">
        <v>0</v>
      </c>
      <c r="S28" s="653">
        <v>0</v>
      </c>
      <c r="T28" s="653">
        <v>0</v>
      </c>
      <c r="U28" s="653">
        <v>0</v>
      </c>
      <c r="V28" s="653">
        <v>0</v>
      </c>
      <c r="W28" s="653">
        <v>0</v>
      </c>
      <c r="X28" s="653">
        <v>800</v>
      </c>
      <c r="Y28" s="653" t="s">
        <v>36</v>
      </c>
      <c r="Z28" s="655" t="s">
        <v>389</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810</v>
      </c>
      <c r="N58" s="611">
        <f>SUM(N28:N57)</f>
        <v>911.25000000000011</v>
      </c>
      <c r="O58" s="611">
        <f t="shared" ref="O58:W58" si="2">SUM(O28:O57)</f>
        <v>1301.7857142857144</v>
      </c>
      <c r="P58" s="611">
        <f t="shared" si="2"/>
        <v>2603.5714285714289</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810</v>
      </c>
      <c r="N59" s="611">
        <f t="shared" si="3"/>
        <v>911.25000000000011</v>
      </c>
      <c r="O59" s="611">
        <f t="shared" si="3"/>
        <v>1301.7857142857144</v>
      </c>
      <c r="P59" s="611">
        <f t="shared" si="3"/>
        <v>2603.5714285714289</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1072.0588235294119</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1531.512605042017</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2019-08-12T08:08:03Z</dcterms:modified>
</cp:coreProperties>
</file>