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J19"/>
  <c r="J89" i="14" s="1"/>
  <c r="J19" i="59" s="1"/>
  <c r="I19" i="18"/>
  <c r="I89" i="14" s="1"/>
  <c r="I19" i="59" s="1"/>
  <c r="H19" i="18"/>
  <c r="M89" i="14" s="1"/>
  <c r="M19" i="59" s="1"/>
  <c r="G19" i="18"/>
  <c r="H89" i="14" s="1"/>
  <c r="H19" i="59" s="1"/>
  <c r="F19" i="18"/>
  <c r="E19"/>
  <c r="F89" i="14" s="1"/>
  <c r="F19" i="59" s="1"/>
  <c r="D19" i="18"/>
  <c r="C19"/>
  <c r="B19"/>
  <c r="N18"/>
  <c r="L88" i="14" s="1"/>
  <c r="M18" i="18"/>
  <c r="K88" i="14" s="1"/>
  <c r="K18" i="59" s="1"/>
  <c r="L18" i="18"/>
  <c r="K18"/>
  <c r="J18"/>
  <c r="J88" i="14" s="1"/>
  <c r="J18" i="59" s="1"/>
  <c r="I18" i="18"/>
  <c r="H18"/>
  <c r="G18"/>
  <c r="H88" i="14" s="1"/>
  <c r="F18" i="18"/>
  <c r="F20" s="1"/>
  <c r="E18"/>
  <c r="F88" i="14" s="1"/>
  <c r="F18" i="59" s="1"/>
  <c r="D18" i="18"/>
  <c r="D20" s="1"/>
  <c r="C18"/>
  <c r="B18"/>
  <c r="L9"/>
  <c r="L10" s="1"/>
  <c r="K9"/>
  <c r="I9"/>
  <c r="G9"/>
  <c r="F9"/>
  <c r="F10" s="1"/>
  <c r="D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J9" s="1"/>
  <c r="J77" i="14" s="1"/>
  <c r="J9" i="59" s="1"/>
  <c r="U89" i="18"/>
  <c r="T89"/>
  <c r="S89"/>
  <c r="E9" s="1"/>
  <c r="R89"/>
  <c r="Q89"/>
  <c r="P89"/>
  <c r="C9" s="1"/>
  <c r="O89"/>
  <c r="N89"/>
  <c r="B9" s="1"/>
  <c r="M89"/>
  <c r="W61"/>
  <c r="V61"/>
  <c r="N6" i="17" s="1"/>
  <c r="U61" i="18"/>
  <c r="T61"/>
  <c r="S61"/>
  <c r="F6" i="17" s="1"/>
  <c r="R61" i="18"/>
  <c r="Q61"/>
  <c r="P61"/>
  <c r="O61"/>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L20"/>
  <c r="K20"/>
  <c r="D88" i="14"/>
  <c r="D18" i="59" s="1"/>
  <c r="B17" i="18"/>
  <c r="B20" s="1"/>
  <c r="G12"/>
  <c r="F12"/>
  <c r="E12"/>
  <c r="D12"/>
  <c r="C12"/>
  <c r="K10"/>
  <c r="G10"/>
  <c r="E77" i="14"/>
  <c r="E9" i="59" s="1"/>
  <c r="B6" i="18"/>
  <c r="B5"/>
  <c r="B73" i="14" s="1"/>
  <c r="B5" i="59" s="1"/>
  <c r="B4" i="18"/>
  <c r="B72" i="14" s="1"/>
  <c r="B4" i="59" s="1"/>
  <c r="L6" i="17"/>
  <c r="D6"/>
  <c r="D5"/>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P29" s="1"/>
  <c r="O11"/>
  <c r="N11"/>
  <c r="M11"/>
  <c r="L11"/>
  <c r="K11"/>
  <c r="J11"/>
  <c r="I11"/>
  <c r="H11"/>
  <c r="G11"/>
  <c r="F11"/>
  <c r="E11"/>
  <c r="D11"/>
  <c r="C11"/>
  <c r="B11"/>
  <c r="P32"/>
  <c r="O31"/>
  <c r="P27"/>
  <c r="P25"/>
  <c r="O89" i="14"/>
  <c r="O19" i="59" s="1"/>
  <c r="N89" i="14"/>
  <c r="N19" i="59" s="1"/>
  <c r="L89" i="14"/>
  <c r="L19" i="59" s="1"/>
  <c r="K89" i="14"/>
  <c r="K19" i="59" s="1"/>
  <c r="E89" i="14"/>
  <c r="E19" i="59" s="1"/>
  <c r="D89" i="14"/>
  <c r="D19" i="59" s="1"/>
  <c r="M88" i="14"/>
  <c r="M18" i="59" s="1"/>
  <c r="I88" i="14"/>
  <c r="I18" i="59" s="1"/>
  <c r="E88" i="14"/>
  <c r="E18" i="59" s="1"/>
  <c r="O87" i="14"/>
  <c r="O17" i="59" s="1"/>
  <c r="N87" i="14"/>
  <c r="N17" i="59" s="1"/>
  <c r="L87" i="14"/>
  <c r="L17" i="59" s="1"/>
  <c r="K87" i="14"/>
  <c r="K17" i="59" s="1"/>
  <c r="H87" i="14"/>
  <c r="H17" i="59" s="1"/>
  <c r="G87" i="14"/>
  <c r="G17" i="59" s="1"/>
  <c r="E87" i="14"/>
  <c r="E17" i="59" s="1"/>
  <c r="O77" i="14"/>
  <c r="O9" i="59" s="1"/>
  <c r="N77" i="14"/>
  <c r="L77"/>
  <c r="L9" i="59" s="1"/>
  <c r="L10" s="1"/>
  <c r="K77" i="14"/>
  <c r="K9" i="59" s="1"/>
  <c r="O76" i="14"/>
  <c r="O8" i="59" s="1"/>
  <c r="N76" i="14"/>
  <c r="N8" i="59" s="1"/>
  <c r="L76" i="14"/>
  <c r="L8" i="59" s="1"/>
  <c r="K76" i="14"/>
  <c r="K8" i="59" s="1"/>
  <c r="K10" s="1"/>
  <c r="H76" i="14"/>
  <c r="H8" i="59" s="1"/>
  <c r="G76" i="14"/>
  <c r="G8" i="59" s="1"/>
  <c r="E76" i="14"/>
  <c r="E8" i="59" s="1"/>
  <c r="B75" i="14"/>
  <c r="B7" i="59" s="1"/>
  <c r="B74" i="14"/>
  <c r="B6" i="59" s="1"/>
  <c r="Q54" i="14"/>
  <c r="Q56" s="1"/>
  <c r="P54"/>
  <c r="P56" s="1"/>
  <c r="L54"/>
  <c r="L56" s="1"/>
  <c r="J54"/>
  <c r="J56" s="1"/>
  <c r="I54"/>
  <c r="I56" s="1"/>
  <c r="H54"/>
  <c r="H56" s="1"/>
  <c r="Q24"/>
  <c r="Q26" s="1"/>
  <c r="P24"/>
  <c r="P26" s="1"/>
  <c r="N24"/>
  <c r="N26" s="1"/>
  <c r="L24"/>
  <c r="J24"/>
  <c r="I24"/>
  <c r="H24"/>
  <c r="Q50"/>
  <c r="P50"/>
  <c r="O50"/>
  <c r="M50"/>
  <c r="L50"/>
  <c r="K50"/>
  <c r="J50"/>
  <c r="G50"/>
  <c r="D50"/>
  <c r="Q49"/>
  <c r="P49"/>
  <c r="Q20"/>
  <c r="P20"/>
  <c r="O20"/>
  <c r="O22" s="1"/>
  <c r="M20"/>
  <c r="L20"/>
  <c r="K20"/>
  <c r="J20"/>
  <c r="G20"/>
  <c r="G22" s="1"/>
  <c r="D20"/>
  <c r="Q19"/>
  <c r="P19"/>
  <c r="O19"/>
  <c r="M19"/>
  <c r="L19"/>
  <c r="K19"/>
  <c r="J19"/>
  <c r="I19"/>
  <c r="G19"/>
  <c r="F19"/>
  <c r="E19"/>
  <c r="D19"/>
  <c r="Q48"/>
  <c r="P48"/>
  <c r="P52" s="1"/>
  <c r="O48"/>
  <c r="M48"/>
  <c r="L48"/>
  <c r="K48"/>
  <c r="J48"/>
  <c r="G48"/>
  <c r="D48"/>
  <c r="Q18"/>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78"/>
  <c r="Q52"/>
  <c r="R44"/>
  <c r="E25"/>
  <c r="E55" s="1"/>
  <c r="C25"/>
  <c r="B14" i="48" s="1"/>
  <c r="L26" i="14"/>
  <c r="J26"/>
  <c r="I26"/>
  <c r="H26"/>
  <c r="R12"/>
  <c r="L90" l="1"/>
  <c r="L18" i="59"/>
  <c r="L20" s="1"/>
  <c r="N78" i="14"/>
  <c r="N9" i="59"/>
  <c r="N10" s="1"/>
  <c r="H90" i="14"/>
  <c r="H18" i="59"/>
  <c r="D14" i="48"/>
  <c r="O10" i="59"/>
  <c r="H20"/>
  <c r="M22" i="14"/>
  <c r="G88"/>
  <c r="G18" i="59" s="1"/>
  <c r="K20"/>
  <c r="C98" i="18"/>
  <c r="D101" s="1"/>
  <c r="D13" i="15"/>
  <c r="C16" i="16"/>
  <c r="P22" i="14"/>
  <c r="E20" i="59"/>
  <c r="C13" i="15"/>
  <c r="B16" i="16"/>
  <c r="K78" i="14"/>
  <c r="H9" i="18"/>
  <c r="M77" i="14" s="1"/>
  <c r="M9" i="59" s="1"/>
  <c r="Q22" i="14"/>
  <c r="G10" i="59"/>
  <c r="D22" i="14"/>
  <c r="L22"/>
  <c r="E10" i="59"/>
  <c r="B8" i="18"/>
  <c r="B10" s="1"/>
  <c r="G77" i="14"/>
  <c r="G9" i="59" s="1"/>
  <c r="I77" i="14"/>
  <c r="I9" i="59" s="1"/>
  <c r="B13" i="15"/>
  <c r="N13"/>
  <c r="L13"/>
  <c r="F77" i="14"/>
  <c r="F9" i="59" s="1"/>
  <c r="I101" i="18"/>
  <c r="H8" s="1"/>
  <c r="E101"/>
  <c r="E8" s="1"/>
  <c r="F101"/>
  <c r="G101"/>
  <c r="I8" s="1"/>
  <c r="C101"/>
  <c r="B101"/>
  <c r="C8" s="1"/>
  <c r="I102"/>
  <c r="H17" s="1"/>
  <c r="E102"/>
  <c r="E17" s="1"/>
  <c r="C102"/>
  <c r="F102"/>
  <c r="H102"/>
  <c r="J17" s="1"/>
  <c r="D102"/>
  <c r="G102"/>
  <c r="B102"/>
  <c r="C17" s="1"/>
  <c r="C89" i="14"/>
  <c r="C19" i="59" s="1"/>
  <c r="O19" i="18"/>
  <c r="O78" i="14"/>
  <c r="N88"/>
  <c r="D10" i="18"/>
  <c r="E78" i="14"/>
  <c r="D77"/>
  <c r="D9" i="59" s="1"/>
  <c r="H77" i="14"/>
  <c r="G90"/>
  <c r="O88"/>
  <c r="G89"/>
  <c r="G19" i="59" s="1"/>
  <c r="G20" s="1"/>
  <c r="G20" i="18"/>
  <c r="B89" i="14"/>
  <c r="B19" i="59" s="1"/>
  <c r="O18" i="18"/>
  <c r="G78" i="14"/>
  <c r="Q89"/>
  <c r="P19" i="59" s="1"/>
  <c r="O25" i="48"/>
  <c r="O27"/>
  <c r="Q11"/>
  <c r="O29"/>
  <c r="P31"/>
  <c r="O28"/>
  <c r="Q12"/>
  <c r="O24"/>
  <c r="O30"/>
  <c r="P24"/>
  <c r="P30"/>
  <c r="E90" i="14"/>
  <c r="R9"/>
  <c r="R25"/>
  <c r="K90"/>
  <c r="H78" l="1"/>
  <c r="H9" i="59"/>
  <c r="H10" s="1"/>
  <c r="O90" i="14"/>
  <c r="O18" i="59"/>
  <c r="O20" s="1"/>
  <c r="N90" i="14"/>
  <c r="N18" i="59"/>
  <c r="N20" s="1"/>
  <c r="O9" i="18"/>
  <c r="Q77" i="14"/>
  <c r="P9" i="59" s="1"/>
  <c r="H101" i="18"/>
  <c r="J8" s="1"/>
  <c r="O8" s="1"/>
  <c r="O10" s="1"/>
  <c r="Q14" i="48"/>
  <c r="C77" i="14"/>
  <c r="C9" i="59" s="1"/>
  <c r="J87" i="14"/>
  <c r="J20" i="18"/>
  <c r="H20"/>
  <c r="M87" i="14"/>
  <c r="F76"/>
  <c r="E10" i="18"/>
  <c r="C20"/>
  <c r="D87" i="14"/>
  <c r="D17" i="59" s="1"/>
  <c r="D20" s="1"/>
  <c r="H10" i="18"/>
  <c r="M76" i="14"/>
  <c r="B88"/>
  <c r="B18" i="59" s="1"/>
  <c r="I17" i="18"/>
  <c r="O17" s="1"/>
  <c r="O20" s="1"/>
  <c r="D76" i="14"/>
  <c r="D8" i="59" s="1"/>
  <c r="D10" s="1"/>
  <c r="C10" i="18"/>
  <c r="C88" i="14"/>
  <c r="C18" i="59" s="1"/>
  <c r="I10" i="18"/>
  <c r="I76" i="14"/>
  <c r="I8" i="59" s="1"/>
  <c r="I10" s="1"/>
  <c r="B77" i="14"/>
  <c r="B9" i="59" s="1"/>
  <c r="E20" i="18"/>
  <c r="F87" i="14"/>
  <c r="Q88"/>
  <c r="P18" i="59" s="1"/>
  <c r="H14" i="15"/>
  <c r="H16" s="1"/>
  <c r="G14"/>
  <c r="G16" s="1"/>
  <c r="M78" i="14" l="1"/>
  <c r="M8" i="59"/>
  <c r="M10" s="1"/>
  <c r="M90" i="14"/>
  <c r="M17" i="59"/>
  <c r="M20" s="1"/>
  <c r="F78" i="14"/>
  <c r="F8" i="59"/>
  <c r="F10" s="1"/>
  <c r="I10" i="14"/>
  <c r="I16" s="1"/>
  <c r="H5" i="48"/>
  <c r="F90" i="14"/>
  <c r="F17" i="59"/>
  <c r="F20" s="1"/>
  <c r="G5" i="48"/>
  <c r="H10" i="14"/>
  <c r="H16" s="1"/>
  <c r="J90"/>
  <c r="J17" i="59"/>
  <c r="J20" s="1"/>
  <c r="Q76" i="14"/>
  <c r="D78"/>
  <c r="I78"/>
  <c r="B76"/>
  <c r="J10" i="18"/>
  <c r="J76" i="14"/>
  <c r="I87"/>
  <c r="I17" i="59" s="1"/>
  <c r="I20" s="1"/>
  <c r="I20" i="18"/>
  <c r="Q87" i="14"/>
  <c r="D90"/>
  <c r="C87"/>
  <c r="A31" i="23"/>
  <c r="A32"/>
  <c r="A33"/>
  <c r="C90" i="14" l="1"/>
  <c r="C17" i="59"/>
  <c r="C20" s="1"/>
  <c r="B78" i="14"/>
  <c r="B8" i="59"/>
  <c r="B10" s="1"/>
  <c r="J78" i="14"/>
  <c r="J8" i="59"/>
  <c r="J10" s="1"/>
  <c r="Q90" i="14"/>
  <c r="B17" i="6" s="1"/>
  <c r="P17" i="59"/>
  <c r="P20" s="1"/>
  <c r="Q78" i="14"/>
  <c r="B9" i="6" s="1"/>
  <c r="P8" i="59"/>
  <c r="P10" s="1"/>
  <c r="B87" i="14"/>
  <c r="I90"/>
  <c r="C76"/>
  <c r="B11" i="44"/>
  <c r="B25"/>
  <c r="B24"/>
  <c r="B90" i="14" l="1"/>
  <c r="B17" i="59"/>
  <c r="B20" s="1"/>
  <c r="C78" i="14"/>
  <c r="B4" i="6" s="1"/>
  <c r="C8" i="59"/>
  <c r="C1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4" i="48" l="1"/>
  <c r="J29"/>
  <c r="J30"/>
  <c r="J32"/>
  <c r="J28"/>
  <c r="J27"/>
  <c r="J31"/>
  <c r="P4"/>
  <c r="Q11" i="14"/>
  <c r="P11"/>
  <c r="O4" i="48"/>
  <c r="I25"/>
  <c r="I22"/>
  <c r="I26"/>
  <c r="I32"/>
  <c r="I24"/>
  <c r="I28"/>
  <c r="I31"/>
  <c r="I27"/>
  <c r="I29"/>
  <c r="I30"/>
  <c r="D4"/>
  <c r="D22" s="1"/>
  <c r="E11" i="14"/>
  <c r="H32" i="48"/>
  <c r="H26"/>
  <c r="H29"/>
  <c r="H28"/>
  <c r="H25"/>
  <c r="H22"/>
  <c r="H30"/>
  <c r="H24"/>
  <c r="H23"/>
  <c r="D11" i="14"/>
  <c r="C4" i="48"/>
  <c r="G25"/>
  <c r="G24"/>
  <c r="G26"/>
  <c r="G29"/>
  <c r="G32"/>
  <c r="G22"/>
  <c r="G30"/>
  <c r="G23"/>
  <c r="C11" i="14"/>
  <c r="B4" i="48"/>
  <c r="F24"/>
  <c r="F32"/>
  <c r="F29"/>
  <c r="F27"/>
  <c r="F31"/>
  <c r="F30"/>
  <c r="F28"/>
  <c r="N31"/>
  <c r="N24"/>
  <c r="N30"/>
  <c r="N29"/>
  <c r="N32"/>
  <c r="N27"/>
  <c r="N28"/>
  <c r="C19" i="14"/>
  <c r="B10" i="48"/>
  <c r="E32"/>
  <c r="E28"/>
  <c r="E24"/>
  <c r="E31"/>
  <c r="E29"/>
  <c r="E30"/>
  <c r="M26"/>
  <c r="M25"/>
  <c r="M32"/>
  <c r="M22"/>
  <c r="M30"/>
  <c r="M29"/>
  <c r="M24"/>
  <c r="M23"/>
  <c r="L10" i="14"/>
  <c r="L16" s="1"/>
  <c r="L27" s="1"/>
  <c r="K5" i="48"/>
  <c r="D30"/>
  <c r="D24"/>
  <c r="D29"/>
  <c r="D28"/>
  <c r="D31"/>
  <c r="D32"/>
  <c r="L32"/>
  <c r="L27"/>
  <c r="L28"/>
  <c r="L22"/>
  <c r="L30"/>
  <c r="L29"/>
  <c r="L31"/>
  <c r="L24"/>
  <c r="P5"/>
  <c r="P23" s="1"/>
  <c r="Q10" i="14"/>
  <c r="K28" i="48"/>
  <c r="K32"/>
  <c r="K31"/>
  <c r="K24"/>
  <c r="K29"/>
  <c r="K26"/>
  <c r="K22"/>
  <c r="K25"/>
  <c r="K27"/>
  <c r="K30"/>
  <c r="B7"/>
  <c r="C24" i="14"/>
  <c r="C26" s="1"/>
  <c r="N46"/>
  <c r="B8" i="9"/>
  <c r="B6" i="48" s="1"/>
  <c r="Q6" s="1"/>
  <c r="J15" i="16"/>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G13" i="48"/>
  <c r="H18" i="14"/>
  <c r="H13" i="48"/>
  <c r="H31" s="1"/>
  <c r="I18" i="14"/>
  <c r="P22" i="16"/>
  <c r="Q43" i="14" s="1"/>
  <c r="Q13"/>
  <c r="P8" i="48"/>
  <c r="P26" s="1"/>
  <c r="O22"/>
  <c r="J10" i="14"/>
  <c r="J16" s="1"/>
  <c r="J27" s="1"/>
  <c r="J63" s="1"/>
  <c r="I5" i="48"/>
  <c r="K23"/>
  <c r="K15"/>
  <c r="E9"/>
  <c r="E27" s="1"/>
  <c r="F20" i="14"/>
  <c r="F22" s="1"/>
  <c r="E20"/>
  <c r="E22" s="1"/>
  <c r="D9" i="48"/>
  <c r="D27" s="1"/>
  <c r="P10" i="14"/>
  <c r="O5" i="48"/>
  <c r="O23" s="1"/>
  <c r="J7"/>
  <c r="J25" s="1"/>
  <c r="K24" i="14"/>
  <c r="K26" s="1"/>
  <c r="C20"/>
  <c r="B9" i="48"/>
  <c r="P22"/>
  <c r="G11" i="14"/>
  <c r="F4" i="48"/>
  <c r="F22" s="1"/>
  <c r="K33"/>
  <c r="L63" i="14"/>
  <c r="Q16"/>
  <c r="Q27" s="1"/>
  <c r="Q63" s="1"/>
  <c r="D10"/>
  <c r="J12" i="17"/>
  <c r="K54" i="14" s="1"/>
  <c r="K56" s="1"/>
  <c r="L46"/>
  <c r="L61"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G9"/>
  <c r="H20" i="14"/>
  <c r="N19"/>
  <c r="M10" i="48"/>
  <c r="M28" s="1"/>
  <c r="O22" i="16"/>
  <c r="P43" i="14" s="1"/>
  <c r="P13"/>
  <c r="O8" i="48"/>
  <c r="H19" i="14"/>
  <c r="R19" s="1"/>
  <c r="G10" i="48"/>
  <c r="G31"/>
  <c r="Q13"/>
  <c r="E12" i="13"/>
  <c r="F41" i="14" s="1"/>
  <c r="F11"/>
  <c r="R11" s="1"/>
  <c r="E4" i="48"/>
  <c r="K11" i="14"/>
  <c r="J4" i="48"/>
  <c r="E7"/>
  <c r="E25" s="1"/>
  <c r="F24" i="14"/>
  <c r="F26" s="1"/>
  <c r="I23" i="48"/>
  <c r="I33" s="1"/>
  <c r="I15"/>
  <c r="N20" i="14"/>
  <c r="M9" i="48"/>
  <c r="N22" i="14"/>
  <c r="N27" s="1"/>
  <c r="P46"/>
  <c r="P61" s="1"/>
  <c r="P33" i="48"/>
  <c r="R18" i="14"/>
  <c r="P15" i="48"/>
  <c r="C22" i="14"/>
  <c r="N52"/>
  <c r="N61" s="1"/>
  <c r="P16"/>
  <c r="P27" s="1"/>
  <c r="P63" s="1"/>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F10" l="1"/>
  <c r="E5" i="48"/>
  <c r="E23" s="1"/>
  <c r="J22"/>
  <c r="H9"/>
  <c r="I20" i="14"/>
  <c r="I22" s="1"/>
  <c r="I27" s="1"/>
  <c r="G28" i="48"/>
  <c r="Q10"/>
  <c r="G27"/>
  <c r="G15"/>
  <c r="M27"/>
  <c r="M33" s="1"/>
  <c r="M15"/>
  <c r="E22"/>
  <c r="Q4"/>
  <c r="J5"/>
  <c r="J23" s="1"/>
  <c r="K10" i="14"/>
  <c r="O26" i="48"/>
  <c r="O33" s="1"/>
  <c r="O15"/>
  <c r="N63" i="14"/>
  <c r="H22"/>
  <c r="H27" s="1"/>
  <c r="L25" i="48"/>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H27" i="48" l="1"/>
  <c r="H33" s="1"/>
  <c r="H15"/>
  <c r="Q9"/>
  <c r="J22" i="16"/>
  <c r="K43" i="14" s="1"/>
  <c r="K46" s="1"/>
  <c r="K61" s="1"/>
  <c r="K63" s="1"/>
  <c r="K13"/>
  <c r="K16" s="1"/>
  <c r="K27" s="1"/>
  <c r="J8" i="48"/>
  <c r="F13" i="14"/>
  <c r="E8" i="48"/>
  <c r="E26" s="1"/>
  <c r="F46" i="14"/>
  <c r="F61" s="1"/>
  <c r="H63"/>
  <c r="E33" i="48"/>
  <c r="E15"/>
  <c r="I63" i="14"/>
  <c r="R20"/>
  <c r="R22" s="1"/>
  <c r="G33" i="48"/>
  <c r="F16" i="14"/>
  <c r="F27" s="1"/>
  <c r="O13"/>
  <c r="N8" i="48"/>
  <c r="N26" s="1"/>
  <c r="F8"/>
  <c r="G13" i="14"/>
  <c r="J26" i="48" l="1"/>
  <c r="J33" s="1"/>
  <c r="J15"/>
  <c r="R13" i="14"/>
  <c r="F6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<sst xmlns="http://schemas.openxmlformats.org/spreadsheetml/2006/main" count="2428" uniqueCount="914">
  <si>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</si>
  <si>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</si>
  <si>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</si>
  <si>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</si>
  <si>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</si>
  <si>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</si>
  <si>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</si>
  <si>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</si>
  <si>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</si>
  <si>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</si>
  <si>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</si>
  <si>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</si>
  <si>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</si>
  <si>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</si>
  <si>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</si>
  <si>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</si>
  <si>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</si>
  <si>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</si>
  <si>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</si>
  <si>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</si>
  <si>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</si>
  <si>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</si>
  <si>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</si>
  <si>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</si>
  <si>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</si>
  <si>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</si>
  <si>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</si>
  <si>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</si>
  <si>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</si>
  <si>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</si>
  <si>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</si>
  <si>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</si>
  <si>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</si>
  <si>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</si>
  <si>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</si>
  <si>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</si>
  <si>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</si>
  <si>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</si>
  <si>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</si>
  <si>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</si>
  <si>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</si>
  <si>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</si>
  <si>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</si>
  <si>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</si>
  <si>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</si>
  <si>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</si>
  <si>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</si>
  <si>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</si>
  <si>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</si>
  <si>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</si>
  <si>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</si>
  <si>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</si>
  <si>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</si>
  <si>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</si>
  <si>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</si>
  <si>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</si>
  <si>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</si>
  <si>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</si>
  <si>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</si>
  <si>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</si>
  <si>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</si>
  <si>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</si>
  <si>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</si>
  <si>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</si>
  <si>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</si>
  <si>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</si>
  <si>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</si>
  <si>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</si>
  <si>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</si>
  <si>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</si>
  <si>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</si>
  <si>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</si>
  <si>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</si>
  <si>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</si>
  <si>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</si>
  <si>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</si>
  <si>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</si>
  <si>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</si>
  <si>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</si>
  <si>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</si>
  <si>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</si>
  <si>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</si>
  <si>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</si>
  <si>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</si>
  <si>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</si>
  <si>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</si>
  <si>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</si>
  <si>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</si>
  <si>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</si>
  <si>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</si>
  <si>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</si>
  <si>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</si>
  <si>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</si>
  <si>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</si>
  <si>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</si>
  <si>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</si>
  <si>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</si>
  <si>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</si>
  <si>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</si>
  <si>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</si>
  <si>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</si>
  <si>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</si>
  <si>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</si>
  <si>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</si>
  <si>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</si>
  <si>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</si>
  <si>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</si>
  <si>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</si>
  <si>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</si>
  <si>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</si>
  <si>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</si>
  <si>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</si>
  <si>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</si>
  <si>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</si>
  <si>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</si>
  <si>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</si>
  <si>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</si>
  <si>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</si>
  <si>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</si>
  <si>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</si>
  <si>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</si>
  <si>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</si>
  <si>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</si>
  <si>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</si>
  <si>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</si>
  <si>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</si>
  <si>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</si>
  <si>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</si>
  <si>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</si>
  <si>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</si>
  <si>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</si>
  <si>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</si>
  <si>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</si>
  <si>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</si>
  <si>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</si>
  <si>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</si>
  <si>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</si>
  <si>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</si>
  <si>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</si>
  <si>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</si>
  <si>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</si>
  <si>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</si>
  <si>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</si>
  <si>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</si>
  <si>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</si>
  <si>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</si>
  <si>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</si>
  <si>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</si>
  <si>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</si>
  <si>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</si>
  <si>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</si>
  <si>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</si>
  <si>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</si>
  <si>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</si>
  <si>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</si>
  <si>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</si>
  <si>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</si>
  <si>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</si>
  <si>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</si>
  <si>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</si>
  <si>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</si>
  <si>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</si>
  <si>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</si>
  <si>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</si>
  <si>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</si>
  <si>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</si>
  <si>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</si>
  <si>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</si>
  <si>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</si>
  <si>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</si>
  <si>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</si>
  <si>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</si>
  <si>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</si>
  <si>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</si>
  <si>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</si>
  <si>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</si>
  <si>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</si>
  <si>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</si>
  <si>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</si>
  <si>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</si>
  <si>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</si>
  <si>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</si>
  <si>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</si>
  <si>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</si>
  <si>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</si>
  <si>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</si>
  <si>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</si>
  <si>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</si>
  <si>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</si>
  <si>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</si>
  <si>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</si>
  <si>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</si>
  <si>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</si>
  <si>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</si>
  <si>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</si>
  <si>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</si>
  <si>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</si>
  <si>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</si>
  <si>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</si>
  <si>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</si>
  <si>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</si>
  <si>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</si>
  <si>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</si>
  <si>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</si>
  <si>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</si>
  <si>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</si>
  <si>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</si>
  <si>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</si>
  <si>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</si>
  <si>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</si>
  <si>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</si>
  <si>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</si>
  <si>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</si>
  <si>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</si>
  <si>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</si>
  <si>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</si>
  <si>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</si>
  <si>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</si>
  <si>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</si>
  <si>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</si>
  <si>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</si>
  <si>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</si>
  <si>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</si>
  <si>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</si>
  <si>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</si>
  <si>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</si>
  <si>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</si>
  <si>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</si>
  <si>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</si>
  <si>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</si>
  <si>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</si>
  <si>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</si>
  <si>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</si>
  <si>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</si>
  <si>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</si>
  <si>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</si>
  <si>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</si>
  <si>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</si>
  <si>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</si>
  <si>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</si>
  <si>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</si>
  <si>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</si>
  <si>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</si>
  <si>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</si>
  <si>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</si>
  <si>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</si>
  <si>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</si>
  <si>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</si>
  <si>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</si>
  <si>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</si>
  <si>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</si>
  <si>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</si>
  <si>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</si>
  <si>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</si>
  <si>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</si>
  <si>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</si>
  <si>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</si>
  <si>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</si>
  <si>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</si>
  <si>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</si>
  <si>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</si>
  <si>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</si>
  <si>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</si>
  <si>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</si>
  <si>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</si>
  <si>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</si>
  <si>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</si>
  <si>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</si>
  <si>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</si>
  <si>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</si>
  <si>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</si>
  <si>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</si>
  <si>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</si>
  <si>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</si>
  <si>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</si>
  <si>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</si>
  <si>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</si>
  <si>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</si>
  <si>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</si>
  <si>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</si>
  <si>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</si>
  <si>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</si>
  <si>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</si>
  <si>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</si>
  <si>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</si>
  <si>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</si>
  <si>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</si>
  <si>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</si>
  <si>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</si>
  <si>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</si>
  <si>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</si>
  <si>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</si>
  <si>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</si>
  <si>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</si>
  <si>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</si>
  <si>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</si>
  <si>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</si>
  <si>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</si>
  <si>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</si>
  <si>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</si>
  <si>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</si>
  <si>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</si>
  <si>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</si>
  <si>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</si>
  <si>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</si>
  <si>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</si>
  <si>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</si>
  <si>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</si>
  <si>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</si>
  <si>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</si>
  <si>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</si>
  <si>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</si>
  <si>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</si>
  <si>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</si>
  <si>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</si>
  <si>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</si>
  <si>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</si>
  <si>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</si>
  <si>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</si>
  <si>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</si>
  <si>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</si>
  <si>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</si>
  <si>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</si>
  <si>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</si>
  <si>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</si>
  <si>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</si>
  <si>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</si>
  <si>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</si>
  <si>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</si>
  <si>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</si>
  <si>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</si>
  <si>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</si>
  <si>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</si>
  <si>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</si>
  <si>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</si>
  <si>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</si>
  <si>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</si>
  <si>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</si>
  <si>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</si>
  <si>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</si>
  <si>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</si>
  <si>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</si>
  <si>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</si>
  <si>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</si>
  <si>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</si>
  <si>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</si>
  <si>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</si>
  <si>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</si>
  <si>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</si>
  <si>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</si>
  <si>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</si>
  <si>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</si>
  <si>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</si>
  <si>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</si>
  <si>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</si>
  <si>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</si>
  <si>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</si>
  <si>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</si>
  <si>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</si>
  <si>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</si>
  <si>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</si>
  <si>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</si>
  <si>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</si>
  <si>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</si>
  <si>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</si>
  <si>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</si>
  <si>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</si>
  <si>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</si>
  <si>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</si>
  <si>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</si>
  <si>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</si>
  <si>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</si>
  <si>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</si>
  <si>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</si>
  <si>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</si>
  <si>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</si>
  <si>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</si>
  <si>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</si>
  <si>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</si>
  <si>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</si>
  <si>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</si>
  <si>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</si>
  <si>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</si>
  <si>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</si>
  <si>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</si>
  <si>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</si>
  <si>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</si>
  <si>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</si>
  <si>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</si>
  <si>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</si>
  <si>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</si>
  <si>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</si>
  <si>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</si>
  <si>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</si>
  <si>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</si>
  <si>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</si>
  <si>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</si>
  <si>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</si>
  <si>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</si>
  <si>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</si>
  <si>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</si>
  <si>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</si>
  <si>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</si>
  <si>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</si>
  <si>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</si>
  <si>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</si>
  <si>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</si>
  <si>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</si>
  <si>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</si>
  <si>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</si>
  <si>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</si>
  <si>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</si>
  <si>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</si>
  <si>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</si>
  <si>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</si>
  <si>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</si>
  <si>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</si>
  <si>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</si>
  <si>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</si>
  <si>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</si>
  <si>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</si>
  <si>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</si>
  <si>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</si>
  <si>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</si>
  <si>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</si>
  <si>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</si>
  <si>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</si>
  <si>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</si>
  <si>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</si>
  <si>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</si>
  <si>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</si>
  <si>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</si>
  <si>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</si>
  <si>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</si>
  <si>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</si>
  <si>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</si>
  <si>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</si>
  <si>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</si>
  <si>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</si>
  <si>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</si>
  <si>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</si>
  <si>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</si>
  <si>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</si>
  <si>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</si>
  <si>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</si>
  <si>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</si>
  <si>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</si>
  <si>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</si>
  <si>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</si>
  <si>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</si>
  <si>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</si>
  <si>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</si>
  <si>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</si>
  <si>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</si>
  <si>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</si>
  <si>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</si>
  <si>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</si>
  <si>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</si>
  <si>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</si>
  <si>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</si>
  <si>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</si>
  <si>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</si>
  <si>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</si>
  <si>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</si>
  <si>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</si>
  <si>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</si>
  <si>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</si>
  <si>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</si>
  <si>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</si>
  <si>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</si>
  <si>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</si>
  <si>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</si>
  <si>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</si>
  <si>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</si>
  <si>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</si>
  <si>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</si>
  <si>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</si>
  <si>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</si>
  <si>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</si>
  <si>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</si>
  <si>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</si>
  <si>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</si>
  <si>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</si>
  <si>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</si>
  <si>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</si>
  <si>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</si>
  <si>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</si>
  <si>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</si>
  <si>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</si>
  <si>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</si>
  <si>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</si>
  <si>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</si>
  <si>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</si>
  <si>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</si>
  <si>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</si>
  <si>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</si>
  <si>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</si>
  <si>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</si>
  <si>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</si>
  <si>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</si>
  <si>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</si>
  <si>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</si>
  <si>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</si>
  <si>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</si>
  <si>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</si>
  <si>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</si>
  <si>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</si>
  <si>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</si>
  <si>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</si>
  <si>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</si>
  <si>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</si>
  <si>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</si>
  <si>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</si>
  <si>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</si>
  <si>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</si>
  <si>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</si>
  <si>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</si>
  <si>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</si>
  <si>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</si>
  <si>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</si>
  <si>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</si>
  <si>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</si>
  <si>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</si>
  <si>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</si>
  <si>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</si>
  <si>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</si>
  <si>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</si>
  <si>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</si>
  <si>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</si>
  <si>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</si>
  <si>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</si>
  <si>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</si>
  <si>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</si>
  <si>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</si>
  <si>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</si>
  <si>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</si>
  <si>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</si>
  <si>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</si>
  <si>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</si>
  <si>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</si>
  <si>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</si>
  <si>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</si>
  <si>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</si>
  <si>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</si>
  <si>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</si>
  <si>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</si>
  <si>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</si>
  <si>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</si>
  <si>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</si>
  <si>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</si>
  <si>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</si>
  <si>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</si>
  <si>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</si>
  <si>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</si>
  <si>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</si>
  <si>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</si>
  <si>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</si>
  <si>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</si>
  <si>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</si>
  <si>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</si>
  <si>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</si>
  <si>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</si>
  <si>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</si>
  <si>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</si>
  <si>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</si>
  <si>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</si>
  <si>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</si>
  <si>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</si>
  <si>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</si>
  <si>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</si>
  <si>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</si>
  <si>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</si>
  <si>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</si>
  <si>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</si>
  <si>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</si>
  <si>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</si>
  <si>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</si>
  <si>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</si>
  <si>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</si>
  <si>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</si>
  <si>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</si>
  <si>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</si>
  <si>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</si>
  <si>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</si>
  <si>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</si>
  <si>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</si>
  <si>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</si>
  <si>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</si>
  <si>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</si>
  <si>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</si>
  <si>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</si>
  <si>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</si>
  <si>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</si>
  <si>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</si>
  <si>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</si>
  <si>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</si>
  <si>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</si>
  <si>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</si>
  <si>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</si>
  <si>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</si>
  <si>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</si>
  <si>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</si>
  <si>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</si>
  <si>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</si>
  <si>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</si>
  <si>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</si>
  <si>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</si>
  <si>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</si>
  <si>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</si>
  <si>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</si>
  <si>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</si>
  <si>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</si>
  <si>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</si>
  <si>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</si>
  <si>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</si>
  <si>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</si>
  <si>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</si>
  <si>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</si>
  <si>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</si>
  <si>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</si>
  <si>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</si>
  <si>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</si>
  <si>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</si>
  <si>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</si>
  <si>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</si>
  <si>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</si>
  <si>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</si>
  <si>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</si>
  <si>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</si>
  <si>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</si>
  <si>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</si>
  <si>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</si>
  <si>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</si>
  <si>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</si>
  <si>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</si>
  <si>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</si>
  <si>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</si>
  <si>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</si>
  <si>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</si>
  <si>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</si>
  <si>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</si>
  <si>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</si>
  <si>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</si>
  <si>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</si>
  <si>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</si>
  <si>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</si>
  <si>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</si>
  <si>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</si>
  <si>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</si>
  <si>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</si>
  <si>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</si>
  <si>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</si>
  <si>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</si>
  <si>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</si>
  <si>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</si>
  <si>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</si>
  <si>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</si>
  <si>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</si>
  <si>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</si>
  <si>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</si>
  <si>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</si>
  <si>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</si>
  <si>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</si>
  <si>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</si>
  <si>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</si>
  <si>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</si>
  <si>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</si>
  <si>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</si>
  <si>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</si>
  <si>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</si>
  <si>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</si>
  <si>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</si>
  <si>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</si>
  <si>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</si>
  <si>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</si>
  <si>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</si>
  <si>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</si>
  <si>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</si>
  <si>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</si>
  <si>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</si>
  <si>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</si>
  <si>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</si>
  <si>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</si>
  <si>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</si>
  <si>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</si>
  <si>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</si>
  <si>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</si>
  <si>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</si>
  <si>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</si>
  <si>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</si>
  <si>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</si>
  <si>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</si>
  <si>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</si>
  <si>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</si>
  <si>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</si>
  <si>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</si>
  <si>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</si>
  <si>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</si>
  <si>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</si>
  <si>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</si>
  <si>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</si>
  <si>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</si>
  <si>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</si>
  <si>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</si>
  <si>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</si>
  <si>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</si>
  <si>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</si>
  <si>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</si>
  <si>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</si>
  <si>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</si>
  <si>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</si>
  <si>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</si>
  <si>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</si>
  <si>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</si>
  <si>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</si>
  <si>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</si>
  <si>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</si>
  <si>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</si>
  <si>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</si>
  <si>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</si>
  <si>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</si>
  <si>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</si>
  <si>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</si>
  <si>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</si>
  <si>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</si>
  <si>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</si>
  <si>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</si>
  <si>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</si>
  <si>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</si>
  <si>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</si>
  <si>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</si>
  <si>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</si>
  <si>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</si>
  <si>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</si>
  <si>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</si>
  <si>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</si>
  <si>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</si>
  <si>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</si>
  <si>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</si>
  <si>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</si>
  <si>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</si>
  <si>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</si>
  <si>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</si>
  <si>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</si>
  <si>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</si>
  <si>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</si>
  <si>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</si>
  <si>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</si>
  <si>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</si>
  <si>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</si>
  <si>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</si>
  <si>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</si>
  <si>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</si>
  <si>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</si>
  <si>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</si>
  <si>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</si>
  <si>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</si>
  <si>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</si>
  <si>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</si>
  <si>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</si>
  <si>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</si>
  <si>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</si>
  <si>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</si>
  <si>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</si>
  <si>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</si>
  <si>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</si>
  <si>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</si>
  <si>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</si>
  <si>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</si>
  <si>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</si>
  <si>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</si>
  <si>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</si>
  <si>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</si>
  <si>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</si>
  <si>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</si>
  <si>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</si>
  <si>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</si>
  <si>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</si>
  <si>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</si>
  <si>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</si>
  <si>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</si>
  <si>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</si>
  <si>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</si>
  <si>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</si>
  <si>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</si>
  <si>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</si>
  <si>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</si>
  <si>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</si>
  <si>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</si>
  <si>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</si>
  <si>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</si>
  <si>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</si>
  <si>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</si>
  <si>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</si>
  <si>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</si>
  <si>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</si>
  <si>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</si>
  <si>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</si>
  <si>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</si>
  <si>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</si>
  <si>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</si>
  <si>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</si>
  <si>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</si>
  <si>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</si>
  <si>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</si>
  <si>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</si>
  <si>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</si>
  <si>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</si>
  <si>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</si>
  <si>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</si>
  <si>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</si>
  <si>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</si>
  <si>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</si>
  <si>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</si>
  <si>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</si>
  <si>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</si>
  <si>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</si>
  <si>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</si>
  <si>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</si>
  <si>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</si>
  <si>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</si>
  <si>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</si>
  <si>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</si>
  <si>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</si>
  <si>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</si>
  <si>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</si>
  <si>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</si>
  <si>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</si>
  <si>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</si>
  <si>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</si>
  <si>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</si>
  <si>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</si>
  <si>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</si>
  <si>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</si>
  <si>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</si>
  <si>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</si>
  <si>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</si>
  <si>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</si>
  <si>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</si>
  <si>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</si>
  <si>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</si>
  <si>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</si>
  <si>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</si>
  <si>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</si>
  <si>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</si>
  <si>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</si>
  <si>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</si>
  <si>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</si>
  <si>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</si>
  <si>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</si>
  <si>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</si>
  <si>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</si>
  <si>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</si>
  <si>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</si>
  <si>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</si>
  <si>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</si>
  <si>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</si>
  <si>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</si>
  <si>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</si>
  <si>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</si>
  <si>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</si>
  <si>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</si>
  <si>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</si>
  <si>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</si>
  <si>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</si>
  <si>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</si>
  <si>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</si>
  <si>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</si>
  <si>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</si>
  <si>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</si>
  <si>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</si>
  <si>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</si>
  <si>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</si>
  <si>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</si>
  <si>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</si>
  <si>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</si>
  <si>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</si>
  <si>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</si>
  <si>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</si>
  <si>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</si>
  <si>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</si>
  <si>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</si>
  <si>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</si>
  <si>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</si>
  <si>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</si>
  <si>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</si>
  <si>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</si>
  <si>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</si>
  <si>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</si>
  <si>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</si>
  <si>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</si>
  <si>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</si>
  <si>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</si>
  <si>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</si>
  <si>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</si>
  <si>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</si>
  <si>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</si>
  <si>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</si>
  <si>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</si>
  <si>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24041</t>
  </si>
  <si>
    <t>HOEGAARDEN</t>
  </si>
  <si>
    <t>Paarden&amp;pony's 200 - 600 kg</t>
  </si>
  <si>
    <t>Paarden&amp;pony's &lt; 200 kg</t>
  </si>
  <si>
    <t>referentietaak LNE (2017); Jaarverslag De Lijn (2014)</t>
  </si>
  <si>
    <t>op basis van VEA (maart 2018) en Inventaris Hernieuwbare Energiebronnen (juni 2018)</t>
  </si>
  <si>
    <t>VEA (maart 2016)</t>
  </si>
  <si>
    <t>VEA (juni 2018)</t>
  </si>
  <si>
    <t>Helmke Drive Center</t>
  </si>
  <si>
    <t>Bleyveldstraat 9, 3320 Hoegaarden</t>
  </si>
  <si>
    <t>WKK-0002 Interbrew Hoegaarden</t>
  </si>
  <si>
    <t>interne verbrandingsmotor</t>
  </si>
  <si>
    <t>WKK interne verbrandinsgmotor (gas)</t>
  </si>
  <si>
    <t>Altenaken 7, 3320 Hoegaarden</t>
  </si>
  <si>
    <t>IVERLEK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</si>
</sst>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54766.824807527977</c:v>
                </c:pt>
                <c:pt idx="1">
                  <c:v>10928.021040169355</c:v>
                </c:pt>
                <c:pt idx="2">
                  <c:v>360.01100000000002</c:v>
                </c:pt>
                <c:pt idx="3">
                  <c:v>2431.5259166821347</c:v>
                </c:pt>
                <c:pt idx="4">
                  <c:v>55199.729200789319</c:v>
                </c:pt>
                <c:pt idx="5">
                  <c:v>126406.73213399039</c:v>
                </c:pt>
                <c:pt idx="6">
                  <c:v>429.79850524128591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2034816"/>
        <c:axId val="182036352"/>
      </c:barChart>
      <c:catAx>
        <c:axId val="182034816"/>
        <c:scaling>
          <c:orientation val="minMax"/>
        </c:scaling>
        <c:axPos val="b"/>
        <c:numFmt formatCode="General" sourceLinked="0"/>
        <c:tickLblPos val="nextTo"/>
        <c:crossAx val="182036352"/>
        <c:crosses val="autoZero"/>
        <c:auto val="1"/>
        <c:lblAlgn val="ctr"/>
        <c:lblOffset val="100"/>
      </c:catAx>
      <c:valAx>
        <c:axId val="182036352"/>
        <c:scaling>
          <c:orientation val="minMax"/>
        </c:scaling>
        <c:axPos val="l"/>
        <c:majorGridlines/>
        <c:numFmt formatCode="#,##0" sourceLinked="1"/>
        <c:tickLblPos val="nextTo"/>
        <c:crossAx val="1820348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54766.824807527977</c:v>
                </c:pt>
                <c:pt idx="1">
                  <c:v>10928.021040169355</c:v>
                </c:pt>
                <c:pt idx="2">
                  <c:v>360.01100000000002</c:v>
                </c:pt>
                <c:pt idx="3">
                  <c:v>2431.5259166821347</c:v>
                </c:pt>
                <c:pt idx="4">
                  <c:v>55199.729200789319</c:v>
                </c:pt>
                <c:pt idx="5">
                  <c:v>126406.73213399039</c:v>
                </c:pt>
                <c:pt idx="6">
                  <c:v>429.79850524128591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10833.159568636785</c:v>
                </c:pt>
                <c:pt idx="2">
                  <c:v>2206.8379974008158</c:v>
                </c:pt>
                <c:pt idx="3">
                  <c:v>73.328205071012206</c:v>
                </c:pt>
                <c:pt idx="4">
                  <c:v>607.16355644314967</c:v>
                </c:pt>
                <c:pt idx="5">
                  <c:v>11507.723272513036</c:v>
                </c:pt>
                <c:pt idx="6">
                  <c:v>31693.894067122888</c:v>
                </c:pt>
                <c:pt idx="7">
                  <c:v>108.56505244283285</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65184"/>
        <c:axId val="182457088"/>
      </c:barChart>
      <c:catAx>
        <c:axId val="182365184"/>
        <c:scaling>
          <c:orientation val="minMax"/>
        </c:scaling>
        <c:axPos val="b"/>
        <c:numFmt formatCode="General" sourceLinked="0"/>
        <c:tickLblPos val="nextTo"/>
        <c:crossAx val="182457088"/>
        <c:crosses val="autoZero"/>
        <c:auto val="1"/>
        <c:lblAlgn val="ctr"/>
        <c:lblOffset val="100"/>
      </c:catAx>
      <c:valAx>
        <c:axId val="182457088"/>
        <c:scaling>
          <c:orientation val="minMax"/>
        </c:scaling>
        <c:axPos val="l"/>
        <c:majorGridlines/>
        <c:numFmt formatCode="#,##0" sourceLinked="1"/>
        <c:tickLblPos val="nextTo"/>
        <c:crossAx val="1823651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10833.159568636785</c:v>
                </c:pt>
                <c:pt idx="2">
                  <c:v>2206.8379974008158</c:v>
                </c:pt>
                <c:pt idx="3">
                  <c:v>73.328205071012206</c:v>
                </c:pt>
                <c:pt idx="4">
                  <c:v>607.16355644314967</c:v>
                </c:pt>
                <c:pt idx="5">
                  <c:v>11507.723272513036</c:v>
                </c:pt>
                <c:pt idx="6">
                  <c:v>31693.894067122888</c:v>
                </c:pt>
                <c:pt idx="7">
                  <c:v>108.56505244283285</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24041</v>
      </c>
      <c r="B6" s="416"/>
      <c r="C6" s="417"/>
    </row>
    <row r="7" spans="1:7" s="414" customFormat="1" ht="15.75" customHeight="1">
      <c r="A7" s="418" t="str">
        <f>txtMunicipality</f>
        <v>HOEGAARDEN</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0.20368323487619047</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0.20368323487619047</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24041</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2695</v>
      </c>
      <c r="C9" s="342">
        <v>2828</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2531</v>
      </c>
    </row>
    <row r="15" spans="1:6">
      <c r="A15" s="348" t="s">
        <v>184</v>
      </c>
      <c r="B15" s="334">
        <v>2</v>
      </c>
    </row>
    <row r="16" spans="1:6">
      <c r="A16" s="348" t="s">
        <v>6</v>
      </c>
      <c r="B16" s="334">
        <v>141</v>
      </c>
    </row>
    <row r="17" spans="1:6">
      <c r="A17" s="348" t="s">
        <v>7</v>
      </c>
      <c r="B17" s="334">
        <v>177</v>
      </c>
    </row>
    <row r="18" spans="1:6">
      <c r="A18" s="348" t="s">
        <v>8</v>
      </c>
      <c r="B18" s="334">
        <v>325</v>
      </c>
    </row>
    <row r="19" spans="1:6">
      <c r="A19" s="348" t="s">
        <v>9</v>
      </c>
      <c r="B19" s="334">
        <v>401</v>
      </c>
    </row>
    <row r="20" spans="1:6">
      <c r="A20" s="348" t="s">
        <v>10</v>
      </c>
      <c r="B20" s="334">
        <v>126</v>
      </c>
    </row>
    <row r="21" spans="1:6">
      <c r="A21" s="348" t="s">
        <v>11</v>
      </c>
      <c r="B21" s="334">
        <v>2160</v>
      </c>
    </row>
    <row r="22" spans="1:6">
      <c r="A22" s="348" t="s">
        <v>12</v>
      </c>
      <c r="B22" s="334">
        <v>2945</v>
      </c>
    </row>
    <row r="23" spans="1:6">
      <c r="A23" s="348" t="s">
        <v>13</v>
      </c>
      <c r="B23" s="334">
        <v>46</v>
      </c>
    </row>
    <row r="24" spans="1:6">
      <c r="A24" s="348" t="s">
        <v>14</v>
      </c>
      <c r="B24" s="334">
        <v>2</v>
      </c>
    </row>
    <row r="25" spans="1:6">
      <c r="A25" s="348" t="s">
        <v>15</v>
      </c>
      <c r="B25" s="334">
        <v>879</v>
      </c>
    </row>
    <row r="26" spans="1:6">
      <c r="A26" s="348" t="s">
        <v>16</v>
      </c>
      <c r="B26" s="334">
        <v>106</v>
      </c>
    </row>
    <row r="27" spans="1:6">
      <c r="A27" s="348" t="s">
        <v>17</v>
      </c>
      <c r="B27" s="334">
        <v>0</v>
      </c>
    </row>
    <row r="28" spans="1:6" s="356" customFormat="1">
      <c r="A28" s="355" t="s">
        <v>18</v>
      </c>
      <c r="B28" s="355">
        <v>0</v>
      </c>
    </row>
    <row r="29" spans="1:6">
      <c r="A29" s="355" t="s">
        <v>901</v>
      </c>
      <c r="B29" s="355">
        <v>35</v>
      </c>
      <c r="C29" s="356"/>
      <c r="D29" s="356"/>
      <c r="E29" s="356"/>
      <c r="F29" s="356"/>
    </row>
    <row r="30" spans="1:6">
      <c r="A30" s="341" t="s">
        <v>902</v>
      </c>
      <c r="B30" s="341">
        <v>2</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7198.138024117</v>
      </c>
      <c r="E38" s="334">
        <v>4</v>
      </c>
      <c r="F38" s="334">
        <v>9950.9189999999999</v>
      </c>
    </row>
    <row r="39" spans="1:6">
      <c r="A39" s="348" t="s">
        <v>30</v>
      </c>
      <c r="B39" s="348" t="s">
        <v>31</v>
      </c>
      <c r="C39" s="334">
        <v>1785</v>
      </c>
      <c r="D39" s="334">
        <v>29731881.0694126</v>
      </c>
      <c r="E39" s="334">
        <v>2638</v>
      </c>
      <c r="F39" s="334">
        <v>10648108</v>
      </c>
    </row>
    <row r="40" spans="1:6">
      <c r="A40" s="348" t="s">
        <v>30</v>
      </c>
      <c r="B40" s="348" t="s">
        <v>29</v>
      </c>
      <c r="C40" s="334">
        <v>0</v>
      </c>
      <c r="D40" s="334">
        <v>0</v>
      </c>
      <c r="E40" s="334">
        <v>0</v>
      </c>
      <c r="F40" s="334">
        <v>0</v>
      </c>
    </row>
    <row r="41" spans="1:6">
      <c r="A41" s="348" t="s">
        <v>32</v>
      </c>
      <c r="B41" s="348" t="s">
        <v>33</v>
      </c>
      <c r="C41" s="334">
        <v>23</v>
      </c>
      <c r="D41" s="334">
        <v>183118.651760001</v>
      </c>
      <c r="E41" s="334">
        <v>41</v>
      </c>
      <c r="F41" s="334">
        <v>136939.4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6</v>
      </c>
      <c r="F44" s="334">
        <v>46864.82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20</v>
      </c>
      <c r="D48" s="334">
        <v>628578.09849611297</v>
      </c>
      <c r="E48" s="334">
        <v>21</v>
      </c>
      <c r="F48" s="334">
        <v>2622220</v>
      </c>
    </row>
    <row r="49" spans="1:6">
      <c r="A49" s="348" t="s">
        <v>32</v>
      </c>
      <c r="B49" s="348" t="s">
        <v>40</v>
      </c>
      <c r="C49" s="334">
        <v>0</v>
      </c>
      <c r="D49" s="334">
        <v>0</v>
      </c>
      <c r="E49" s="334">
        <v>0</v>
      </c>
      <c r="F49" s="334">
        <v>0</v>
      </c>
    </row>
    <row r="50" spans="1:6">
      <c r="A50" s="348" t="s">
        <v>32</v>
      </c>
      <c r="B50" s="348" t="s">
        <v>41</v>
      </c>
      <c r="C50" s="334">
        <v>12</v>
      </c>
      <c r="D50" s="334">
        <v>22283831.402504101</v>
      </c>
      <c r="E50" s="334">
        <v>11</v>
      </c>
      <c r="F50" s="334">
        <v>8822010</v>
      </c>
    </row>
    <row r="51" spans="1:6">
      <c r="A51" s="348" t="s">
        <v>42</v>
      </c>
      <c r="B51" s="348" t="s">
        <v>43</v>
      </c>
      <c r="C51" s="334">
        <v>11</v>
      </c>
      <c r="D51" s="334">
        <v>181159.53751540399</v>
      </c>
      <c r="E51" s="334">
        <v>45</v>
      </c>
      <c r="F51" s="334">
        <v>381572.8</v>
      </c>
    </row>
    <row r="52" spans="1:6">
      <c r="A52" s="348" t="s">
        <v>42</v>
      </c>
      <c r="B52" s="348" t="s">
        <v>29</v>
      </c>
      <c r="C52" s="334">
        <v>2</v>
      </c>
      <c r="D52" s="334">
        <v>12214.1370145125</v>
      </c>
      <c r="E52" s="334">
        <v>11</v>
      </c>
      <c r="F52" s="334">
        <v>228493.9</v>
      </c>
    </row>
    <row r="53" spans="1:6">
      <c r="A53" s="348" t="s">
        <v>44</v>
      </c>
      <c r="B53" s="348" t="s">
        <v>45</v>
      </c>
      <c r="C53" s="334">
        <v>63</v>
      </c>
      <c r="D53" s="334">
        <v>1088520.3459977901</v>
      </c>
      <c r="E53" s="334">
        <v>146</v>
      </c>
      <c r="F53" s="334">
        <v>1052763</v>
      </c>
    </row>
    <row r="54" spans="1:6">
      <c r="A54" s="348" t="s">
        <v>46</v>
      </c>
      <c r="B54" s="348" t="s">
        <v>47</v>
      </c>
      <c r="C54" s="334">
        <v>0</v>
      </c>
      <c r="D54" s="334">
        <v>0</v>
      </c>
      <c r="E54" s="334">
        <v>1</v>
      </c>
      <c r="F54" s="334">
        <v>360011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9</v>
      </c>
      <c r="D57" s="334">
        <v>380430.37238626898</v>
      </c>
      <c r="E57" s="334">
        <v>13</v>
      </c>
      <c r="F57" s="334">
        <v>76276</v>
      </c>
    </row>
    <row r="58" spans="1:6">
      <c r="A58" s="348" t="s">
        <v>49</v>
      </c>
      <c r="B58" s="348" t="s">
        <v>51</v>
      </c>
      <c r="C58" s="334">
        <v>0</v>
      </c>
      <c r="D58" s="334">
        <v>0</v>
      </c>
      <c r="E58" s="334">
        <v>3</v>
      </c>
      <c r="F58" s="334">
        <v>5079.0450000000001</v>
      </c>
    </row>
    <row r="59" spans="1:6">
      <c r="A59" s="348" t="s">
        <v>49</v>
      </c>
      <c r="B59" s="348" t="s">
        <v>52</v>
      </c>
      <c r="C59" s="334">
        <v>20</v>
      </c>
      <c r="D59" s="334">
        <v>921085.25584254402</v>
      </c>
      <c r="E59" s="334">
        <v>26</v>
      </c>
      <c r="F59" s="334">
        <v>825377.1</v>
      </c>
    </row>
    <row r="60" spans="1:6">
      <c r="A60" s="348" t="s">
        <v>49</v>
      </c>
      <c r="B60" s="348" t="s">
        <v>53</v>
      </c>
      <c r="C60" s="334">
        <v>16</v>
      </c>
      <c r="D60" s="334">
        <v>872349.05120033701</v>
      </c>
      <c r="E60" s="334">
        <v>21</v>
      </c>
      <c r="F60" s="334">
        <v>508627.1</v>
      </c>
    </row>
    <row r="61" spans="1:6">
      <c r="A61" s="348" t="s">
        <v>49</v>
      </c>
      <c r="B61" s="348" t="s">
        <v>54</v>
      </c>
      <c r="C61" s="334">
        <v>70</v>
      </c>
      <c r="D61" s="334">
        <v>2820327.28513797</v>
      </c>
      <c r="E61" s="334">
        <v>71</v>
      </c>
      <c r="F61" s="334">
        <v>844210.7</v>
      </c>
    </row>
    <row r="62" spans="1:6">
      <c r="A62" s="348" t="s">
        <v>49</v>
      </c>
      <c r="B62" s="348" t="s">
        <v>55</v>
      </c>
      <c r="C62" s="334">
        <v>0</v>
      </c>
      <c r="D62" s="334">
        <v>0</v>
      </c>
      <c r="E62" s="334">
        <v>3</v>
      </c>
      <c r="F62" s="334">
        <v>19676.64</v>
      </c>
    </row>
    <row r="63" spans="1:6">
      <c r="A63" s="348" t="s">
        <v>49</v>
      </c>
      <c r="B63" s="348" t="s">
        <v>29</v>
      </c>
      <c r="C63" s="334">
        <v>74</v>
      </c>
      <c r="D63" s="334">
        <v>1876469.6371559401</v>
      </c>
      <c r="E63" s="334">
        <v>96</v>
      </c>
      <c r="F63" s="334">
        <v>1607324</v>
      </c>
    </row>
    <row r="64" spans="1:6">
      <c r="A64" s="348" t="s">
        <v>56</v>
      </c>
      <c r="B64" s="348" t="s">
        <v>57</v>
      </c>
      <c r="C64" s="334">
        <v>0</v>
      </c>
      <c r="D64" s="334">
        <v>0</v>
      </c>
      <c r="E64" s="334">
        <v>0</v>
      </c>
      <c r="F64" s="334">
        <v>0</v>
      </c>
    </row>
    <row r="65" spans="1:6">
      <c r="A65" s="348" t="s">
        <v>56</v>
      </c>
      <c r="B65" s="348" t="s">
        <v>29</v>
      </c>
      <c r="C65" s="334">
        <v>0</v>
      </c>
      <c r="D65" s="334">
        <v>0</v>
      </c>
      <c r="E65" s="334">
        <v>3</v>
      </c>
      <c r="F65" s="334">
        <v>34380.639999999999</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5</v>
      </c>
      <c r="F68" s="334">
        <v>14934.18</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11272922</v>
      </c>
      <c r="E73" s="476">
        <v>11657170.185419446</v>
      </c>
    </row>
    <row r="74" spans="1:6">
      <c r="A74" s="348" t="s">
        <v>64</v>
      </c>
      <c r="B74" s="348" t="s">
        <v>714</v>
      </c>
      <c r="C74" s="1311" t="s">
        <v>716</v>
      </c>
      <c r="D74" s="476">
        <v>1199710.7890773441</v>
      </c>
      <c r="E74" s="476">
        <v>1256868.5172875274</v>
      </c>
    </row>
    <row r="75" spans="1:6">
      <c r="A75" s="348" t="s">
        <v>65</v>
      </c>
      <c r="B75" s="348" t="s">
        <v>713</v>
      </c>
      <c r="C75" s="1311" t="s">
        <v>717</v>
      </c>
      <c r="D75" s="476">
        <v>10278031</v>
      </c>
      <c r="E75" s="476">
        <v>10586047.924705721</v>
      </c>
    </row>
    <row r="76" spans="1:6">
      <c r="A76" s="348" t="s">
        <v>65</v>
      </c>
      <c r="B76" s="348" t="s">
        <v>714</v>
      </c>
      <c r="C76" s="1311" t="s">
        <v>718</v>
      </c>
      <c r="D76" s="476">
        <v>117839.78907734423</v>
      </c>
      <c r="E76" s="476">
        <v>121439.11540177057</v>
      </c>
    </row>
    <row r="77" spans="1:6">
      <c r="A77" s="348" t="s">
        <v>66</v>
      </c>
      <c r="B77" s="348" t="s">
        <v>713</v>
      </c>
      <c r="C77" s="1311" t="s">
        <v>719</v>
      </c>
      <c r="D77" s="476">
        <v>108467823</v>
      </c>
      <c r="E77" s="476">
        <v>114969355.61658096</v>
      </c>
    </row>
    <row r="78" spans="1:6">
      <c r="A78" s="341" t="s">
        <v>66</v>
      </c>
      <c r="B78" s="341" t="s">
        <v>714</v>
      </c>
      <c r="C78" s="341" t="s">
        <v>720</v>
      </c>
      <c r="D78" s="1307">
        <v>12905422</v>
      </c>
      <c r="E78" s="1307">
        <v>13147220.158165999</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114852.42184531155</v>
      </c>
      <c r="C83" s="476">
        <v>114165.90437032624</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36.982062780269061</v>
      </c>
    </row>
    <row r="90" spans="1:6">
      <c r="A90" s="348" t="s">
        <v>559</v>
      </c>
      <c r="B90" s="1308">
        <v>0</v>
      </c>
    </row>
    <row r="91" spans="1:6">
      <c r="A91" s="348" t="s">
        <v>68</v>
      </c>
      <c r="B91" s="334">
        <v>1228.2162063198368</v>
      </c>
    </row>
    <row r="92" spans="1:6">
      <c r="A92" s="341" t="s">
        <v>69</v>
      </c>
      <c r="B92" s="342">
        <v>356.63483603630806</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1048</v>
      </c>
    </row>
    <row r="98" spans="1:6">
      <c r="A98" s="348" t="s">
        <v>72</v>
      </c>
      <c r="B98" s="334">
        <v>1</v>
      </c>
    </row>
    <row r="99" spans="1:6">
      <c r="A99" s="348" t="s">
        <v>73</v>
      </c>
      <c r="B99" s="334">
        <v>17</v>
      </c>
    </row>
    <row r="100" spans="1:6">
      <c r="A100" s="348" t="s">
        <v>74</v>
      </c>
      <c r="B100" s="334">
        <v>119</v>
      </c>
    </row>
    <row r="101" spans="1:6">
      <c r="A101" s="348" t="s">
        <v>75</v>
      </c>
      <c r="B101" s="334">
        <v>28</v>
      </c>
    </row>
    <row r="102" spans="1:6">
      <c r="A102" s="348" t="s">
        <v>76</v>
      </c>
      <c r="B102" s="334">
        <v>31</v>
      </c>
    </row>
    <row r="103" spans="1:6">
      <c r="A103" s="348" t="s">
        <v>77</v>
      </c>
      <c r="B103" s="334">
        <v>100</v>
      </c>
    </row>
    <row r="104" spans="1:6">
      <c r="A104" s="348" t="s">
        <v>78</v>
      </c>
      <c r="B104" s="334">
        <v>1043</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v>
      </c>
      <c r="C123" s="334">
        <v>3</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49</v>
      </c>
    </row>
    <row r="130" spans="1:6">
      <c r="A130" s="348" t="s">
        <v>295</v>
      </c>
      <c r="B130" s="334">
        <v>0</v>
      </c>
    </row>
    <row r="131" spans="1:6">
      <c r="A131" s="348" t="s">
        <v>296</v>
      </c>
      <c r="B131" s="334">
        <v>1</v>
      </c>
    </row>
    <row r="132" spans="1:6">
      <c r="A132" s="341" t="s">
        <v>297</v>
      </c>
      <c r="B132" s="342">
        <v>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30174.089242379148</v>
      </c>
      <c r="C3" s="43" t="s">
        <v>170</v>
      </c>
      <c r="D3" s="43"/>
      <c r="E3" s="154"/>
      <c r="F3" s="43"/>
      <c r="G3" s="43"/>
      <c r="H3" s="43"/>
      <c r="I3" s="43"/>
      <c r="J3" s="43"/>
      <c r="K3" s="96"/>
    </row>
    <row r="4" spans="1:11">
      <c r="A4" s="384" t="s">
        <v>171</v>
      </c>
      <c r="B4" s="49">
        <f>IF(ISERROR('SEAP template'!B78+'SEAP template'!C78),0,'SEAP template'!B78+'SEAP template'!C78)</f>
        <v>2364.3331051364139</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0.20368323487619047</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1060.7142857142858</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360.01100000000002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360.01100000000002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0.20368323487619047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73.328205071012206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10648.108</v>
      </c>
      <c r="C5" s="17">
        <f>IF(ISERROR('Eigen informatie GS &amp; warmtenet'!B57),0,'Eigen informatie GS &amp; warmtenet'!B57)</f>
        <v>0</v>
      </c>
      <c r="D5" s="30">
        <f>(SUM(HH_hh_gas_kWh,HH_rest_gas_kWh)/1000)*0.902</f>
        <v>26818.156724610166</v>
      </c>
      <c r="E5" s="17">
        <f>B46*B57</f>
        <v>765.58517851071633</v>
      </c>
      <c r="F5" s="17">
        <f>B51*B62</f>
        <v>9346.879715292449</v>
      </c>
      <c r="G5" s="18"/>
      <c r="H5" s="17"/>
      <c r="I5" s="17"/>
      <c r="J5" s="17">
        <f>B50*B61+C50*C61</f>
        <v>925.08208468612031</v>
      </c>
      <c r="K5" s="17"/>
      <c r="L5" s="17"/>
      <c r="M5" s="17"/>
      <c r="N5" s="17">
        <f>B48*B59+C48*C59</f>
        <v>4781.9035647753626</v>
      </c>
      <c r="O5" s="17">
        <f>B69*B70*B71</f>
        <v>81.293333333333337</v>
      </c>
      <c r="P5" s="17">
        <f>B77*B78*B79/1000-B77*B78*B79/1000/B80</f>
        <v>171.6</v>
      </c>
    </row>
    <row r="6" spans="1:16">
      <c r="A6" s="16" t="s">
        <v>631</v>
      </c>
      <c r="B6" s="789">
        <f>kWh_PV_kleiner_dan_10kW</f>
        <v>1228.2162063198368</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11876.324206319838</v>
      </c>
      <c r="C8" s="21">
        <f>C5</f>
        <v>0</v>
      </c>
      <c r="D8" s="21">
        <f>D5</f>
        <v>26818.156724610166</v>
      </c>
      <c r="E8" s="21">
        <f>E5</f>
        <v>765.58517851071633</v>
      </c>
      <c r="F8" s="21">
        <f>F5</f>
        <v>9346.879715292449</v>
      </c>
      <c r="G8" s="21"/>
      <c r="H8" s="21"/>
      <c r="I8" s="21"/>
      <c r="J8" s="21">
        <f>J5</f>
        <v>925.08208468612031</v>
      </c>
      <c r="K8" s="21"/>
      <c r="L8" s="21">
        <f>L5</f>
        <v>0</v>
      </c>
      <c r="M8" s="21">
        <f>M5</f>
        <v>0</v>
      </c>
      <c r="N8" s="21">
        <f>N5</f>
        <v>4781.9035647753626</v>
      </c>
      <c r="O8" s="21">
        <f>O5</f>
        <v>81.293333333333337</v>
      </c>
      <c r="P8" s="21">
        <f>P5</f>
        <v>171.6</v>
      </c>
    </row>
    <row r="9" spans="1:16">
      <c r="B9" s="19"/>
      <c r="C9" s="19"/>
      <c r="D9" s="258"/>
      <c r="E9" s="19"/>
      <c r="F9" s="19"/>
      <c r="G9" s="19"/>
      <c r="H9" s="19"/>
      <c r="I9" s="19"/>
      <c r="J9" s="19"/>
      <c r="K9" s="19"/>
      <c r="L9" s="19"/>
      <c r="M9" s="19"/>
      <c r="N9" s="19"/>
      <c r="O9" s="19"/>
      <c r="P9" s="19"/>
    </row>
    <row r="10" spans="1:16">
      <c r="A10" s="24" t="s">
        <v>214</v>
      </c>
      <c r="B10" s="25">
        <f ca="1">'EF ele_warmte'!B12</f>
        <v>0.20368323487619047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2419.0081327816297</v>
      </c>
      <c r="C12" s="23">
        <f ca="1">C10*C8</f>
        <v>0</v>
      </c>
      <c r="D12" s="23">
        <f>D8*D10</f>
        <v>5417.2676583712537</v>
      </c>
      <c r="E12" s="23">
        <f>E10*E8</f>
        <v>173.78783552193261</v>
      </c>
      <c r="F12" s="23">
        <f>F10*F8</f>
        <v>2495.6168839830839</v>
      </c>
      <c r="G12" s="23"/>
      <c r="H12" s="23"/>
      <c r="I12" s="23"/>
      <c r="J12" s="23">
        <f>J10*J8</f>
        <v>327.4790579788866</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1048</v>
      </c>
      <c r="C18" s="166" t="s">
        <v>111</v>
      </c>
      <c r="D18" s="228"/>
      <c r="E18" s="15"/>
    </row>
    <row r="19" spans="1:7">
      <c r="A19" s="171" t="s">
        <v>72</v>
      </c>
      <c r="B19" s="37">
        <f>aantalw2001_ander</f>
        <v>1</v>
      </c>
      <c r="C19" s="166" t="s">
        <v>111</v>
      </c>
      <c r="D19" s="229"/>
      <c r="E19" s="15"/>
    </row>
    <row r="20" spans="1:7">
      <c r="A20" s="171" t="s">
        <v>73</v>
      </c>
      <c r="B20" s="37">
        <f>aantalw2001_propaan</f>
        <v>17</v>
      </c>
      <c r="C20" s="167">
        <f>IF(ISERROR(B20/SUM($B$20,$B$21,$B$22)*100),0,B20/SUM($B$20,$B$21,$B$22)*100)</f>
        <v>10.365853658536585</v>
      </c>
      <c r="D20" s="229"/>
      <c r="E20" s="15"/>
    </row>
    <row r="21" spans="1:7">
      <c r="A21" s="171" t="s">
        <v>74</v>
      </c>
      <c r="B21" s="37">
        <f>aantalw2001_elektriciteit</f>
        <v>119</v>
      </c>
      <c r="C21" s="167">
        <f>IF(ISERROR(B21/SUM($B$20,$B$21,$B$22)*100),0,B21/SUM($B$20,$B$21,$B$22)*100)</f>
        <v>72.560975609756099</v>
      </c>
      <c r="D21" s="229"/>
      <c r="E21" s="15"/>
    </row>
    <row r="22" spans="1:7">
      <c r="A22" s="171" t="s">
        <v>75</v>
      </c>
      <c r="B22" s="37">
        <f>aantalw2001_hout</f>
        <v>28</v>
      </c>
      <c r="C22" s="167">
        <f>IF(ISERROR(B22/SUM($B$20,$B$21,$B$22)*100),0,B22/SUM($B$20,$B$21,$B$22)*100)</f>
        <v>17.073170731707318</v>
      </c>
      <c r="D22" s="229"/>
      <c r="E22" s="15"/>
    </row>
    <row r="23" spans="1:7">
      <c r="A23" s="171" t="s">
        <v>76</v>
      </c>
      <c r="B23" s="37">
        <f>aantalw2001_niet_gespec</f>
        <v>31</v>
      </c>
      <c r="C23" s="166" t="s">
        <v>111</v>
      </c>
      <c r="D23" s="228"/>
      <c r="E23" s="15"/>
    </row>
    <row r="24" spans="1:7">
      <c r="A24" s="171" t="s">
        <v>77</v>
      </c>
      <c r="B24" s="37">
        <f>aantalw2001_steenkool</f>
        <v>100</v>
      </c>
      <c r="C24" s="166" t="s">
        <v>111</v>
      </c>
      <c r="D24" s="229"/>
      <c r="E24" s="15"/>
    </row>
    <row r="25" spans="1:7">
      <c r="A25" s="171" t="s">
        <v>78</v>
      </c>
      <c r="B25" s="37">
        <f>aantalw2001_stookolie</f>
        <v>1043</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2695</v>
      </c>
      <c r="C28" s="36"/>
      <c r="D28" s="228"/>
    </row>
    <row r="29" spans="1:7" s="15" customFormat="1">
      <c r="A29" s="230" t="s">
        <v>741</v>
      </c>
      <c r="B29" s="37">
        <f>SUM(HH_hh_gas_aantal,HH_rest_gas_aantal)</f>
        <v>1785</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1785</v>
      </c>
      <c r="C32" s="167">
        <f>IF(ISERROR(B32/SUM($B$32,$B$34,$B$35,$B$36,$B$38,$B$39)*100),0,B32/SUM($B$32,$B$34,$B$35,$B$36,$B$38,$B$39)*100)</f>
        <v>66.455696202531641</v>
      </c>
      <c r="D32" s="233"/>
      <c r="G32" s="15"/>
    </row>
    <row r="33" spans="1:7">
      <c r="A33" s="171" t="s">
        <v>72</v>
      </c>
      <c r="B33" s="34" t="s">
        <v>111</v>
      </c>
      <c r="C33" s="167"/>
      <c r="D33" s="233"/>
      <c r="G33" s="15"/>
    </row>
    <row r="34" spans="1:7">
      <c r="A34" s="171" t="s">
        <v>73</v>
      </c>
      <c r="B34" s="33">
        <f>IF((($B$28-$B$32-$B$39-$B$77-$B$38)*C20/100)&lt;0,0,($B$28-$B$32-$B$39-$B$77-$B$38)*C20/100)</f>
        <v>51.310975609756099</v>
      </c>
      <c r="C34" s="167">
        <f>IF(ISERROR(B34/SUM($B$32,$B$34,$B$35,$B$36,$B$38,$B$39)*100),0,B34/SUM($B$32,$B$34,$B$35,$B$36,$B$38,$B$39)*100)</f>
        <v>1.9103118246372337</v>
      </c>
      <c r="D34" s="233"/>
      <c r="G34" s="15"/>
    </row>
    <row r="35" spans="1:7">
      <c r="A35" s="171" t="s">
        <v>74</v>
      </c>
      <c r="B35" s="33">
        <f>IF((($B$28-$B$32-$B$39-$B$77-$B$38)*C21/100)&lt;0,0,($B$28-$B$32-$B$39-$B$77-$B$38)*C21/100)</f>
        <v>359.17682926829269</v>
      </c>
      <c r="C35" s="167">
        <f>IF(ISERROR(B35/SUM($B$32,$B$34,$B$35,$B$36,$B$38,$B$39)*100),0,B35/SUM($B$32,$B$34,$B$35,$B$36,$B$38,$B$39)*100)</f>
        <v>13.372182772460636</v>
      </c>
      <c r="D35" s="233"/>
      <c r="G35" s="15"/>
    </row>
    <row r="36" spans="1:7">
      <c r="A36" s="171" t="s">
        <v>75</v>
      </c>
      <c r="B36" s="33">
        <f>IF((($B$28-$B$32-$B$39-$B$77-$B$38)*C22/100)&lt;0,0,($B$28-$B$32-$B$39-$B$77-$B$38)*C22/100)</f>
        <v>84.512195121951223</v>
      </c>
      <c r="C36" s="167">
        <f>IF(ISERROR(B36/SUM($B$32,$B$34,$B$35,$B$36,$B$38,$B$39)*100),0,B36/SUM($B$32,$B$34,$B$35,$B$36,$B$38,$B$39)*100)</f>
        <v>3.1463959464613263</v>
      </c>
      <c r="D36" s="233"/>
      <c r="G36" s="15"/>
    </row>
    <row r="37" spans="1:7">
      <c r="A37" s="171" t="s">
        <v>76</v>
      </c>
      <c r="B37" s="34" t="s">
        <v>111</v>
      </c>
      <c r="C37" s="167"/>
      <c r="D37" s="173"/>
      <c r="G37" s="15"/>
    </row>
    <row r="38" spans="1:7">
      <c r="A38" s="171" t="s">
        <v>77</v>
      </c>
      <c r="B38" s="33">
        <f>IF((B24-(B29-B18)*0.1)&lt;0,0,B24-(B29-B18)*0.1)</f>
        <v>26.299999999999997</v>
      </c>
      <c r="C38" s="167">
        <f>IF(ISERROR(B38/SUM($B$32,$B$34,$B$35,$B$36,$B$38,$B$39)*100),0,B38/SUM($B$32,$B$34,$B$35,$B$36,$B$38,$B$39)*100)</f>
        <v>0.97915115413253906</v>
      </c>
      <c r="D38" s="234"/>
      <c r="G38" s="15"/>
    </row>
    <row r="39" spans="1:7">
      <c r="A39" s="171" t="s">
        <v>78</v>
      </c>
      <c r="B39" s="33">
        <f>IF((B25-(B29-B18))&lt;0,0,B25-(B29-B18)*0.9)</f>
        <v>379.69999999999993</v>
      </c>
      <c r="C39" s="167">
        <f>IF(ISERROR(B39/SUM($B$32,$B$34,$B$35,$B$36,$B$38,$B$39)*100),0,B39/SUM($B$32,$B$34,$B$35,$B$36,$B$38,$B$39)*100)</f>
        <v>14.136262099776618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1785</v>
      </c>
      <c r="C44" s="34" t="s">
        <v>111</v>
      </c>
      <c r="D44" s="174"/>
    </row>
    <row r="45" spans="1:7">
      <c r="A45" s="171" t="s">
        <v>72</v>
      </c>
      <c r="B45" s="33" t="str">
        <f t="shared" si="0"/>
        <v>-</v>
      </c>
      <c r="C45" s="34" t="s">
        <v>111</v>
      </c>
      <c r="D45" s="174"/>
    </row>
    <row r="46" spans="1:7">
      <c r="A46" s="171" t="s">
        <v>73</v>
      </c>
      <c r="B46" s="33">
        <f t="shared" si="0"/>
        <v>51.310975609756099</v>
      </c>
      <c r="C46" s="34" t="s">
        <v>111</v>
      </c>
      <c r="D46" s="174"/>
    </row>
    <row r="47" spans="1:7">
      <c r="A47" s="171" t="s">
        <v>74</v>
      </c>
      <c r="B47" s="33">
        <f t="shared" si="0"/>
        <v>359.17682926829269</v>
      </c>
      <c r="C47" s="34" t="s">
        <v>111</v>
      </c>
      <c r="D47" s="174"/>
    </row>
    <row r="48" spans="1:7">
      <c r="A48" s="171" t="s">
        <v>75</v>
      </c>
      <c r="B48" s="33">
        <f t="shared" si="0"/>
        <v>84.512195121951223</v>
      </c>
      <c r="C48" s="33">
        <f>B48*10</f>
        <v>845.1219512195122</v>
      </c>
      <c r="D48" s="234"/>
    </row>
    <row r="49" spans="1:6">
      <c r="A49" s="171" t="s">
        <v>76</v>
      </c>
      <c r="B49" s="33" t="str">
        <f t="shared" si="0"/>
        <v>-</v>
      </c>
      <c r="C49" s="34" t="s">
        <v>111</v>
      </c>
      <c r="D49" s="234"/>
    </row>
    <row r="50" spans="1:6">
      <c r="A50" s="171" t="s">
        <v>77</v>
      </c>
      <c r="B50" s="33">
        <f t="shared" si="0"/>
        <v>26.299999999999997</v>
      </c>
      <c r="C50" s="33">
        <f>B50*2</f>
        <v>52.599999999999994</v>
      </c>
      <c r="D50" s="234"/>
    </row>
    <row r="51" spans="1:6">
      <c r="A51" s="171" t="s">
        <v>78</v>
      </c>
      <c r="B51" s="33">
        <f t="shared" si="0"/>
        <v>379.69999999999993</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52</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9</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3886.5705849999999</v>
      </c>
      <c r="C5" s="17">
        <f>IF(ISERROR('Eigen informatie GS &amp; warmtenet'!B58),0,'Eigen informatie GS &amp; warmtenet'!B58)</f>
        <v>0</v>
      </c>
      <c r="D5" s="30">
        <f>SUM(D6:D12)</f>
        <v>6197.3367647542</v>
      </c>
      <c r="E5" s="17">
        <f>SUM(E6:E12)</f>
        <v>47.472888729690624</v>
      </c>
      <c r="F5" s="17">
        <f>SUM(F6:F12)</f>
        <v>571.42455375048462</v>
      </c>
      <c r="G5" s="18"/>
      <c r="H5" s="17"/>
      <c r="I5" s="17"/>
      <c r="J5" s="17">
        <f>SUM(J6:J12)</f>
        <v>0</v>
      </c>
      <c r="K5" s="17"/>
      <c r="L5" s="17"/>
      <c r="M5" s="17"/>
      <c r="N5" s="17">
        <f>SUM(N6:N12)</f>
        <v>206.14958126831186</v>
      </c>
      <c r="O5" s="17">
        <f>B38*B39*B40</f>
        <v>0</v>
      </c>
      <c r="P5" s="17">
        <f>B46*B47*B48/1000-B46*B47*B48/1000/B49</f>
        <v>19.066666666666666</v>
      </c>
      <c r="R5" s="32"/>
    </row>
    <row r="6" spans="1:18">
      <c r="A6" s="32" t="s">
        <v>54</v>
      </c>
      <c r="B6" s="37">
        <f>B26</f>
        <v>844.21069999999997</v>
      </c>
      <c r="C6" s="33"/>
      <c r="D6" s="37">
        <f>IF(ISERROR(TER_kantoor_gas_kWh/1000),0,TER_kantoor_gas_kWh/1000)*0.902</f>
        <v>2543.935211194449</v>
      </c>
      <c r="E6" s="33">
        <f>$C$26*'E Balans VL '!I12/100/3.6*1000000</f>
        <v>2.4458022611725845</v>
      </c>
      <c r="F6" s="33">
        <f>$C$26*('E Balans VL '!L12+'E Balans VL '!N12)/100/3.6*1000000</f>
        <v>95.546051836223597</v>
      </c>
      <c r="G6" s="34"/>
      <c r="H6" s="33"/>
      <c r="I6" s="33"/>
      <c r="J6" s="33">
        <f>$C$26*('E Balans VL '!D12+'E Balans VL '!E12)/100/3.6*1000000</f>
        <v>0</v>
      </c>
      <c r="K6" s="33"/>
      <c r="L6" s="33"/>
      <c r="M6" s="33"/>
      <c r="N6" s="33">
        <f>$C$26*'E Balans VL '!Y12/100/3.6*1000000</f>
        <v>8.4499270647828197</v>
      </c>
      <c r="O6" s="33"/>
      <c r="P6" s="33"/>
      <c r="R6" s="32"/>
    </row>
    <row r="7" spans="1:18">
      <c r="A7" s="32" t="s">
        <v>53</v>
      </c>
      <c r="B7" s="37">
        <f t="shared" ref="B7:B12" si="0">B27</f>
        <v>508.62709999999998</v>
      </c>
      <c r="C7" s="33"/>
      <c r="D7" s="37">
        <f>IF(ISERROR(TER_horeca_gas_kWh/1000),0,TER_horeca_gas_kWh/1000)*0.902</f>
        <v>786.85884418270405</v>
      </c>
      <c r="E7" s="33">
        <f>$C$27*'E Balans VL '!I9/100/3.6*1000000</f>
        <v>21.350744581968513</v>
      </c>
      <c r="F7" s="33">
        <f>$C$27*('E Balans VL '!L9+'E Balans VL '!N9)/100/3.6*1000000</f>
        <v>109.28896281604955</v>
      </c>
      <c r="G7" s="34"/>
      <c r="H7" s="33"/>
      <c r="I7" s="33"/>
      <c r="J7" s="33">
        <f>$C$27*('E Balans VL '!D9+'E Balans VL '!E9)/100/3.6*1000000</f>
        <v>0</v>
      </c>
      <c r="K7" s="33"/>
      <c r="L7" s="33"/>
      <c r="M7" s="33"/>
      <c r="N7" s="33">
        <f>$C$27*'E Balans VL '!Y9/100/3.6*1000000</f>
        <v>0.13106875556464523</v>
      </c>
      <c r="O7" s="33"/>
      <c r="P7" s="33"/>
      <c r="R7" s="32"/>
    </row>
    <row r="8" spans="1:18">
      <c r="A8" s="6" t="s">
        <v>52</v>
      </c>
      <c r="B8" s="37">
        <f t="shared" si="0"/>
        <v>825.37709999999993</v>
      </c>
      <c r="C8" s="33"/>
      <c r="D8" s="37">
        <f>IF(ISERROR(TER_handel_gas_kWh/1000),0,TER_handel_gas_kWh/1000)*0.902</f>
        <v>830.81890076997479</v>
      </c>
      <c r="E8" s="33">
        <f>$C$28*'E Balans VL '!I13/100/3.6*1000000</f>
        <v>8.8652369958329178</v>
      </c>
      <c r="F8" s="33">
        <f>$C$28*('E Balans VL '!L13+'E Balans VL '!N13)/100/3.6*1000000</f>
        <v>106.85188141858501</v>
      </c>
      <c r="G8" s="34"/>
      <c r="H8" s="33"/>
      <c r="I8" s="33"/>
      <c r="J8" s="33">
        <f>$C$28*('E Balans VL '!D13+'E Balans VL '!E13)/100/3.6*1000000</f>
        <v>0</v>
      </c>
      <c r="K8" s="33"/>
      <c r="L8" s="33"/>
      <c r="M8" s="33"/>
      <c r="N8" s="33">
        <f>$C$28*'E Balans VL '!Y13/100/3.6*1000000</f>
        <v>6.695504102749176</v>
      </c>
      <c r="O8" s="33"/>
      <c r="P8" s="33"/>
      <c r="R8" s="32"/>
    </row>
    <row r="9" spans="1:18">
      <c r="A9" s="32" t="s">
        <v>51</v>
      </c>
      <c r="B9" s="37">
        <f t="shared" si="0"/>
        <v>5.0790449999999998</v>
      </c>
      <c r="C9" s="33"/>
      <c r="D9" s="37">
        <f>IF(ISERROR(TER_gezond_gas_kWh/1000),0,TER_gezond_gas_kWh/1000)*0.902</f>
        <v>0</v>
      </c>
      <c r="E9" s="33">
        <f>$C$29*'E Balans VL '!I10/100/3.6*1000000</f>
        <v>4.0432483238297219E-3</v>
      </c>
      <c r="F9" s="33">
        <f>$C$29*('E Balans VL '!L10+'E Balans VL '!N10)/100/3.6*1000000</f>
        <v>0.61743131856131073</v>
      </c>
      <c r="G9" s="34"/>
      <c r="H9" s="33"/>
      <c r="I9" s="33"/>
      <c r="J9" s="33">
        <f>$C$29*('E Balans VL '!D10+'E Balans VL '!E10)/100/3.6*1000000</f>
        <v>0</v>
      </c>
      <c r="K9" s="33"/>
      <c r="L9" s="33"/>
      <c r="M9" s="33"/>
      <c r="N9" s="33">
        <f>$C$29*'E Balans VL '!Y10/100/3.6*1000000</f>
        <v>4.1027179905438457E-2</v>
      </c>
      <c r="O9" s="33"/>
      <c r="P9" s="33"/>
      <c r="R9" s="32"/>
    </row>
    <row r="10" spans="1:18">
      <c r="A10" s="32" t="s">
        <v>50</v>
      </c>
      <c r="B10" s="37">
        <f t="shared" si="0"/>
        <v>76.275999999999996</v>
      </c>
      <c r="C10" s="33"/>
      <c r="D10" s="37">
        <f>IF(ISERROR(TER_ander_gas_kWh/1000),0,TER_ander_gas_kWh/1000)*0.902</f>
        <v>343.14819589241461</v>
      </c>
      <c r="E10" s="33">
        <f>$C$30*'E Balans VL '!I14/100/3.6*1000000</f>
        <v>0.26140185902739538</v>
      </c>
      <c r="F10" s="33">
        <f>$C$30*('E Balans VL '!L14+'E Balans VL '!N14)/100/3.6*1000000</f>
        <v>17.036958908469259</v>
      </c>
      <c r="G10" s="34"/>
      <c r="H10" s="33"/>
      <c r="I10" s="33"/>
      <c r="J10" s="33">
        <f>$C$30*('E Balans VL '!D14+'E Balans VL '!E14)/100/3.6*1000000</f>
        <v>0</v>
      </c>
      <c r="K10" s="33"/>
      <c r="L10" s="33"/>
      <c r="M10" s="33"/>
      <c r="N10" s="33">
        <f>$C$30*'E Balans VL '!Y14/100/3.6*1000000</f>
        <v>53.729231087642887</v>
      </c>
      <c r="O10" s="33"/>
      <c r="P10" s="33"/>
      <c r="R10" s="32"/>
    </row>
    <row r="11" spans="1:18">
      <c r="A11" s="32" t="s">
        <v>55</v>
      </c>
      <c r="B11" s="37">
        <f t="shared" si="0"/>
        <v>19.676639999999999</v>
      </c>
      <c r="C11" s="33"/>
      <c r="D11" s="37">
        <f>IF(ISERROR(TER_onderwijs_gas_kWh/1000),0,TER_onderwijs_gas_kWh/1000)*0.902</f>
        <v>0</v>
      </c>
      <c r="E11" s="33">
        <f>$C$31*'E Balans VL '!I11/100/3.6*1000000</f>
        <v>1.3601855239180385E-2</v>
      </c>
      <c r="F11" s="33">
        <f>$C$31*('E Balans VL '!L11+'E Balans VL '!N11)/100/3.6*1000000</f>
        <v>5.150772784389793</v>
      </c>
      <c r="G11" s="34"/>
      <c r="H11" s="33"/>
      <c r="I11" s="33"/>
      <c r="J11" s="33">
        <f>$C$31*('E Balans VL '!D11+'E Balans VL '!E11)/100/3.6*1000000</f>
        <v>0</v>
      </c>
      <c r="K11" s="33"/>
      <c r="L11" s="33"/>
      <c r="M11" s="33"/>
      <c r="N11" s="33">
        <f>$C$31*'E Balans VL '!Y11/100/3.6*1000000</f>
        <v>1.9586419194540825E-2</v>
      </c>
      <c r="O11" s="33"/>
      <c r="P11" s="33"/>
      <c r="R11" s="32"/>
    </row>
    <row r="12" spans="1:18">
      <c r="A12" s="32" t="s">
        <v>260</v>
      </c>
      <c r="B12" s="37">
        <f t="shared" si="0"/>
        <v>1607.3240000000001</v>
      </c>
      <c r="C12" s="33"/>
      <c r="D12" s="37">
        <f>IF(ISERROR(TER_rest_gas_kWh/1000),0,TER_rest_gas_kWh/1000)*0.902</f>
        <v>1692.5756127146581</v>
      </c>
      <c r="E12" s="33">
        <f>$C$32*'E Balans VL '!I8/100/3.6*1000000</f>
        <v>14.532057928126202</v>
      </c>
      <c r="F12" s="33">
        <f>$C$32*('E Balans VL '!L8+'E Balans VL '!N8)/100/3.6*1000000</f>
        <v>236.93249466820609</v>
      </c>
      <c r="G12" s="34"/>
      <c r="H12" s="33"/>
      <c r="I12" s="33"/>
      <c r="J12" s="33">
        <f>$C$32*('E Balans VL '!D8+'E Balans VL '!E8)/100/3.6*1000000</f>
        <v>0</v>
      </c>
      <c r="K12" s="33"/>
      <c r="L12" s="33"/>
      <c r="M12" s="33"/>
      <c r="N12" s="33">
        <f>$C$32*'E Balans VL '!Y8/100/3.6*1000000</f>
        <v>137.08323665847237</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3886.5705849999999</v>
      </c>
      <c r="C16" s="21">
        <f t="shared" ca="1" si="1"/>
        <v>0</v>
      </c>
      <c r="D16" s="21">
        <f t="shared" ca="1" si="1"/>
        <v>6197.3367647542</v>
      </c>
      <c r="E16" s="21">
        <f t="shared" si="1"/>
        <v>47.472888729690624</v>
      </c>
      <c r="F16" s="21">
        <f t="shared" ca="1" si="1"/>
        <v>571.42455375048462</v>
      </c>
      <c r="G16" s="21">
        <f t="shared" si="1"/>
        <v>0</v>
      </c>
      <c r="H16" s="21">
        <f t="shared" si="1"/>
        <v>0</v>
      </c>
      <c r="I16" s="21">
        <f t="shared" si="1"/>
        <v>0</v>
      </c>
      <c r="J16" s="21">
        <f t="shared" si="1"/>
        <v>0</v>
      </c>
      <c r="K16" s="21">
        <f t="shared" si="1"/>
        <v>0</v>
      </c>
      <c r="L16" s="21">
        <f t="shared" ca="1" si="1"/>
        <v>0</v>
      </c>
      <c r="M16" s="21">
        <f t="shared" si="1"/>
        <v>0</v>
      </c>
      <c r="N16" s="21">
        <f t="shared" ca="1" si="1"/>
        <v>206.14958126831186</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0.20368323487619047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791.62926932744801</v>
      </c>
      <c r="C20" s="23">
        <f t="shared" ref="C20:P20" ca="1" si="2">C16*C18</f>
        <v>0</v>
      </c>
      <c r="D20" s="23">
        <f t="shared" ca="1" si="2"/>
        <v>1251.8620264803485</v>
      </c>
      <c r="E20" s="23">
        <f t="shared" si="2"/>
        <v>10.776345741639773</v>
      </c>
      <c r="F20" s="23">
        <f t="shared" ca="1" si="2"/>
        <v>152.57035585137939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844.21069999999997</v>
      </c>
      <c r="C26" s="39">
        <f>IF(ISERROR(B26*3.6/1000000/'E Balans VL '!Z12*100),0,B26*3.6/1000000/'E Balans VL '!Z12*100)</f>
        <v>1.8544064030803678E-2</v>
      </c>
      <c r="D26" s="237" t="s">
        <v>692</v>
      </c>
      <c r="F26" s="6"/>
    </row>
    <row r="27" spans="1:18">
      <c r="A27" s="231" t="s">
        <v>53</v>
      </c>
      <c r="B27" s="33">
        <f>IF(ISERROR(TER_horeca_ele_kWh/1000),0,TER_horeca_ele_kWh/1000)</f>
        <v>508.62709999999998</v>
      </c>
      <c r="C27" s="39">
        <f>IF(ISERROR(B27*3.6/1000000/'E Balans VL '!Z9*100),0,B27*3.6/1000000/'E Balans VL '!Z9*100)</f>
        <v>4.0873257539815626E-2</v>
      </c>
      <c r="D27" s="237" t="s">
        <v>692</v>
      </c>
      <c r="F27" s="6"/>
    </row>
    <row r="28" spans="1:18">
      <c r="A28" s="171" t="s">
        <v>52</v>
      </c>
      <c r="B28" s="33">
        <f>IF(ISERROR(TER_handel_ele_kWh/1000),0,TER_handel_ele_kWh/1000)</f>
        <v>825.37709999999993</v>
      </c>
      <c r="C28" s="39">
        <f>IF(ISERROR(B28*3.6/1000000/'E Balans VL '!Z13*100),0,B28*3.6/1000000/'E Balans VL '!Z13*100)</f>
        <v>2.4405824226450885E-2</v>
      </c>
      <c r="D28" s="237" t="s">
        <v>692</v>
      </c>
      <c r="F28" s="6"/>
    </row>
    <row r="29" spans="1:18">
      <c r="A29" s="231" t="s">
        <v>51</v>
      </c>
      <c r="B29" s="33">
        <f>IF(ISERROR(TER_gezond_ele_kWh/1000),0,TER_gezond_ele_kWh/1000)</f>
        <v>5.0790449999999998</v>
      </c>
      <c r="C29" s="39">
        <f>IF(ISERROR(B29*3.6/1000000/'E Balans VL '!Z10*100),0,B29*3.6/1000000/'E Balans VL '!Z10*100)</f>
        <v>5.7227724211718432E-4</v>
      </c>
      <c r="D29" s="237" t="s">
        <v>692</v>
      </c>
      <c r="F29" s="6"/>
    </row>
    <row r="30" spans="1:18">
      <c r="A30" s="231" t="s">
        <v>50</v>
      </c>
      <c r="B30" s="33">
        <f>IF(ISERROR(TER_ander_ele_kWh/1000),0,TER_ander_ele_kWh/1000)</f>
        <v>76.275999999999996</v>
      </c>
      <c r="C30" s="39">
        <f>IF(ISERROR(B30*3.6/1000000/'E Balans VL '!Z14*100),0,B30*3.6/1000000/'E Balans VL '!Z14*100)</f>
        <v>5.7686234920676311E-3</v>
      </c>
      <c r="D30" s="237" t="s">
        <v>692</v>
      </c>
      <c r="F30" s="6"/>
    </row>
    <row r="31" spans="1:18">
      <c r="A31" s="231" t="s">
        <v>55</v>
      </c>
      <c r="B31" s="33">
        <f>IF(ISERROR(TER_onderwijs_ele_kWh/1000),0,TER_onderwijs_ele_kWh/1000)</f>
        <v>19.676639999999999</v>
      </c>
      <c r="C31" s="39">
        <f>IF(ISERROR(B31*3.6/1000000/'E Balans VL '!Z11*100),0,B31*3.6/1000000/'E Balans VL '!Z11*100)</f>
        <v>4.0844136904118833E-3</v>
      </c>
      <c r="D31" s="237" t="s">
        <v>692</v>
      </c>
    </row>
    <row r="32" spans="1:18">
      <c r="A32" s="231" t="s">
        <v>260</v>
      </c>
      <c r="B32" s="33">
        <f>IF(ISERROR(TER_rest_ele_kWh/1000),0,TER_rest_ele_kWh/1000)</f>
        <v>1607.3240000000001</v>
      </c>
      <c r="C32" s="39">
        <f>IF(ISERROR(B32*3.6/1000000/'E Balans VL '!Z8*100),0,B32*3.6/1000000/'E Balans VL '!Z8*100)</f>
        <v>1.3540759143311742E-2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1</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11628.03422</v>
      </c>
      <c r="C5" s="17">
        <f>IF(ISERROR('Eigen informatie GS &amp; warmtenet'!B59),0,'Eigen informatie GS &amp; warmtenet'!B59)</f>
        <v>0</v>
      </c>
      <c r="D5" s="30">
        <f>SUM(D6:D15)</f>
        <v>20832.166393789714</v>
      </c>
      <c r="E5" s="17">
        <f>SUM(E6:E15)</f>
        <v>262.16160013933825</v>
      </c>
      <c r="F5" s="17">
        <f>SUM(F6:F15)</f>
        <v>17385.044054695045</v>
      </c>
      <c r="G5" s="18"/>
      <c r="H5" s="17"/>
      <c r="I5" s="17"/>
      <c r="J5" s="17">
        <f>SUM(J6:J15)</f>
        <v>222.14064422625955</v>
      </c>
      <c r="K5" s="17"/>
      <c r="L5" s="17"/>
      <c r="M5" s="17"/>
      <c r="N5" s="17">
        <f>SUM(N6:N15)</f>
        <v>5188.3965736532446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46.864820000000002</v>
      </c>
      <c r="C8" s="33"/>
      <c r="D8" s="37">
        <f>IF( ISERROR(IND_metaal_Gas_kWH/1000),0,IND_metaal_Gas_kWH/1000)*0.902</f>
        <v>0</v>
      </c>
      <c r="E8" s="33">
        <f>C30*'E Balans VL '!I18/100/3.6*1000000</f>
        <v>1.1728624212439716</v>
      </c>
      <c r="F8" s="33">
        <f>C30*'E Balans VL '!L18/100/3.6*1000000+C30*'E Balans VL '!N18/100/3.6*1000000</f>
        <v>14.687667705603447</v>
      </c>
      <c r="G8" s="34"/>
      <c r="H8" s="33"/>
      <c r="I8" s="33"/>
      <c r="J8" s="40">
        <f>C30*'E Balans VL '!D18/100/3.6*1000000+C30*'E Balans VL '!E18/100/3.6*1000000</f>
        <v>0</v>
      </c>
      <c r="K8" s="33"/>
      <c r="L8" s="33"/>
      <c r="M8" s="33"/>
      <c r="N8" s="33">
        <f>C30*'E Balans VL '!Y18/100/3.6*1000000</f>
        <v>1.1773659032136659</v>
      </c>
      <c r="O8" s="33"/>
      <c r="P8" s="33"/>
      <c r="R8" s="32"/>
    </row>
    <row r="9" spans="1:18">
      <c r="A9" s="6" t="s">
        <v>33</v>
      </c>
      <c r="B9" s="37">
        <f t="shared" si="0"/>
        <v>136.93940000000001</v>
      </c>
      <c r="C9" s="33"/>
      <c r="D9" s="37">
        <f>IF( ISERROR(IND_andere_gas_kWh/1000),0,IND_andere_gas_kWh/1000)*0.902</f>
        <v>165.17302388752091</v>
      </c>
      <c r="E9" s="33">
        <f>C31*'E Balans VL '!I19/100/3.6*1000000</f>
        <v>37.652718422895965</v>
      </c>
      <c r="F9" s="33">
        <f>C31*'E Balans VL '!L19/100/3.6*1000000+C31*'E Balans VL '!N19/100/3.6*1000000</f>
        <v>107.93207636648556</v>
      </c>
      <c r="G9" s="34"/>
      <c r="H9" s="33"/>
      <c r="I9" s="33"/>
      <c r="J9" s="40">
        <f>C31*'E Balans VL '!D19/100/3.6*1000000+C31*'E Balans VL '!E19/100/3.6*1000000</f>
        <v>0</v>
      </c>
      <c r="K9" s="33"/>
      <c r="L9" s="33"/>
      <c r="M9" s="33"/>
      <c r="N9" s="33">
        <f>C31*'E Balans VL '!Y19/100/3.6*1000000</f>
        <v>44.330898375296719</v>
      </c>
      <c r="O9" s="33"/>
      <c r="P9" s="33"/>
      <c r="R9" s="32"/>
    </row>
    <row r="10" spans="1:18">
      <c r="A10" s="6" t="s">
        <v>41</v>
      </c>
      <c r="B10" s="37">
        <f t="shared" si="0"/>
        <v>8822.01</v>
      </c>
      <c r="C10" s="33"/>
      <c r="D10" s="37">
        <f>IF( ISERROR(IND_voed_gas_kWh/1000),0,IND_voed_gas_kWh/1000)*0.902</f>
        <v>20100.015925058698</v>
      </c>
      <c r="E10" s="33">
        <f>C32*'E Balans VL '!I20/100/3.6*1000000</f>
        <v>89.935531876959303</v>
      </c>
      <c r="F10" s="33">
        <f>C32*'E Balans VL '!L20/100/3.6*1000000+C32*'E Balans VL '!N20/100/3.6*1000000</f>
        <v>16664.721713653678</v>
      </c>
      <c r="G10" s="34"/>
      <c r="H10" s="33"/>
      <c r="I10" s="33"/>
      <c r="J10" s="40">
        <f>C32*'E Balans VL '!D20/100/3.6*1000000+C32*'E Balans VL '!E20/100/3.6*1000000</f>
        <v>211.13956504740673</v>
      </c>
      <c r="K10" s="33"/>
      <c r="L10" s="33"/>
      <c r="M10" s="33"/>
      <c r="N10" s="33">
        <f>C32*'E Balans VL '!Y20/100/3.6*1000000</f>
        <v>4650.2154409454952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2622.22</v>
      </c>
      <c r="C15" s="33"/>
      <c r="D15" s="37">
        <f>IF( ISERROR(IND_rest_gas_kWh/1000),0,IND_rest_gas_kWh/1000)*0.902</f>
        <v>566.97744484349391</v>
      </c>
      <c r="E15" s="33">
        <f>C37*'E Balans VL '!I15/100/3.6*1000000</f>
        <v>133.40048741823904</v>
      </c>
      <c r="F15" s="33">
        <f>C37*'E Balans VL '!L15/100/3.6*1000000+C37*'E Balans VL '!N15/100/3.6*1000000</f>
        <v>597.70259696927621</v>
      </c>
      <c r="G15" s="34"/>
      <c r="H15" s="33"/>
      <c r="I15" s="33"/>
      <c r="J15" s="40">
        <f>C37*'E Balans VL '!D15/100/3.6*1000000+C37*'E Balans VL '!E15/100/3.6*1000000</f>
        <v>11.001079178852819</v>
      </c>
      <c r="K15" s="33"/>
      <c r="L15" s="33"/>
      <c r="M15" s="33"/>
      <c r="N15" s="33">
        <f>C37*'E Balans VL '!Y15/100/3.6*1000000</f>
        <v>492.6728684292392</v>
      </c>
      <c r="O15" s="33"/>
      <c r="P15" s="33"/>
      <c r="R15" s="32"/>
    </row>
    <row r="16" spans="1:18">
      <c r="A16" s="16" t="s">
        <v>494</v>
      </c>
      <c r="B16" s="247">
        <f>'lokale energieproductie'!N90+'lokale energieproductie'!N59</f>
        <v>742.5</v>
      </c>
      <c r="C16" s="247">
        <f>'lokale energieproductie'!O90+'lokale energieproductie'!O59</f>
        <v>1060.7142857142858</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-2121.4285714285716</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12370.53422</v>
      </c>
      <c r="C18" s="21">
        <f>C5+C16</f>
        <v>1060.7142857142858</v>
      </c>
      <c r="D18" s="21">
        <f>MAX((D5+D16),0)</f>
        <v>20832.166393789714</v>
      </c>
      <c r="E18" s="21">
        <f>MAX((E5+E16),0)</f>
        <v>262.16160013933825</v>
      </c>
      <c r="F18" s="21">
        <f>MAX((F5+F16),0)</f>
        <v>17385.044054695045</v>
      </c>
      <c r="G18" s="21"/>
      <c r="H18" s="21"/>
      <c r="I18" s="21"/>
      <c r="J18" s="21">
        <f>MAX((J5+J16),0)</f>
        <v>222.14064422625955</v>
      </c>
      <c r="K18" s="21"/>
      <c r="L18" s="21">
        <f>MAX((L5+L16),0)</f>
        <v>0</v>
      </c>
      <c r="M18" s="21"/>
      <c r="N18" s="21">
        <f>MAX((N5+N16),0)</f>
        <v>3066.968002224673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0.20368323487619047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2519.6704270762116</v>
      </c>
      <c r="C22" s="23">
        <f ca="1">C18*C20</f>
        <v>0</v>
      </c>
      <c r="D22" s="23">
        <f>D18*D20</f>
        <v>4208.0976115455223</v>
      </c>
      <c r="E22" s="23">
        <f>E18*E20</f>
        <v>59.510683231629784</v>
      </c>
      <c r="F22" s="23">
        <f>F18*F20</f>
        <v>4641.8067626035772</v>
      </c>
      <c r="G22" s="23"/>
      <c r="H22" s="23"/>
      <c r="I22" s="23"/>
      <c r="J22" s="23">
        <f>J18*J20</f>
        <v>78.637788056095872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46.864820000000002</v>
      </c>
      <c r="C30" s="39">
        <f>IF(ISERROR(B30*3.6/1000000/'E Balans VL '!Z18*100),0,B30*3.6/1000000/'E Balans VL '!Z18*100)</f>
        <v>6.5595130126199592E-3</v>
      </c>
      <c r="D30" s="237" t="s">
        <v>692</v>
      </c>
    </row>
    <row r="31" spans="1:18">
      <c r="A31" s="6" t="s">
        <v>33</v>
      </c>
      <c r="B31" s="37">
        <f>IF( ISERROR(IND_ander_ele_kWh/1000),0,IND_ander_ele_kWh/1000)</f>
        <v>136.93940000000001</v>
      </c>
      <c r="C31" s="39">
        <f>IF(ISERROR(B31*3.6/1000000/'E Balans VL '!Z19*100),0,B31*3.6/1000000/'E Balans VL '!Z19*100)</f>
        <v>5.9938153232731786E-3</v>
      </c>
      <c r="D31" s="237" t="s">
        <v>692</v>
      </c>
    </row>
    <row r="32" spans="1:18">
      <c r="A32" s="171" t="s">
        <v>41</v>
      </c>
      <c r="B32" s="37">
        <f>IF( ISERROR(IND_voed_ele_kWh/1000),0,IND_voed_ele_kWh/1000)</f>
        <v>8822.01</v>
      </c>
      <c r="C32" s="39">
        <f>IF(ISERROR(B32*3.6/1000000/'E Balans VL '!Z20*100),0,B32*3.6/1000000/'E Balans VL '!Z20*100)</f>
        <v>2.1840367114985151</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2622.22</v>
      </c>
      <c r="C37" s="39">
        <f>IF(ISERROR(B37*3.6/1000000/'E Balans VL '!Z15*100),0,B37*3.6/1000000/'E Balans VL '!Z15*100)</f>
        <v>1.9443312356938327E-2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610.06669999999997</v>
      </c>
      <c r="C5" s="17">
        <f>'Eigen informatie GS &amp; warmtenet'!B60</f>
        <v>0</v>
      </c>
      <c r="D5" s="30">
        <f>IF(ISERROR(SUM(LB_lb_gas_kWh,LB_rest_gas_kWh)/1000),0,SUM(LB_lb_gas_kWh,LB_rest_gas_kWh)/1000)*0.902</f>
        <v>174.42305442598467</v>
      </c>
      <c r="E5" s="17">
        <f>B17*'E Balans VL '!I25/3.6*1000000/100</f>
        <v>5.6506932948217967</v>
      </c>
      <c r="F5" s="17">
        <f>B17*('E Balans VL '!L25/3.6*1000000+'E Balans VL '!N25/3.6*1000000)/100</f>
        <v>1547.8554354870853</v>
      </c>
      <c r="G5" s="18"/>
      <c r="H5" s="17"/>
      <c r="I5" s="17"/>
      <c r="J5" s="17">
        <f>('E Balans VL '!D25+'E Balans VL '!E25)/3.6*1000000*landbouw!B17/100</f>
        <v>93.53003347424287</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610.06669999999997</v>
      </c>
      <c r="C8" s="21">
        <f>C5+C6</f>
        <v>0</v>
      </c>
      <c r="D8" s="21">
        <f>MAX((D5+D6),0)</f>
        <v>174.42305442598467</v>
      </c>
      <c r="E8" s="21">
        <f>MAX((E5+E6),0)</f>
        <v>5.6506932948217967</v>
      </c>
      <c r="F8" s="21">
        <f>MAX((F5+F6),0)</f>
        <v>1547.8554354870853</v>
      </c>
      <c r="G8" s="21"/>
      <c r="H8" s="21"/>
      <c r="I8" s="21"/>
      <c r="J8" s="21">
        <f>MAX((J5+J6),0)</f>
        <v>93.53003347424287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0.20368323487619047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124.26035894624242</v>
      </c>
      <c r="C12" s="23">
        <f ca="1">C8*C10</f>
        <v>0</v>
      </c>
      <c r="D12" s="23">
        <f>D8*D10</f>
        <v>35.233456994048908</v>
      </c>
      <c r="E12" s="23">
        <f>E8*E10</f>
        <v>1.2827073779245479</v>
      </c>
      <c r="F12" s="23">
        <f>F8*F10</f>
        <v>413.27740127505177</v>
      </c>
      <c r="G12" s="23"/>
      <c r="H12" s="23"/>
      <c r="I12" s="23"/>
      <c r="J12" s="23">
        <f>J8*J10</f>
        <v>33.109631849881971</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8.6738549090044942E-2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82.413630303727061</v>
      </c>
      <c r="C26" s="247">
        <f>B26*'GWP N2O_CH4'!B5</f>
        <v>1730.6862363782682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39.222449525588878</v>
      </c>
      <c r="C27" s="247">
        <f>B27*'GWP N2O_CH4'!B5</f>
        <v>823.67144003736644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1.2546901292843338</v>
      </c>
      <c r="C28" s="247">
        <f>B28*'GWP N2O_CH4'!B4</f>
        <v>388.95394007814349</v>
      </c>
      <c r="D28" s="50"/>
    </row>
    <row r="29" spans="1:4">
      <c r="A29" s="41" t="s">
        <v>277</v>
      </c>
      <c r="B29" s="247">
        <f>B34*'ha_N2O bodem landbouw'!B4</f>
        <v>16.754681270548716</v>
      </c>
      <c r="C29" s="247">
        <f>B29*'GWP N2O_CH4'!B4</f>
        <v>5193.9511938701016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3.7577798365640439E-3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6.4150311813529668E-5</v>
      </c>
      <c r="C5" s="464" t="s">
        <v>211</v>
      </c>
      <c r="D5" s="449">
        <f>SUM(D6:D11)</f>
        <v>1.6340799810595139E-4</v>
      </c>
      <c r="E5" s="449">
        <f>SUM(E6:E11)</f>
        <v>1.2621343970706743E-3</v>
      </c>
      <c r="F5" s="462" t="s">
        <v>211</v>
      </c>
      <c r="G5" s="449">
        <f>SUM(G6:G11)</f>
        <v>0.36624880750886529</v>
      </c>
      <c r="H5" s="449">
        <f>SUM(H6:H11)</f>
        <v>6.4164689839334987E-2</v>
      </c>
      <c r="I5" s="464" t="s">
        <v>211</v>
      </c>
      <c r="J5" s="464" t="s">
        <v>211</v>
      </c>
      <c r="K5" s="464" t="s">
        <v>211</v>
      </c>
      <c r="L5" s="464" t="s">
        <v>211</v>
      </c>
      <c r="M5" s="449">
        <f>SUM(M6:M11)</f>
        <v>2.3161045627174939E-2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5.5619771512815852E-6</v>
      </c>
      <c r="C6" s="450"/>
      <c r="D6" s="893">
        <f>vkm_2011_GW_PW*SUMIFS(TableVerdeelsleutelVkm[CNG],TableVerdeelsleutelVkm[Voertuigtype],"Lichte voertuigen")*SUMIFS(TableECFTransport[EnergieConsumptieFactor (PJ per km)],TableECFTransport[Index],CONCATENATE($A6,"_CNG_CNG"))</f>
        <v>1.2865465499232322E-5</v>
      </c>
      <c r="E6" s="893">
        <f>vkm_2011_GW_PW*SUMIFS(TableVerdeelsleutelVkm[LPG],TableVerdeelsleutelVkm[Voertuigtype],"Lichte voertuigen")*SUMIFS(TableECFTransport[EnergieConsumptieFactor (PJ per km)],TableECFTransport[Index],CONCATENATE($A6,"_LPG_LPG"))</f>
        <v>8.3772142094007591E-5</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1.7403042751111784E-2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4.9055581069147479E-3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1.1577007382661002E-3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1.1191915360020011E-2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3.8274317984758389E-6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6.4751574223234924E-4</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5.0711052185195485E-6</v>
      </c>
      <c r="C8" s="450"/>
      <c r="D8" s="452">
        <f>vkm_2011_NGW_PW*SUMIFS(TableVerdeelsleutelVkm[CNG],TableVerdeelsleutelVkm[Voertuigtype],"Lichte voertuigen")*SUMIFS(TableECFTransport[EnergieConsumptieFactor (PJ per km)],TableECFTransport[Index],CONCATENATE($A8,"_CNG_CNG"))</f>
        <v>2.0746985623140149E-5</v>
      </c>
      <c r="E8" s="452">
        <f>vkm_2011_NGW_PW*SUMIFS(TableVerdeelsleutelVkm[LPG],TableVerdeelsleutelVkm[Voertuigtype],"Lichte voertuigen")*SUMIFS(TableECFTransport[EnergieConsumptieFactor (PJ per km)],TableECFTransport[Index],CONCATENATE($A8,"_LPG_LPG"))</f>
        <v>1.2467571514255838E-4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2.4211840724014718E-2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7.6491416378398555E-3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1.6360187724015437E-3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1.4024293713321796E-3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4.5380980810549812E-7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8.1137694336593327E-5</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5.3517229443728539E-5</v>
      </c>
      <c r="C10" s="450"/>
      <c r="D10" s="452">
        <f>vkm_2011_SW_PW*SUMIFS(TableVerdeelsleutelVkm[CNG],TableVerdeelsleutelVkm[Voertuigtype],"Lichte voertuigen")*SUMIFS(TableECFTransport[EnergieConsumptieFactor (PJ per km)],TableECFTransport[Index],CONCATENATE($A10,"_CNG_CNG"))</f>
        <v>1.2979554698357891E-4</v>
      </c>
      <c r="E10" s="452">
        <f>vkm_2011_SW_PW*SUMIFS(TableVerdeelsleutelVkm[LPG],TableVerdeelsleutelVkm[Voertuigtype],"Lichte voertuigen")*SUMIFS(TableECFTransport[EnergieConsumptieFactor (PJ per km)],TableECFTransport[Index],CONCATENATE($A10,"_LPG_LPG"))</f>
        <v>1.0536865398341083E-3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0.19706963690785129</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5.1563335270865672E-2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1.2986915754744727E-2</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0.11496994239453534</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4.2373582108125051E-5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6.651756925193624E-3</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17.819531059313796</v>
      </c>
      <c r="C14" s="21"/>
      <c r="D14" s="21">
        <f t="shared" ref="D14:M14" si="0">((D5)*10^9/3600)+D12</f>
        <v>45.391110584986492</v>
      </c>
      <c r="E14" s="21">
        <f t="shared" si="0"/>
        <v>350.59288807518737</v>
      </c>
      <c r="F14" s="21"/>
      <c r="G14" s="21">
        <f t="shared" si="0"/>
        <v>101735.7798635737</v>
      </c>
      <c r="H14" s="21">
        <f t="shared" si="0"/>
        <v>17823.524955370831</v>
      </c>
      <c r="I14" s="21"/>
      <c r="J14" s="21"/>
      <c r="K14" s="21"/>
      <c r="L14" s="21"/>
      <c r="M14" s="21">
        <f t="shared" si="0"/>
        <v>6433.6237853263719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0.20368323487619047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3.629539730137783</v>
      </c>
      <c r="C18" s="23"/>
      <c r="D18" s="23">
        <f t="shared" ref="D18:M18" si="1">D14*D16</f>
        <v>9.1690043381672712</v>
      </c>
      <c r="E18" s="23">
        <f t="shared" si="1"/>
        <v>79.58458559306753</v>
      </c>
      <c r="F18" s="23"/>
      <c r="G18" s="23">
        <f t="shared" si="1"/>
        <v>27163.453223574179</v>
      </c>
      <c r="H18" s="23">
        <f t="shared" si="1"/>
        <v>4438.0577138873368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1.4637984599033642E-3</v>
      </c>
      <c r="H50" s="321">
        <f t="shared" si="2"/>
        <v>0</v>
      </c>
      <c r="I50" s="321">
        <f t="shared" si="2"/>
        <v>0</v>
      </c>
      <c r="J50" s="321">
        <f t="shared" si="2"/>
        <v>0</v>
      </c>
      <c r="K50" s="321">
        <f t="shared" si="2"/>
        <v>0</v>
      </c>
      <c r="L50" s="321">
        <f t="shared" si="2"/>
        <v>0</v>
      </c>
      <c r="M50" s="321">
        <f t="shared" si="2"/>
        <v>8.3476158965265008E-5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1.4637984599033642E-3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8.3476158965265008E-5</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406.61068330649005</v>
      </c>
      <c r="H54" s="21">
        <f t="shared" si="3"/>
        <v>0</v>
      </c>
      <c r="I54" s="21">
        <f t="shared" si="3"/>
        <v>0</v>
      </c>
      <c r="J54" s="21">
        <f t="shared" si="3"/>
        <v>0</v>
      </c>
      <c r="K54" s="21">
        <f t="shared" si="3"/>
        <v>0</v>
      </c>
      <c r="L54" s="21">
        <f t="shared" si="3"/>
        <v>0</v>
      </c>
      <c r="M54" s="21">
        <f t="shared" si="3"/>
        <v>23.187821934795839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0.20368323487619047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108.56505244283285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4246.5815849999999</v>
      </c>
      <c r="D10" s="1025">
        <f ca="1">tertiair!C16</f>
        <v>0</v>
      </c>
      <c r="E10" s="1025">
        <f ca="1">tertiair!D16</f>
        <v>6197.3367647542</v>
      </c>
      <c r="F10" s="1025">
        <f>tertiair!E16</f>
        <v>47.472888729690624</v>
      </c>
      <c r="G10" s="1025">
        <f ca="1">tertiair!F16</f>
        <v>571.42455375048462</v>
      </c>
      <c r="H10" s="1025">
        <f>tertiair!G16</f>
        <v>0</v>
      </c>
      <c r="I10" s="1025">
        <f>tertiair!H16</f>
        <v>0</v>
      </c>
      <c r="J10" s="1025">
        <f>tertiair!I16</f>
        <v>0</v>
      </c>
      <c r="K10" s="1025">
        <f>tertiair!J16</f>
        <v>0</v>
      </c>
      <c r="L10" s="1025">
        <f>tertiair!K16</f>
        <v>0</v>
      </c>
      <c r="M10" s="1025">
        <f ca="1">tertiair!L16</f>
        <v>0</v>
      </c>
      <c r="N10" s="1025">
        <f>tertiair!M16</f>
        <v>0</v>
      </c>
      <c r="O10" s="1025">
        <f ca="1">tertiair!N16</f>
        <v>206.14958126831186</v>
      </c>
      <c r="P10" s="1025">
        <f>tertiair!O16</f>
        <v>0</v>
      </c>
      <c r="Q10" s="1026">
        <f>tertiair!P16</f>
        <v>19.066666666666666</v>
      </c>
      <c r="R10" s="701">
        <f ca="1">SUM(C10:Q10)</f>
        <v>11288.032040169355</v>
      </c>
      <c r="S10" s="67"/>
    </row>
    <row r="11" spans="1:19" s="474" customFormat="1">
      <c r="A11" s="810" t="s">
        <v>225</v>
      </c>
      <c r="B11" s="815"/>
      <c r="C11" s="1025">
        <f>huishoudens!B8</f>
        <v>11876.324206319838</v>
      </c>
      <c r="D11" s="1025">
        <f>huishoudens!C8</f>
        <v>0</v>
      </c>
      <c r="E11" s="1025">
        <f>huishoudens!D8</f>
        <v>26818.156724610166</v>
      </c>
      <c r="F11" s="1025">
        <f>huishoudens!E8</f>
        <v>765.58517851071633</v>
      </c>
      <c r="G11" s="1025">
        <f>huishoudens!F8</f>
        <v>9346.879715292449</v>
      </c>
      <c r="H11" s="1025">
        <f>huishoudens!G8</f>
        <v>0</v>
      </c>
      <c r="I11" s="1025">
        <f>huishoudens!H8</f>
        <v>0</v>
      </c>
      <c r="J11" s="1025">
        <f>huishoudens!I8</f>
        <v>0</v>
      </c>
      <c r="K11" s="1025">
        <f>huishoudens!J8</f>
        <v>925.08208468612031</v>
      </c>
      <c r="L11" s="1025">
        <f>huishoudens!K8</f>
        <v>0</v>
      </c>
      <c r="M11" s="1025">
        <f>huishoudens!L8</f>
        <v>0</v>
      </c>
      <c r="N11" s="1025">
        <f>huishoudens!M8</f>
        <v>0</v>
      </c>
      <c r="O11" s="1025">
        <f>huishoudens!N8</f>
        <v>4781.9035647753626</v>
      </c>
      <c r="P11" s="1025">
        <f>huishoudens!O8</f>
        <v>81.293333333333337</v>
      </c>
      <c r="Q11" s="1026">
        <f>huishoudens!P8</f>
        <v>171.6</v>
      </c>
      <c r="R11" s="701">
        <f>SUM(C11:Q11)</f>
        <v>54766.824807527977</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12370.53422</v>
      </c>
      <c r="D13" s="1025">
        <f>industrie!C18</f>
        <v>1060.7142857142858</v>
      </c>
      <c r="E13" s="1025">
        <f>industrie!D18</f>
        <v>20832.166393789714</v>
      </c>
      <c r="F13" s="1025">
        <f>industrie!E18</f>
        <v>262.16160013933825</v>
      </c>
      <c r="G13" s="1025">
        <f>industrie!F18</f>
        <v>17385.044054695045</v>
      </c>
      <c r="H13" s="1025">
        <f>industrie!G18</f>
        <v>0</v>
      </c>
      <c r="I13" s="1025">
        <f>industrie!H18</f>
        <v>0</v>
      </c>
      <c r="J13" s="1025">
        <f>industrie!I18</f>
        <v>0</v>
      </c>
      <c r="K13" s="1025">
        <f>industrie!J18</f>
        <v>222.14064422625955</v>
      </c>
      <c r="L13" s="1025">
        <f>industrie!K18</f>
        <v>0</v>
      </c>
      <c r="M13" s="1025">
        <f>industrie!L18</f>
        <v>0</v>
      </c>
      <c r="N13" s="1025">
        <f>industrie!M18</f>
        <v>0</v>
      </c>
      <c r="O13" s="1025">
        <f>industrie!N18</f>
        <v>3066.968002224673</v>
      </c>
      <c r="P13" s="1025">
        <f>industrie!O18</f>
        <v>0</v>
      </c>
      <c r="Q13" s="1026">
        <f>industrie!P18</f>
        <v>0</v>
      </c>
      <c r="R13" s="701">
        <f>SUM(C13:Q13)</f>
        <v>55199.729200789319</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28493.440011319835</v>
      </c>
      <c r="D16" s="733">
        <f t="shared" ref="D16:R16" ca="1" si="0">SUM(D9:D15)</f>
        <v>1060.7142857142858</v>
      </c>
      <c r="E16" s="733">
        <f t="shared" ca="1" si="0"/>
        <v>53847.659883154076</v>
      </c>
      <c r="F16" s="733">
        <f t="shared" si="0"/>
        <v>1075.2196673797453</v>
      </c>
      <c r="G16" s="733">
        <f t="shared" ca="1" si="0"/>
        <v>27303.348323737977</v>
      </c>
      <c r="H16" s="733">
        <f t="shared" si="0"/>
        <v>0</v>
      </c>
      <c r="I16" s="733">
        <f t="shared" si="0"/>
        <v>0</v>
      </c>
      <c r="J16" s="733">
        <f t="shared" si="0"/>
        <v>0</v>
      </c>
      <c r="K16" s="733">
        <f t="shared" si="0"/>
        <v>1147.2227289123798</v>
      </c>
      <c r="L16" s="733">
        <f t="shared" si="0"/>
        <v>0</v>
      </c>
      <c r="M16" s="733">
        <f t="shared" ca="1" si="0"/>
        <v>0</v>
      </c>
      <c r="N16" s="733">
        <f t="shared" si="0"/>
        <v>0</v>
      </c>
      <c r="O16" s="733">
        <f t="shared" ca="1" si="0"/>
        <v>8055.0211482683471</v>
      </c>
      <c r="P16" s="733">
        <f t="shared" si="0"/>
        <v>81.293333333333337</v>
      </c>
      <c r="Q16" s="733">
        <f t="shared" si="0"/>
        <v>190.66666666666666</v>
      </c>
      <c r="R16" s="733">
        <f t="shared" ca="1" si="0"/>
        <v>121254.58604848664</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406.61068330649005</v>
      </c>
      <c r="I19" s="1025">
        <f>transport!H54</f>
        <v>0</v>
      </c>
      <c r="J19" s="1025">
        <f>transport!I54</f>
        <v>0</v>
      </c>
      <c r="K19" s="1025">
        <f>transport!J54</f>
        <v>0</v>
      </c>
      <c r="L19" s="1025">
        <f>transport!K54</f>
        <v>0</v>
      </c>
      <c r="M19" s="1025">
        <f>transport!L54</f>
        <v>0</v>
      </c>
      <c r="N19" s="1025">
        <f>transport!M54</f>
        <v>23.187821934795839</v>
      </c>
      <c r="O19" s="1025">
        <f>transport!N54</f>
        <v>0</v>
      </c>
      <c r="P19" s="1025">
        <f>transport!O54</f>
        <v>0</v>
      </c>
      <c r="Q19" s="1026">
        <f>transport!P54</f>
        <v>0</v>
      </c>
      <c r="R19" s="701">
        <f>SUM(C19:Q19)</f>
        <v>429.79850524128591</v>
      </c>
      <c r="S19" s="67"/>
    </row>
    <row r="20" spans="1:19" s="474" customFormat="1">
      <c r="A20" s="810" t="s">
        <v>307</v>
      </c>
      <c r="B20" s="815"/>
      <c r="C20" s="1025">
        <f>transport!B14</f>
        <v>17.819531059313796</v>
      </c>
      <c r="D20" s="1025">
        <f>transport!C14</f>
        <v>0</v>
      </c>
      <c r="E20" s="1025">
        <f>transport!D14</f>
        <v>45.391110584986492</v>
      </c>
      <c r="F20" s="1025">
        <f>transport!E14</f>
        <v>350.59288807518737</v>
      </c>
      <c r="G20" s="1025">
        <f>transport!F14</f>
        <v>0</v>
      </c>
      <c r="H20" s="1025">
        <f>transport!G14</f>
        <v>101735.7798635737</v>
      </c>
      <c r="I20" s="1025">
        <f>transport!H14</f>
        <v>17823.524955370831</v>
      </c>
      <c r="J20" s="1025">
        <f>transport!I14</f>
        <v>0</v>
      </c>
      <c r="K20" s="1025">
        <f>transport!J14</f>
        <v>0</v>
      </c>
      <c r="L20" s="1025">
        <f>transport!K14</f>
        <v>0</v>
      </c>
      <c r="M20" s="1025">
        <f>transport!L14</f>
        <v>0</v>
      </c>
      <c r="N20" s="1025">
        <f>transport!M14</f>
        <v>6433.6237853263719</v>
      </c>
      <c r="O20" s="1025">
        <f>transport!N14</f>
        <v>0</v>
      </c>
      <c r="P20" s="1025">
        <f>transport!O14</f>
        <v>0</v>
      </c>
      <c r="Q20" s="1026">
        <f>transport!P14</f>
        <v>0</v>
      </c>
      <c r="R20" s="701">
        <f>SUM(C20:Q20)</f>
        <v>126406.73213399039</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17.819531059313796</v>
      </c>
      <c r="D22" s="813">
        <f t="shared" ref="D22:R22" si="1">SUM(D18:D21)</f>
        <v>0</v>
      </c>
      <c r="E22" s="813">
        <f t="shared" si="1"/>
        <v>45.391110584986492</v>
      </c>
      <c r="F22" s="813">
        <f t="shared" si="1"/>
        <v>350.59288807518737</v>
      </c>
      <c r="G22" s="813">
        <f t="shared" si="1"/>
        <v>0</v>
      </c>
      <c r="H22" s="813">
        <f t="shared" si="1"/>
        <v>102142.39054688018</v>
      </c>
      <c r="I22" s="813">
        <f t="shared" si="1"/>
        <v>17823.524955370831</v>
      </c>
      <c r="J22" s="813">
        <f t="shared" si="1"/>
        <v>0</v>
      </c>
      <c r="K22" s="813">
        <f t="shared" si="1"/>
        <v>0</v>
      </c>
      <c r="L22" s="813">
        <f t="shared" si="1"/>
        <v>0</v>
      </c>
      <c r="M22" s="813">
        <f t="shared" si="1"/>
        <v>0</v>
      </c>
      <c r="N22" s="813">
        <f t="shared" si="1"/>
        <v>6456.8116072611674</v>
      </c>
      <c r="O22" s="813">
        <f t="shared" si="1"/>
        <v>0</v>
      </c>
      <c r="P22" s="813">
        <f t="shared" si="1"/>
        <v>0</v>
      </c>
      <c r="Q22" s="813">
        <f t="shared" si="1"/>
        <v>0</v>
      </c>
      <c r="R22" s="813">
        <f t="shared" si="1"/>
        <v>126836.53063923167</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610.06669999999997</v>
      </c>
      <c r="D24" s="1025">
        <f>+landbouw!C8</f>
        <v>0</v>
      </c>
      <c r="E24" s="1025">
        <f>+landbouw!D8</f>
        <v>174.42305442598467</v>
      </c>
      <c r="F24" s="1025">
        <f>+landbouw!E8</f>
        <v>5.6506932948217967</v>
      </c>
      <c r="G24" s="1025">
        <f>+landbouw!F8</f>
        <v>1547.8554354870853</v>
      </c>
      <c r="H24" s="1025">
        <f>+landbouw!G8</f>
        <v>0</v>
      </c>
      <c r="I24" s="1025">
        <f>+landbouw!H8</f>
        <v>0</v>
      </c>
      <c r="J24" s="1025">
        <f>+landbouw!I8</f>
        <v>0</v>
      </c>
      <c r="K24" s="1025">
        <f>+landbouw!J8</f>
        <v>93.53003347424287</v>
      </c>
      <c r="L24" s="1025">
        <f>+landbouw!K8</f>
        <v>0</v>
      </c>
      <c r="M24" s="1025">
        <f>+landbouw!L8</f>
        <v>0</v>
      </c>
      <c r="N24" s="1025">
        <f>+landbouw!M8</f>
        <v>0</v>
      </c>
      <c r="O24" s="1025">
        <f>+landbouw!N8</f>
        <v>0</v>
      </c>
      <c r="P24" s="1025">
        <f>+landbouw!O8</f>
        <v>0</v>
      </c>
      <c r="Q24" s="1026">
        <f>+landbouw!P8</f>
        <v>0</v>
      </c>
      <c r="R24" s="701">
        <f>SUM(C24:Q24)</f>
        <v>2431.5259166821347</v>
      </c>
      <c r="S24" s="67"/>
    </row>
    <row r="25" spans="1:19" s="474" customFormat="1" ht="15" thickBot="1">
      <c r="A25" s="832" t="s">
        <v>864</v>
      </c>
      <c r="B25" s="1028"/>
      <c r="C25" s="1029">
        <f>IF(Onbekend_ele_kWh="---",0,Onbekend_ele_kWh)/1000+IF(REST_rest_ele_kWh="---",0,REST_rest_ele_kWh)/1000</f>
        <v>1052.7629999999999</v>
      </c>
      <c r="D25" s="1029"/>
      <c r="E25" s="1029">
        <f>IF(onbekend_gas_kWh="---",0,onbekend_gas_kWh)/1000+IF(REST_rest_gas_kWh="---",0,REST_rest_gas_kWh)/1000</f>
        <v>1088.5203459977902</v>
      </c>
      <c r="F25" s="1029"/>
      <c r="G25" s="1029"/>
      <c r="H25" s="1029"/>
      <c r="I25" s="1029"/>
      <c r="J25" s="1029"/>
      <c r="K25" s="1029"/>
      <c r="L25" s="1029"/>
      <c r="M25" s="1029"/>
      <c r="N25" s="1029"/>
      <c r="O25" s="1029"/>
      <c r="P25" s="1029"/>
      <c r="Q25" s="1030"/>
      <c r="R25" s="701">
        <f>SUM(C25:Q25)</f>
        <v>2141.2833459977901</v>
      </c>
      <c r="S25" s="67"/>
    </row>
    <row r="26" spans="1:19" s="474" customFormat="1" ht="15.75" thickBot="1">
      <c r="A26" s="706" t="s">
        <v>865</v>
      </c>
      <c r="B26" s="818"/>
      <c r="C26" s="813">
        <f>SUM(C24:C25)</f>
        <v>1662.8296999999998</v>
      </c>
      <c r="D26" s="813">
        <f t="shared" ref="D26:R26" si="2">SUM(D24:D25)</f>
        <v>0</v>
      </c>
      <c r="E26" s="813">
        <f t="shared" si="2"/>
        <v>1262.9434004237748</v>
      </c>
      <c r="F26" s="813">
        <f t="shared" si="2"/>
        <v>5.6506932948217967</v>
      </c>
      <c r="G26" s="813">
        <f t="shared" si="2"/>
        <v>1547.8554354870853</v>
      </c>
      <c r="H26" s="813">
        <f t="shared" si="2"/>
        <v>0</v>
      </c>
      <c r="I26" s="813">
        <f t="shared" si="2"/>
        <v>0</v>
      </c>
      <c r="J26" s="813">
        <f t="shared" si="2"/>
        <v>0</v>
      </c>
      <c r="K26" s="813">
        <f t="shared" si="2"/>
        <v>93.53003347424287</v>
      </c>
      <c r="L26" s="813">
        <f t="shared" si="2"/>
        <v>0</v>
      </c>
      <c r="M26" s="813">
        <f t="shared" si="2"/>
        <v>0</v>
      </c>
      <c r="N26" s="813">
        <f t="shared" si="2"/>
        <v>0</v>
      </c>
      <c r="O26" s="813">
        <f t="shared" si="2"/>
        <v>0</v>
      </c>
      <c r="P26" s="813">
        <f t="shared" si="2"/>
        <v>0</v>
      </c>
      <c r="Q26" s="813">
        <f t="shared" si="2"/>
        <v>0</v>
      </c>
      <c r="R26" s="813">
        <f t="shared" si="2"/>
        <v>4572.8092626799244</v>
      </c>
      <c r="S26" s="67"/>
    </row>
    <row r="27" spans="1:19" s="474" customFormat="1" ht="17.25" thickTop="1" thickBot="1">
      <c r="A27" s="707" t="s">
        <v>116</v>
      </c>
      <c r="B27" s="806"/>
      <c r="C27" s="708">
        <f ca="1">C22+C16+C26</f>
        <v>30174.089242379148</v>
      </c>
      <c r="D27" s="708">
        <f t="shared" ref="D27:R27" ca="1" si="3">D22+D16+D26</f>
        <v>1060.7142857142858</v>
      </c>
      <c r="E27" s="708">
        <f t="shared" ca="1" si="3"/>
        <v>55155.994394162837</v>
      </c>
      <c r="F27" s="708">
        <f t="shared" si="3"/>
        <v>1431.4632487497545</v>
      </c>
      <c r="G27" s="708">
        <f t="shared" ca="1" si="3"/>
        <v>28851.203759225064</v>
      </c>
      <c r="H27" s="708">
        <f t="shared" si="3"/>
        <v>102142.39054688018</v>
      </c>
      <c r="I27" s="708">
        <f t="shared" si="3"/>
        <v>17823.524955370831</v>
      </c>
      <c r="J27" s="708">
        <f t="shared" si="3"/>
        <v>0</v>
      </c>
      <c r="K27" s="708">
        <f t="shared" si="3"/>
        <v>1240.7527623866226</v>
      </c>
      <c r="L27" s="708">
        <f t="shared" si="3"/>
        <v>0</v>
      </c>
      <c r="M27" s="708">
        <f t="shared" ca="1" si="3"/>
        <v>0</v>
      </c>
      <c r="N27" s="708">
        <f t="shared" si="3"/>
        <v>6456.8116072611674</v>
      </c>
      <c r="O27" s="708">
        <f t="shared" ca="1" si="3"/>
        <v>8055.0211482683471</v>
      </c>
      <c r="P27" s="708">
        <f t="shared" si="3"/>
        <v>81.293333333333337</v>
      </c>
      <c r="Q27" s="708">
        <f t="shared" si="3"/>
        <v>190.66666666666666</v>
      </c>
      <c r="R27" s="708">
        <f t="shared" ca="1" si="3"/>
        <v>252663.92595039823</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864.95747439846025</v>
      </c>
      <c r="D40" s="1025">
        <f ca="1">tertiair!C20</f>
        <v>0</v>
      </c>
      <c r="E40" s="1025">
        <f ca="1">tertiair!D20</f>
        <v>1251.8620264803485</v>
      </c>
      <c r="F40" s="1025">
        <f>tertiair!E20</f>
        <v>10.776345741639773</v>
      </c>
      <c r="G40" s="1025">
        <f ca="1">tertiair!F20</f>
        <v>152.57035585137939</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2280.166202471828</v>
      </c>
    </row>
    <row r="41" spans="1:18">
      <c r="A41" s="823" t="s">
        <v>225</v>
      </c>
      <c r="B41" s="830"/>
      <c r="C41" s="1025">
        <f ca="1">huishoudens!B12</f>
        <v>2419.0081327816297</v>
      </c>
      <c r="D41" s="1025">
        <f ca="1">huishoudens!C12</f>
        <v>0</v>
      </c>
      <c r="E41" s="1025">
        <f>huishoudens!D12</f>
        <v>5417.2676583712537</v>
      </c>
      <c r="F41" s="1025">
        <f>huishoudens!E12</f>
        <v>173.78783552193261</v>
      </c>
      <c r="G41" s="1025">
        <f>huishoudens!F12</f>
        <v>2495.6168839830839</v>
      </c>
      <c r="H41" s="1025">
        <f>huishoudens!G12</f>
        <v>0</v>
      </c>
      <c r="I41" s="1025">
        <f>huishoudens!H12</f>
        <v>0</v>
      </c>
      <c r="J41" s="1025">
        <f>huishoudens!I12</f>
        <v>0</v>
      </c>
      <c r="K41" s="1025">
        <f>huishoudens!J12</f>
        <v>327.4790579788866</v>
      </c>
      <c r="L41" s="1025">
        <f>huishoudens!K12</f>
        <v>0</v>
      </c>
      <c r="M41" s="1025">
        <f>huishoudens!L12</f>
        <v>0</v>
      </c>
      <c r="N41" s="1025">
        <f>huishoudens!M12</f>
        <v>0</v>
      </c>
      <c r="O41" s="1025">
        <f>huishoudens!N12</f>
        <v>0</v>
      </c>
      <c r="P41" s="1025">
        <f>huishoudens!O12</f>
        <v>0</v>
      </c>
      <c r="Q41" s="775">
        <f>huishoudens!P12</f>
        <v>0</v>
      </c>
      <c r="R41" s="851">
        <f t="shared" ca="1" si="4"/>
        <v>10833.159568636785</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2519.6704270762116</v>
      </c>
      <c r="D43" s="1025">
        <f ca="1">industrie!C22</f>
        <v>0</v>
      </c>
      <c r="E43" s="1025">
        <f>industrie!D22</f>
        <v>4208.0976115455223</v>
      </c>
      <c r="F43" s="1025">
        <f>industrie!E22</f>
        <v>59.510683231629784</v>
      </c>
      <c r="G43" s="1025">
        <f>industrie!F22</f>
        <v>4641.8067626035772</v>
      </c>
      <c r="H43" s="1025">
        <f>industrie!G22</f>
        <v>0</v>
      </c>
      <c r="I43" s="1025">
        <f>industrie!H22</f>
        <v>0</v>
      </c>
      <c r="J43" s="1025">
        <f>industrie!I22</f>
        <v>0</v>
      </c>
      <c r="K43" s="1025">
        <f>industrie!J22</f>
        <v>78.637788056095872</v>
      </c>
      <c r="L43" s="1025">
        <f>industrie!K22</f>
        <v>0</v>
      </c>
      <c r="M43" s="1025">
        <f>industrie!L22</f>
        <v>0</v>
      </c>
      <c r="N43" s="1025">
        <f>industrie!M22</f>
        <v>0</v>
      </c>
      <c r="O43" s="1025">
        <f>industrie!N22</f>
        <v>0</v>
      </c>
      <c r="P43" s="1025">
        <f>industrie!O22</f>
        <v>0</v>
      </c>
      <c r="Q43" s="775">
        <f>industrie!P22</f>
        <v>0</v>
      </c>
      <c r="R43" s="850">
        <f t="shared" ca="1" si="4"/>
        <v>11507.723272513036</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5803.6360342563021</v>
      </c>
      <c r="D46" s="733">
        <f t="shared" ref="D46:Q46" ca="1" si="5">SUM(D39:D45)</f>
        <v>0</v>
      </c>
      <c r="E46" s="733">
        <f t="shared" ca="1" si="5"/>
        <v>10877.227296397125</v>
      </c>
      <c r="F46" s="733">
        <f t="shared" si="5"/>
        <v>244.07486449520218</v>
      </c>
      <c r="G46" s="733">
        <f t="shared" ca="1" si="5"/>
        <v>7289.9940024380403</v>
      </c>
      <c r="H46" s="733">
        <f t="shared" si="5"/>
        <v>0</v>
      </c>
      <c r="I46" s="733">
        <f t="shared" si="5"/>
        <v>0</v>
      </c>
      <c r="J46" s="733">
        <f t="shared" si="5"/>
        <v>0</v>
      </c>
      <c r="K46" s="733">
        <f t="shared" si="5"/>
        <v>406.11684603498247</v>
      </c>
      <c r="L46" s="733">
        <f t="shared" si="5"/>
        <v>0</v>
      </c>
      <c r="M46" s="733">
        <f t="shared" ca="1" si="5"/>
        <v>0</v>
      </c>
      <c r="N46" s="733">
        <f t="shared" si="5"/>
        <v>0</v>
      </c>
      <c r="O46" s="733">
        <f t="shared" ca="1" si="5"/>
        <v>0</v>
      </c>
      <c r="P46" s="733">
        <f t="shared" si="5"/>
        <v>0</v>
      </c>
      <c r="Q46" s="733">
        <f t="shared" si="5"/>
        <v>0</v>
      </c>
      <c r="R46" s="733">
        <f ca="1">SUM(R39:R45)</f>
        <v>24621.04904362165</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108.56505244283285</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108.56505244283285</v>
      </c>
    </row>
    <row r="50" spans="1:18">
      <c r="A50" s="826" t="s">
        <v>307</v>
      </c>
      <c r="B50" s="836"/>
      <c r="C50" s="704">
        <f ca="1">transport!B18</f>
        <v>3.629539730137783</v>
      </c>
      <c r="D50" s="704">
        <f>transport!C18</f>
        <v>0</v>
      </c>
      <c r="E50" s="704">
        <f>transport!D18</f>
        <v>9.1690043381672712</v>
      </c>
      <c r="F50" s="704">
        <f>transport!E18</f>
        <v>79.58458559306753</v>
      </c>
      <c r="G50" s="704">
        <f>transport!F18</f>
        <v>0</v>
      </c>
      <c r="H50" s="704">
        <f>transport!G18</f>
        <v>27163.453223574179</v>
      </c>
      <c r="I50" s="704">
        <f>transport!H18</f>
        <v>4438.0577138873368</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31693.894067122888</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3.629539730137783</v>
      </c>
      <c r="D52" s="733">
        <f t="shared" ref="D52:Q52" ca="1" si="6">SUM(D48:D51)</f>
        <v>0</v>
      </c>
      <c r="E52" s="733">
        <f t="shared" si="6"/>
        <v>9.1690043381672712</v>
      </c>
      <c r="F52" s="733">
        <f t="shared" si="6"/>
        <v>79.58458559306753</v>
      </c>
      <c r="G52" s="733">
        <f t="shared" si="6"/>
        <v>0</v>
      </c>
      <c r="H52" s="733">
        <f t="shared" si="6"/>
        <v>27272.01827601701</v>
      </c>
      <c r="I52" s="733">
        <f t="shared" si="6"/>
        <v>4438.0577138873368</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31802.459119565719</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124.26035894624242</v>
      </c>
      <c r="D54" s="704">
        <f ca="1">+landbouw!C12</f>
        <v>0</v>
      </c>
      <c r="E54" s="704">
        <f>+landbouw!D12</f>
        <v>35.233456994048908</v>
      </c>
      <c r="F54" s="704">
        <f>+landbouw!E12</f>
        <v>1.2827073779245479</v>
      </c>
      <c r="G54" s="704">
        <f>+landbouw!F12</f>
        <v>413.27740127505177</v>
      </c>
      <c r="H54" s="704">
        <f>+landbouw!G12</f>
        <v>0</v>
      </c>
      <c r="I54" s="704">
        <f>+landbouw!H12</f>
        <v>0</v>
      </c>
      <c r="J54" s="704">
        <f>+landbouw!I12</f>
        <v>0</v>
      </c>
      <c r="K54" s="704">
        <f>+landbouw!J12</f>
        <v>33.109631849881971</v>
      </c>
      <c r="L54" s="704">
        <f>+landbouw!K12</f>
        <v>0</v>
      </c>
      <c r="M54" s="704">
        <f>+landbouw!L12</f>
        <v>0</v>
      </c>
      <c r="N54" s="704">
        <f>+landbouw!M12</f>
        <v>0</v>
      </c>
      <c r="O54" s="704">
        <f>+landbouw!N12</f>
        <v>0</v>
      </c>
      <c r="P54" s="704">
        <f>+landbouw!O12</f>
        <v>0</v>
      </c>
      <c r="Q54" s="705">
        <f>+landbouw!P12</f>
        <v>0</v>
      </c>
      <c r="R54" s="732">
        <f ca="1">SUM(C54:Q54)</f>
        <v>607.16355644314967</v>
      </c>
    </row>
    <row r="55" spans="1:18" ht="15" thickBot="1">
      <c r="A55" s="826" t="s">
        <v>864</v>
      </c>
      <c r="B55" s="836"/>
      <c r="C55" s="704">
        <f ca="1">C25*'EF ele_warmte'!B12</f>
        <v>214.4301733979629</v>
      </c>
      <c r="D55" s="704"/>
      <c r="E55" s="704">
        <f>E25*EF_CO2_aardgas</f>
        <v>219.88110989155362</v>
      </c>
      <c r="F55" s="704"/>
      <c r="G55" s="704"/>
      <c r="H55" s="704"/>
      <c r="I55" s="704"/>
      <c r="J55" s="704"/>
      <c r="K55" s="704"/>
      <c r="L55" s="704"/>
      <c r="M55" s="704"/>
      <c r="N55" s="704"/>
      <c r="O55" s="704"/>
      <c r="P55" s="704"/>
      <c r="Q55" s="705"/>
      <c r="R55" s="732">
        <f ca="1">SUM(C55:Q55)</f>
        <v>434.3112832895165</v>
      </c>
    </row>
    <row r="56" spans="1:18" ht="15.75" thickBot="1">
      <c r="A56" s="824" t="s">
        <v>865</v>
      </c>
      <c r="B56" s="837"/>
      <c r="C56" s="733">
        <f ca="1">SUM(C54:C55)</f>
        <v>338.69053234420534</v>
      </c>
      <c r="D56" s="733">
        <f t="shared" ref="D56:Q56" ca="1" si="7">SUM(D54:D55)</f>
        <v>0</v>
      </c>
      <c r="E56" s="733">
        <f t="shared" si="7"/>
        <v>255.11456688560253</v>
      </c>
      <c r="F56" s="733">
        <f t="shared" si="7"/>
        <v>1.2827073779245479</v>
      </c>
      <c r="G56" s="733">
        <f t="shared" si="7"/>
        <v>413.27740127505177</v>
      </c>
      <c r="H56" s="733">
        <f t="shared" si="7"/>
        <v>0</v>
      </c>
      <c r="I56" s="733">
        <f t="shared" si="7"/>
        <v>0</v>
      </c>
      <c r="J56" s="733">
        <f t="shared" si="7"/>
        <v>0</v>
      </c>
      <c r="K56" s="733">
        <f t="shared" si="7"/>
        <v>33.109631849881971</v>
      </c>
      <c r="L56" s="733">
        <f t="shared" si="7"/>
        <v>0</v>
      </c>
      <c r="M56" s="733">
        <f t="shared" si="7"/>
        <v>0</v>
      </c>
      <c r="N56" s="733">
        <f t="shared" si="7"/>
        <v>0</v>
      </c>
      <c r="O56" s="733">
        <f t="shared" si="7"/>
        <v>0</v>
      </c>
      <c r="P56" s="733">
        <f t="shared" si="7"/>
        <v>0</v>
      </c>
      <c r="Q56" s="734">
        <f t="shared" si="7"/>
        <v>0</v>
      </c>
      <c r="R56" s="735">
        <f ca="1">SUM(R54:R55)</f>
        <v>1041.4748397326662</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6145.9561063306446</v>
      </c>
      <c r="D61" s="741">
        <f t="shared" ref="D61:Q61" ca="1" si="8">D46+D52+D56</f>
        <v>0</v>
      </c>
      <c r="E61" s="741">
        <f t="shared" ca="1" si="8"/>
        <v>11141.510867620895</v>
      </c>
      <c r="F61" s="741">
        <f t="shared" si="8"/>
        <v>324.94215746619426</v>
      </c>
      <c r="G61" s="741">
        <f t="shared" ca="1" si="8"/>
        <v>7703.2714037130918</v>
      </c>
      <c r="H61" s="741">
        <f t="shared" si="8"/>
        <v>27272.01827601701</v>
      </c>
      <c r="I61" s="741">
        <f t="shared" si="8"/>
        <v>4438.0577138873368</v>
      </c>
      <c r="J61" s="741">
        <f t="shared" si="8"/>
        <v>0</v>
      </c>
      <c r="K61" s="741">
        <f t="shared" si="8"/>
        <v>439.22647788486444</v>
      </c>
      <c r="L61" s="741">
        <f t="shared" si="8"/>
        <v>0</v>
      </c>
      <c r="M61" s="741">
        <f t="shared" ca="1" si="8"/>
        <v>0</v>
      </c>
      <c r="N61" s="741">
        <f t="shared" si="8"/>
        <v>0</v>
      </c>
      <c r="O61" s="741">
        <f t="shared" ca="1" si="8"/>
        <v>0</v>
      </c>
      <c r="P61" s="741">
        <f t="shared" si="8"/>
        <v>0</v>
      </c>
      <c r="Q61" s="741">
        <f t="shared" si="8"/>
        <v>0</v>
      </c>
      <c r="R61" s="741">
        <f ca="1">R46+R52+R56</f>
        <v>57464.983002920038</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0.20368323487619047</v>
      </c>
      <c r="D63" s="782">
        <f t="shared" ca="1" si="9"/>
        <v>0</v>
      </c>
      <c r="E63" s="1036">
        <f t="shared" ca="1" si="9"/>
        <v>0.20200000000000004</v>
      </c>
      <c r="F63" s="782">
        <f t="shared" si="9"/>
        <v>0.22700000000000001</v>
      </c>
      <c r="G63" s="782">
        <f t="shared" ca="1" si="9"/>
        <v>0.26700000000000002</v>
      </c>
      <c r="H63" s="782">
        <f t="shared" si="9"/>
        <v>0.26700000000000002</v>
      </c>
      <c r="I63" s="782">
        <f t="shared" si="9"/>
        <v>0.249</v>
      </c>
      <c r="J63" s="782">
        <f t="shared" si="9"/>
        <v>0</v>
      </c>
      <c r="K63" s="782">
        <f t="shared" si="9"/>
        <v>0.35400000000000004</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36.982062780269061</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1584.8510423561449</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742.5</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873.52941176470586</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2364.3331051364139</v>
      </c>
      <c r="C78" s="756">
        <f>SUM(C72:C77)</f>
        <v>0</v>
      </c>
      <c r="D78" s="757">
        <f t="shared" ref="D78:H78" si="10">SUM(D76:D77)</f>
        <v>0</v>
      </c>
      <c r="E78" s="757">
        <f t="shared" si="10"/>
        <v>0</v>
      </c>
      <c r="F78" s="757">
        <f t="shared" si="10"/>
        <v>0</v>
      </c>
      <c r="G78" s="757">
        <f t="shared" si="10"/>
        <v>0</v>
      </c>
      <c r="H78" s="757">
        <f t="shared" si="10"/>
        <v>0</v>
      </c>
      <c r="I78" s="757">
        <f>SUM(I76:I77)</f>
        <v>0</v>
      </c>
      <c r="J78" s="757">
        <f>SUM(J76:J77)</f>
        <v>873.52941176470586</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1060.7142857142858</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1247.8991596638657</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1060.7142857142858</v>
      </c>
      <c r="C90" s="756">
        <f>SUM(C87:C89)</f>
        <v>0</v>
      </c>
      <c r="D90" s="756">
        <f t="shared" ref="D90:H90" si="12">SUM(D87:D89)</f>
        <v>0</v>
      </c>
      <c r="E90" s="756">
        <f t="shared" si="12"/>
        <v>0</v>
      </c>
      <c r="F90" s="756">
        <f t="shared" si="12"/>
        <v>0</v>
      </c>
      <c r="G90" s="756">
        <f t="shared" si="12"/>
        <v>0</v>
      </c>
      <c r="H90" s="756">
        <f t="shared" si="12"/>
        <v>0</v>
      </c>
      <c r="I90" s="756">
        <f>SUM(I87:I89)</f>
        <v>0</v>
      </c>
      <c r="J90" s="756">
        <f>SUM(J87:J89)</f>
        <v>1247.8991596638657</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36.982062780269061</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1584.8510423561449</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742.5</v>
      </c>
      <c r="C8" s="571">
        <f>B101</f>
        <v>0</v>
      </c>
      <c r="D8" s="1056"/>
      <c r="E8" s="1056">
        <f>E101</f>
        <v>0</v>
      </c>
      <c r="F8" s="1057"/>
      <c r="G8" s="572"/>
      <c r="H8" s="1056">
        <f>I101</f>
        <v>0</v>
      </c>
      <c r="I8" s="1056">
        <f>G101+F101</f>
        <v>0</v>
      </c>
      <c r="J8" s="1056">
        <f>H101+D101+C101</f>
        <v>873.52941176470586</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2364.3331051364139</v>
      </c>
      <c r="C10" s="584">
        <f t="shared" ref="C10:L10" si="0">SUM(C8:C9)</f>
        <v>0</v>
      </c>
      <c r="D10" s="584">
        <f t="shared" si="0"/>
        <v>0</v>
      </c>
      <c r="E10" s="584">
        <f t="shared" si="0"/>
        <v>0</v>
      </c>
      <c r="F10" s="584">
        <f t="shared" si="0"/>
        <v>0</v>
      </c>
      <c r="G10" s="584">
        <f t="shared" si="0"/>
        <v>0</v>
      </c>
      <c r="H10" s="584">
        <f t="shared" si="0"/>
        <v>0</v>
      </c>
      <c r="I10" s="584">
        <f t="shared" si="0"/>
        <v>0</v>
      </c>
      <c r="J10" s="584">
        <f t="shared" si="0"/>
        <v>873.52941176470586</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1060.7142857142858</v>
      </c>
      <c r="C17" s="596">
        <f>B102</f>
        <v>0</v>
      </c>
      <c r="D17" s="597"/>
      <c r="E17" s="597">
        <f>E102</f>
        <v>0</v>
      </c>
      <c r="F17" s="1062"/>
      <c r="G17" s="598"/>
      <c r="H17" s="596">
        <f>I102</f>
        <v>0</v>
      </c>
      <c r="I17" s="597">
        <f>G102+F102</f>
        <v>0</v>
      </c>
      <c r="J17" s="597">
        <f>H102+D102+C102</f>
        <v>1247.8991596638657</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1060.7142857142858</v>
      </c>
      <c r="C20" s="583">
        <f>SUM(C17:C19)</f>
        <v>0</v>
      </c>
      <c r="D20" s="583">
        <f t="shared" ref="D20:L20" si="1">SUM(D17:D19)</f>
        <v>0</v>
      </c>
      <c r="E20" s="583">
        <f t="shared" si="1"/>
        <v>0</v>
      </c>
      <c r="F20" s="583">
        <f t="shared" si="1"/>
        <v>0</v>
      </c>
      <c r="G20" s="583">
        <f t="shared" si="1"/>
        <v>0</v>
      </c>
      <c r="H20" s="583">
        <f t="shared" si="1"/>
        <v>0</v>
      </c>
      <c r="I20" s="583">
        <f t="shared" si="1"/>
        <v>0</v>
      </c>
      <c r="J20" s="583">
        <f t="shared" si="1"/>
        <v>1247.8991596638657</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24041</v>
      </c>
      <c r="C28" s="797">
        <v>3320</v>
      </c>
      <c r="D28" s="654" t="s">
        <v>907</v>
      </c>
      <c r="E28" s="653" t="s">
        <v>908</v>
      </c>
      <c r="F28" s="653" t="s">
        <v>909</v>
      </c>
      <c r="G28" s="653" t="s">
        <v>910</v>
      </c>
      <c r="H28" s="653" t="s">
        <v>911</v>
      </c>
      <c r="I28" s="653" t="s">
        <v>912</v>
      </c>
      <c r="J28" s="796">
        <v>37722</v>
      </c>
      <c r="K28" s="796">
        <v>38353</v>
      </c>
      <c r="L28" s="653" t="s">
        <v>913</v>
      </c>
      <c r="M28" s="653">
        <v>165</v>
      </c>
      <c r="N28" s="653">
        <v>742.5</v>
      </c>
      <c r="O28" s="653">
        <v>1060.7142857142858</v>
      </c>
      <c r="P28" s="653">
        <v>0</v>
      </c>
      <c r="Q28" s="653">
        <v>2121.4285714285716</v>
      </c>
      <c r="R28" s="653">
        <v>0</v>
      </c>
      <c r="S28" s="653">
        <v>0</v>
      </c>
      <c r="T28" s="653">
        <v>0</v>
      </c>
      <c r="U28" s="653">
        <v>0</v>
      </c>
      <c r="V28" s="653">
        <v>0</v>
      </c>
      <c r="W28" s="653">
        <v>0</v>
      </c>
      <c r="X28" s="653">
        <v>500</v>
      </c>
      <c r="Y28" s="653" t="s">
        <v>41</v>
      </c>
      <c r="Z28" s="655" t="s">
        <v>389</v>
      </c>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165</v>
      </c>
      <c r="N58" s="611">
        <f>SUM(N28:N57)</f>
        <v>742.5</v>
      </c>
      <c r="O58" s="611">
        <f t="shared" ref="O58:W58" si="2">SUM(O28:O57)</f>
        <v>1060.7142857142858</v>
      </c>
      <c r="P58" s="611">
        <f t="shared" si="2"/>
        <v>0</v>
      </c>
      <c r="Q58" s="611">
        <f t="shared" si="2"/>
        <v>2121.4285714285716</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165</v>
      </c>
      <c r="N59" s="611">
        <f t="shared" si="3"/>
        <v>742.5</v>
      </c>
      <c r="O59" s="611">
        <f t="shared" si="3"/>
        <v>1060.7142857142858</v>
      </c>
      <c r="P59" s="611">
        <f t="shared" si="3"/>
        <v>0</v>
      </c>
      <c r="Q59" s="611">
        <f t="shared" si="3"/>
        <v>2121.4285714285716</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0.41176470588235292</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873.52941176470586</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1247.8991596638657</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11876.324206319838</v>
      </c>
      <c r="C4" s="478">
        <f>huishoudens!C8</f>
        <v>0</v>
      </c>
      <c r="D4" s="478">
        <f>huishoudens!D8</f>
        <v>26818.156724610166</v>
      </c>
      <c r="E4" s="478">
        <f>huishoudens!E8</f>
        <v>765.58517851071633</v>
      </c>
      <c r="F4" s="478">
        <f>huishoudens!F8</f>
        <v>9346.879715292449</v>
      </c>
      <c r="G4" s="478">
        <f>huishoudens!G8</f>
        <v>0</v>
      </c>
      <c r="H4" s="478">
        <f>huishoudens!H8</f>
        <v>0</v>
      </c>
      <c r="I4" s="478">
        <f>huishoudens!I8</f>
        <v>0</v>
      </c>
      <c r="J4" s="478">
        <f>huishoudens!J8</f>
        <v>925.08208468612031</v>
      </c>
      <c r="K4" s="478">
        <f>huishoudens!K8</f>
        <v>0</v>
      </c>
      <c r="L4" s="478">
        <f>huishoudens!L8</f>
        <v>0</v>
      </c>
      <c r="M4" s="478">
        <f>huishoudens!M8</f>
        <v>0</v>
      </c>
      <c r="N4" s="478">
        <f>huishoudens!N8</f>
        <v>4781.9035647753626</v>
      </c>
      <c r="O4" s="478">
        <f>huishoudens!O8</f>
        <v>81.293333333333337</v>
      </c>
      <c r="P4" s="479">
        <f>huishoudens!P8</f>
        <v>171.6</v>
      </c>
      <c r="Q4" s="480">
        <f>SUM(B4:P4)</f>
        <v>54766.824807527977</v>
      </c>
    </row>
    <row r="5" spans="1:17">
      <c r="A5" s="477" t="s">
        <v>156</v>
      </c>
      <c r="B5" s="478">
        <f ca="1">tertiair!B16</f>
        <v>3886.5705849999999</v>
      </c>
      <c r="C5" s="478">
        <f ca="1">tertiair!C16</f>
        <v>0</v>
      </c>
      <c r="D5" s="478">
        <f ca="1">tertiair!D16</f>
        <v>6197.3367647542</v>
      </c>
      <c r="E5" s="478">
        <f>tertiair!E16</f>
        <v>47.472888729690624</v>
      </c>
      <c r="F5" s="478">
        <f ca="1">tertiair!F16</f>
        <v>571.42455375048462</v>
      </c>
      <c r="G5" s="478">
        <f>tertiair!G16</f>
        <v>0</v>
      </c>
      <c r="H5" s="478">
        <f>tertiair!H16</f>
        <v>0</v>
      </c>
      <c r="I5" s="478">
        <f>tertiair!I16</f>
        <v>0</v>
      </c>
      <c r="J5" s="478">
        <f>tertiair!J16</f>
        <v>0</v>
      </c>
      <c r="K5" s="478">
        <f>tertiair!K16</f>
        <v>0</v>
      </c>
      <c r="L5" s="478">
        <f ca="1">tertiair!L16</f>
        <v>0</v>
      </c>
      <c r="M5" s="478">
        <f>tertiair!M16</f>
        <v>0</v>
      </c>
      <c r="N5" s="478">
        <f ca="1">tertiair!N16</f>
        <v>206.14958126831186</v>
      </c>
      <c r="O5" s="478">
        <f>tertiair!O16</f>
        <v>0</v>
      </c>
      <c r="P5" s="479">
        <f>tertiair!P16</f>
        <v>19.066666666666666</v>
      </c>
      <c r="Q5" s="477">
        <f t="shared" ref="Q5:Q14" ca="1" si="0">SUM(B5:P5)</f>
        <v>10928.021040169355</v>
      </c>
    </row>
    <row r="6" spans="1:17">
      <c r="A6" s="477" t="s">
        <v>194</v>
      </c>
      <c r="B6" s="478">
        <f>'openbare verlichting'!B8</f>
        <v>360.01100000000002</v>
      </c>
      <c r="C6" s="478"/>
      <c r="D6" s="478"/>
      <c r="E6" s="478"/>
      <c r="F6" s="478"/>
      <c r="G6" s="478"/>
      <c r="H6" s="478"/>
      <c r="I6" s="478"/>
      <c r="J6" s="478"/>
      <c r="K6" s="478"/>
      <c r="L6" s="478"/>
      <c r="M6" s="478"/>
      <c r="N6" s="478"/>
      <c r="O6" s="478"/>
      <c r="P6" s="479"/>
      <c r="Q6" s="477">
        <f t="shared" si="0"/>
        <v>360.01100000000002</v>
      </c>
    </row>
    <row r="7" spans="1:17">
      <c r="A7" s="477" t="s">
        <v>112</v>
      </c>
      <c r="B7" s="478">
        <f>landbouw!B8</f>
        <v>610.06669999999997</v>
      </c>
      <c r="C7" s="478">
        <f>landbouw!C8</f>
        <v>0</v>
      </c>
      <c r="D7" s="478">
        <f>landbouw!D8</f>
        <v>174.42305442598467</v>
      </c>
      <c r="E7" s="478">
        <f>landbouw!E8</f>
        <v>5.6506932948217967</v>
      </c>
      <c r="F7" s="478">
        <f>landbouw!F8</f>
        <v>1547.8554354870853</v>
      </c>
      <c r="G7" s="478">
        <f>landbouw!G8</f>
        <v>0</v>
      </c>
      <c r="H7" s="478">
        <f>landbouw!H8</f>
        <v>0</v>
      </c>
      <c r="I7" s="478">
        <f>landbouw!I8</f>
        <v>0</v>
      </c>
      <c r="J7" s="478">
        <f>landbouw!J8</f>
        <v>93.53003347424287</v>
      </c>
      <c r="K7" s="478">
        <f>landbouw!K8</f>
        <v>0</v>
      </c>
      <c r="L7" s="478">
        <f>landbouw!L8</f>
        <v>0</v>
      </c>
      <c r="M7" s="478">
        <f>landbouw!M8</f>
        <v>0</v>
      </c>
      <c r="N7" s="478">
        <f>landbouw!N8</f>
        <v>0</v>
      </c>
      <c r="O7" s="478">
        <f>landbouw!O8</f>
        <v>0</v>
      </c>
      <c r="P7" s="479">
        <f>landbouw!P8</f>
        <v>0</v>
      </c>
      <c r="Q7" s="477">
        <f t="shared" si="0"/>
        <v>2431.5259166821347</v>
      </c>
    </row>
    <row r="8" spans="1:17">
      <c r="A8" s="477" t="s">
        <v>650</v>
      </c>
      <c r="B8" s="478">
        <f>industrie!B18</f>
        <v>12370.53422</v>
      </c>
      <c r="C8" s="478">
        <f>industrie!C18</f>
        <v>1060.7142857142858</v>
      </c>
      <c r="D8" s="478">
        <f>industrie!D18</f>
        <v>20832.166393789714</v>
      </c>
      <c r="E8" s="478">
        <f>industrie!E18</f>
        <v>262.16160013933825</v>
      </c>
      <c r="F8" s="478">
        <f>industrie!F18</f>
        <v>17385.044054695045</v>
      </c>
      <c r="G8" s="478">
        <f>industrie!G18</f>
        <v>0</v>
      </c>
      <c r="H8" s="478">
        <f>industrie!H18</f>
        <v>0</v>
      </c>
      <c r="I8" s="478">
        <f>industrie!I18</f>
        <v>0</v>
      </c>
      <c r="J8" s="478">
        <f>industrie!J18</f>
        <v>222.14064422625955</v>
      </c>
      <c r="K8" s="478">
        <f>industrie!K18</f>
        <v>0</v>
      </c>
      <c r="L8" s="478">
        <f>industrie!L18</f>
        <v>0</v>
      </c>
      <c r="M8" s="478">
        <f>industrie!M18</f>
        <v>0</v>
      </c>
      <c r="N8" s="478">
        <f>industrie!N18</f>
        <v>3066.968002224673</v>
      </c>
      <c r="O8" s="478">
        <f>industrie!O18</f>
        <v>0</v>
      </c>
      <c r="P8" s="479">
        <f>industrie!P18</f>
        <v>0</v>
      </c>
      <c r="Q8" s="477">
        <f t="shared" si="0"/>
        <v>55199.729200789319</v>
      </c>
    </row>
    <row r="9" spans="1:17" s="483" customFormat="1">
      <c r="A9" s="481" t="s">
        <v>571</v>
      </c>
      <c r="B9" s="482">
        <f>transport!B14</f>
        <v>17.819531059313796</v>
      </c>
      <c r="C9" s="482">
        <f>transport!C14</f>
        <v>0</v>
      </c>
      <c r="D9" s="482">
        <f>transport!D14</f>
        <v>45.391110584986492</v>
      </c>
      <c r="E9" s="482">
        <f>transport!E14</f>
        <v>350.59288807518737</v>
      </c>
      <c r="F9" s="482">
        <f>transport!F14</f>
        <v>0</v>
      </c>
      <c r="G9" s="482">
        <f>transport!G14</f>
        <v>101735.7798635737</v>
      </c>
      <c r="H9" s="482">
        <f>transport!H14</f>
        <v>17823.524955370831</v>
      </c>
      <c r="I9" s="482">
        <f>transport!I14</f>
        <v>0</v>
      </c>
      <c r="J9" s="482">
        <f>transport!J14</f>
        <v>0</v>
      </c>
      <c r="K9" s="482">
        <f>transport!K14</f>
        <v>0</v>
      </c>
      <c r="L9" s="482">
        <f>transport!L14</f>
        <v>0</v>
      </c>
      <c r="M9" s="482">
        <f>transport!M14</f>
        <v>6433.6237853263719</v>
      </c>
      <c r="N9" s="482">
        <f>transport!N14</f>
        <v>0</v>
      </c>
      <c r="O9" s="482">
        <f>transport!O14</f>
        <v>0</v>
      </c>
      <c r="P9" s="482">
        <f>transport!P14</f>
        <v>0</v>
      </c>
      <c r="Q9" s="481">
        <f>SUM(B9:P9)</f>
        <v>126406.73213399039</v>
      </c>
    </row>
    <row r="10" spans="1:17">
      <c r="A10" s="477" t="s">
        <v>561</v>
      </c>
      <c r="B10" s="478">
        <f>transport!B54</f>
        <v>0</v>
      </c>
      <c r="C10" s="478">
        <f>transport!C54</f>
        <v>0</v>
      </c>
      <c r="D10" s="478">
        <f>transport!D54</f>
        <v>0</v>
      </c>
      <c r="E10" s="478">
        <f>transport!E54</f>
        <v>0</v>
      </c>
      <c r="F10" s="478">
        <f>transport!F54</f>
        <v>0</v>
      </c>
      <c r="G10" s="478">
        <f>transport!G54</f>
        <v>406.61068330649005</v>
      </c>
      <c r="H10" s="478">
        <f>transport!H54</f>
        <v>0</v>
      </c>
      <c r="I10" s="478">
        <f>transport!I54</f>
        <v>0</v>
      </c>
      <c r="J10" s="478">
        <f>transport!J54</f>
        <v>0</v>
      </c>
      <c r="K10" s="478">
        <f>transport!K54</f>
        <v>0</v>
      </c>
      <c r="L10" s="478">
        <f>transport!L54</f>
        <v>0</v>
      </c>
      <c r="M10" s="478">
        <f>transport!M54</f>
        <v>23.187821934795839</v>
      </c>
      <c r="N10" s="478">
        <f>transport!N54</f>
        <v>0</v>
      </c>
      <c r="O10" s="478">
        <f>transport!O54</f>
        <v>0</v>
      </c>
      <c r="P10" s="479">
        <f>transport!P54</f>
        <v>0</v>
      </c>
      <c r="Q10" s="477">
        <f t="shared" si="0"/>
        <v>429.79850524128591</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1052.7629999999999</v>
      </c>
      <c r="C14" s="485"/>
      <c r="D14" s="485">
        <f>'SEAP template'!E25</f>
        <v>1088.5203459977902</v>
      </c>
      <c r="E14" s="485"/>
      <c r="F14" s="485"/>
      <c r="G14" s="485"/>
      <c r="H14" s="485"/>
      <c r="I14" s="485"/>
      <c r="J14" s="485"/>
      <c r="K14" s="485"/>
      <c r="L14" s="485"/>
      <c r="M14" s="485"/>
      <c r="N14" s="485"/>
      <c r="O14" s="485"/>
      <c r="P14" s="486"/>
      <c r="Q14" s="477">
        <f t="shared" si="0"/>
        <v>2141.2833459977901</v>
      </c>
    </row>
    <row r="15" spans="1:17" s="487" customFormat="1">
      <c r="A15" s="1051" t="s">
        <v>565</v>
      </c>
      <c r="B15" s="991">
        <f ca="1">SUM(B4:B14)</f>
        <v>30174.089242379152</v>
      </c>
      <c r="C15" s="991">
        <f t="shared" ref="C15:Q15" ca="1" si="1">SUM(C4:C14)</f>
        <v>1060.7142857142858</v>
      </c>
      <c r="D15" s="991">
        <f t="shared" ca="1" si="1"/>
        <v>55155.994394162844</v>
      </c>
      <c r="E15" s="991">
        <f t="shared" si="1"/>
        <v>1431.4632487497545</v>
      </c>
      <c r="F15" s="991">
        <f t="shared" ca="1" si="1"/>
        <v>28851.203759225064</v>
      </c>
      <c r="G15" s="991">
        <f t="shared" si="1"/>
        <v>102142.39054688018</v>
      </c>
      <c r="H15" s="991">
        <f t="shared" si="1"/>
        <v>17823.524955370831</v>
      </c>
      <c r="I15" s="991">
        <f t="shared" si="1"/>
        <v>0</v>
      </c>
      <c r="J15" s="991">
        <f t="shared" si="1"/>
        <v>1240.7527623866226</v>
      </c>
      <c r="K15" s="991">
        <f t="shared" si="1"/>
        <v>0</v>
      </c>
      <c r="L15" s="991">
        <f t="shared" ca="1" si="1"/>
        <v>0</v>
      </c>
      <c r="M15" s="991">
        <f t="shared" si="1"/>
        <v>6456.8116072611674</v>
      </c>
      <c r="N15" s="991">
        <f t="shared" ca="1" si="1"/>
        <v>8055.0211482683471</v>
      </c>
      <c r="O15" s="991">
        <f t="shared" si="1"/>
        <v>81.293333333333337</v>
      </c>
      <c r="P15" s="991">
        <f t="shared" si="1"/>
        <v>190.66666666666666</v>
      </c>
      <c r="Q15" s="991">
        <f t="shared" ca="1" si="1"/>
        <v>252663.92595039826</v>
      </c>
    </row>
    <row r="17" spans="1:17">
      <c r="A17" s="488" t="s">
        <v>566</v>
      </c>
      <c r="B17" s="787">
        <f ca="1">huishoudens!B10</f>
        <v>0.20368323487619047</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2419.0081327816297</v>
      </c>
      <c r="C22" s="478">
        <f t="shared" ref="C22:C32" ca="1" si="3">C4*$C$17</f>
        <v>0</v>
      </c>
      <c r="D22" s="478">
        <f t="shared" ref="D22:D32" si="4">D4*$D$17</f>
        <v>5417.2676583712537</v>
      </c>
      <c r="E22" s="478">
        <f t="shared" ref="E22:E32" si="5">E4*$E$17</f>
        <v>173.78783552193261</v>
      </c>
      <c r="F22" s="478">
        <f t="shared" ref="F22:F32" si="6">F4*$F$17</f>
        <v>2495.6168839830839</v>
      </c>
      <c r="G22" s="478">
        <f t="shared" ref="G22:G32" si="7">G4*$G$17</f>
        <v>0</v>
      </c>
      <c r="H22" s="478">
        <f t="shared" ref="H22:H32" si="8">H4*$H$17</f>
        <v>0</v>
      </c>
      <c r="I22" s="478">
        <f t="shared" ref="I22:I32" si="9">I4*$I$17</f>
        <v>0</v>
      </c>
      <c r="J22" s="478">
        <f t="shared" ref="J22:J32" si="10">J4*$J$17</f>
        <v>327.4790579788866</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10833.159568636785</v>
      </c>
    </row>
    <row r="23" spans="1:17">
      <c r="A23" s="477" t="s">
        <v>156</v>
      </c>
      <c r="B23" s="478">
        <f t="shared" ca="1" si="2"/>
        <v>791.62926932744801</v>
      </c>
      <c r="C23" s="478">
        <f t="shared" ca="1" si="3"/>
        <v>0</v>
      </c>
      <c r="D23" s="478">
        <f t="shared" ca="1" si="4"/>
        <v>1251.8620264803485</v>
      </c>
      <c r="E23" s="478">
        <f t="shared" si="5"/>
        <v>10.776345741639773</v>
      </c>
      <c r="F23" s="478">
        <f t="shared" ca="1" si="6"/>
        <v>152.57035585137939</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2206.8379974008158</v>
      </c>
    </row>
    <row r="24" spans="1:17">
      <c r="A24" s="477" t="s">
        <v>194</v>
      </c>
      <c r="B24" s="478">
        <f t="shared" ca="1" si="2"/>
        <v>73.328205071012206</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73.328205071012206</v>
      </c>
    </row>
    <row r="25" spans="1:17">
      <c r="A25" s="477" t="s">
        <v>112</v>
      </c>
      <c r="B25" s="478">
        <f t="shared" ca="1" si="2"/>
        <v>124.26035894624242</v>
      </c>
      <c r="C25" s="478">
        <f t="shared" ca="1" si="3"/>
        <v>0</v>
      </c>
      <c r="D25" s="478">
        <f t="shared" si="4"/>
        <v>35.233456994048908</v>
      </c>
      <c r="E25" s="478">
        <f t="shared" si="5"/>
        <v>1.2827073779245479</v>
      </c>
      <c r="F25" s="478">
        <f t="shared" si="6"/>
        <v>413.27740127505177</v>
      </c>
      <c r="G25" s="478">
        <f t="shared" si="7"/>
        <v>0</v>
      </c>
      <c r="H25" s="478">
        <f t="shared" si="8"/>
        <v>0</v>
      </c>
      <c r="I25" s="478">
        <f t="shared" si="9"/>
        <v>0</v>
      </c>
      <c r="J25" s="478">
        <f t="shared" si="10"/>
        <v>33.109631849881971</v>
      </c>
      <c r="K25" s="478">
        <f t="shared" si="11"/>
        <v>0</v>
      </c>
      <c r="L25" s="478">
        <f t="shared" si="12"/>
        <v>0</v>
      </c>
      <c r="M25" s="478">
        <f t="shared" si="13"/>
        <v>0</v>
      </c>
      <c r="N25" s="478">
        <f t="shared" si="14"/>
        <v>0</v>
      </c>
      <c r="O25" s="478">
        <f t="shared" si="15"/>
        <v>0</v>
      </c>
      <c r="P25" s="479">
        <f t="shared" si="16"/>
        <v>0</v>
      </c>
      <c r="Q25" s="477">
        <f t="shared" ca="1" si="17"/>
        <v>607.16355644314967</v>
      </c>
    </row>
    <row r="26" spans="1:17">
      <c r="A26" s="477" t="s">
        <v>650</v>
      </c>
      <c r="B26" s="478">
        <f t="shared" ca="1" si="2"/>
        <v>2519.6704270762116</v>
      </c>
      <c r="C26" s="478">
        <f t="shared" ca="1" si="3"/>
        <v>0</v>
      </c>
      <c r="D26" s="478">
        <f t="shared" si="4"/>
        <v>4208.0976115455223</v>
      </c>
      <c r="E26" s="478">
        <f t="shared" si="5"/>
        <v>59.510683231629784</v>
      </c>
      <c r="F26" s="478">
        <f t="shared" si="6"/>
        <v>4641.8067626035772</v>
      </c>
      <c r="G26" s="478">
        <f t="shared" si="7"/>
        <v>0</v>
      </c>
      <c r="H26" s="478">
        <f t="shared" si="8"/>
        <v>0</v>
      </c>
      <c r="I26" s="478">
        <f t="shared" si="9"/>
        <v>0</v>
      </c>
      <c r="J26" s="478">
        <f t="shared" si="10"/>
        <v>78.637788056095872</v>
      </c>
      <c r="K26" s="478">
        <f t="shared" si="11"/>
        <v>0</v>
      </c>
      <c r="L26" s="478">
        <f t="shared" si="12"/>
        <v>0</v>
      </c>
      <c r="M26" s="478">
        <f t="shared" si="13"/>
        <v>0</v>
      </c>
      <c r="N26" s="478">
        <f t="shared" si="14"/>
        <v>0</v>
      </c>
      <c r="O26" s="478">
        <f t="shared" si="15"/>
        <v>0</v>
      </c>
      <c r="P26" s="479">
        <f t="shared" si="16"/>
        <v>0</v>
      </c>
      <c r="Q26" s="477">
        <f t="shared" ca="1" si="17"/>
        <v>11507.723272513036</v>
      </c>
    </row>
    <row r="27" spans="1:17" s="483" customFormat="1">
      <c r="A27" s="481" t="s">
        <v>571</v>
      </c>
      <c r="B27" s="781">
        <f t="shared" ca="1" si="2"/>
        <v>3.629539730137783</v>
      </c>
      <c r="C27" s="482">
        <f t="shared" ca="1" si="3"/>
        <v>0</v>
      </c>
      <c r="D27" s="482">
        <f t="shared" si="4"/>
        <v>9.1690043381672712</v>
      </c>
      <c r="E27" s="482">
        <f t="shared" si="5"/>
        <v>79.58458559306753</v>
      </c>
      <c r="F27" s="482">
        <f t="shared" si="6"/>
        <v>0</v>
      </c>
      <c r="G27" s="482">
        <f t="shared" si="7"/>
        <v>27163.453223574179</v>
      </c>
      <c r="H27" s="482">
        <f t="shared" si="8"/>
        <v>4438.0577138873368</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31693.894067122888</v>
      </c>
    </row>
    <row r="28" spans="1:17">
      <c r="A28" s="477" t="s">
        <v>561</v>
      </c>
      <c r="B28" s="478">
        <f t="shared" ca="1" si="2"/>
        <v>0</v>
      </c>
      <c r="C28" s="478">
        <f t="shared" ca="1" si="3"/>
        <v>0</v>
      </c>
      <c r="D28" s="478">
        <f t="shared" si="4"/>
        <v>0</v>
      </c>
      <c r="E28" s="478">
        <f t="shared" si="5"/>
        <v>0</v>
      </c>
      <c r="F28" s="478">
        <f t="shared" si="6"/>
        <v>0</v>
      </c>
      <c r="G28" s="478">
        <f t="shared" si="7"/>
        <v>108.56505244283285</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108.56505244283285</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214.4301733979629</v>
      </c>
      <c r="C32" s="478">
        <f t="shared" ca="1" si="3"/>
        <v>0</v>
      </c>
      <c r="D32" s="478">
        <f t="shared" si="4"/>
        <v>219.88110989155362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434.3112832895165</v>
      </c>
    </row>
    <row r="33" spans="1:17" s="487" customFormat="1">
      <c r="A33" s="1051" t="s">
        <v>565</v>
      </c>
      <c r="B33" s="991">
        <f ca="1">SUM(B22:B32)</f>
        <v>6145.9561063306437</v>
      </c>
      <c r="C33" s="991">
        <f t="shared" ref="C33:Q33" ca="1" si="18">SUM(C22:C32)</f>
        <v>0</v>
      </c>
      <c r="D33" s="991">
        <f t="shared" ca="1" si="18"/>
        <v>11141.510867620895</v>
      </c>
      <c r="E33" s="991">
        <f t="shared" si="18"/>
        <v>324.9421574661942</v>
      </c>
      <c r="F33" s="991">
        <f t="shared" ca="1" si="18"/>
        <v>7703.2714037130918</v>
      </c>
      <c r="G33" s="991">
        <f t="shared" si="18"/>
        <v>27272.01827601701</v>
      </c>
      <c r="H33" s="991">
        <f t="shared" si="18"/>
        <v>4438.0577138873368</v>
      </c>
      <c r="I33" s="991">
        <f t="shared" si="18"/>
        <v>0</v>
      </c>
      <c r="J33" s="991">
        <f t="shared" si="18"/>
        <v>439.22647788486444</v>
      </c>
      <c r="K33" s="991">
        <f t="shared" si="18"/>
        <v>0</v>
      </c>
      <c r="L33" s="991">
        <f t="shared" ca="1" si="18"/>
        <v>0</v>
      </c>
      <c r="M33" s="991">
        <f t="shared" si="18"/>
        <v>0</v>
      </c>
      <c r="N33" s="991">
        <f t="shared" ca="1" si="18"/>
        <v>0</v>
      </c>
      <c r="O33" s="991">
        <f t="shared" si="18"/>
        <v>0</v>
      </c>
      <c r="P33" s="991">
        <f t="shared" si="18"/>
        <v>0</v>
      </c>
      <c r="Q33" s="991">
        <f t="shared" ca="1" si="18"/>
        <v>57464.983002920038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36.982062780269061</v>
      </c>
      <c r="C5" s="1068"/>
      <c r="D5" s="1068"/>
      <c r="E5" s="1068"/>
      <c r="F5" s="1068"/>
      <c r="G5" s="1068"/>
      <c r="H5" s="1068"/>
      <c r="I5" s="1068"/>
      <c r="J5" s="1068"/>
      <c r="K5" s="1068"/>
      <c r="L5" s="1068"/>
      <c r="M5" s="1068"/>
      <c r="N5" s="1068"/>
      <c r="O5" s="1068"/>
      <c r="P5" s="1069">
        <f>'SEAP template'!Q73</f>
        <v>0</v>
      </c>
    </row>
    <row r="6" spans="1:16">
      <c r="A6" s="1070" t="s">
        <v>251</v>
      </c>
      <c r="B6" s="1068">
        <f>'SEAP template'!B74</f>
        <v>1584.8510423561449</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742.5</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873.52941176470586</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2364.3331051364139</v>
      </c>
      <c r="C10" s="1072">
        <f>SUM(C4:C9)</f>
        <v>0</v>
      </c>
      <c r="D10" s="1072">
        <f t="shared" ref="D10:H10" si="0">SUM(D8:D9)</f>
        <v>0</v>
      </c>
      <c r="E10" s="1072">
        <f t="shared" si="0"/>
        <v>0</v>
      </c>
      <c r="F10" s="1072">
        <f t="shared" si="0"/>
        <v>0</v>
      </c>
      <c r="G10" s="1072">
        <f t="shared" si="0"/>
        <v>0</v>
      </c>
      <c r="H10" s="1072">
        <f t="shared" si="0"/>
        <v>0</v>
      </c>
      <c r="I10" s="1072">
        <f>SUM(I8:I9)</f>
        <v>0</v>
      </c>
      <c r="J10" s="1072">
        <f>SUM(J8:J9)</f>
        <v>873.52941176470586</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0.20368323487619047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1060.7142857142858</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1247.8991596638657</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1060.7142857142858</v>
      </c>
      <c r="C20" s="1072">
        <f>SUM(C17:C19)</f>
        <v>0</v>
      </c>
      <c r="D20" s="1072">
        <f t="shared" ref="D20:H20" si="2">SUM(D17:D19)</f>
        <v>0</v>
      </c>
      <c r="E20" s="1072">
        <f t="shared" si="2"/>
        <v>0</v>
      </c>
      <c r="F20" s="1072">
        <f t="shared" si="2"/>
        <v>0</v>
      </c>
      <c r="G20" s="1072">
        <f t="shared" si="2"/>
        <v>0</v>
      </c>
      <c r="H20" s="1072">
        <f t="shared" si="2"/>
        <v>0</v>
      </c>
      <c r="I20" s="1072">
        <f>SUM(I17:I19)</f>
        <v>0</v>
      </c>
      <c r="J20" s="1072">
        <f>SUM(J17:J19)</f>
        <v>1247.8991596638657</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0.20368323487619047</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1</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1.5633333333333335</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2019-08-12T08:07:58Z</dcterms:modified>
</cp:coreProperties>
</file>