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Q14" i="48" l="1"/>
  <c r="N78" i="14"/>
  <c r="N9" i="59"/>
  <c r="H90" i="14"/>
  <c r="H18" i="59"/>
  <c r="H20" s="1"/>
  <c r="D22" i="14"/>
  <c r="P28" i="48"/>
  <c r="O10" i="59"/>
  <c r="P29" i="48"/>
  <c r="M22" i="14"/>
  <c r="N10" i="59"/>
  <c r="G20"/>
  <c r="K20"/>
  <c r="C98" i="18"/>
  <c r="H101" s="1"/>
  <c r="D13" i="15"/>
  <c r="C16" i="16"/>
  <c r="P22" i="14"/>
  <c r="E20" i="59"/>
  <c r="L10" i="18"/>
  <c r="D20"/>
  <c r="C13" i="15"/>
  <c r="B16" i="16"/>
  <c r="L90" i="14"/>
  <c r="L18" i="59"/>
  <c r="L22" i="14"/>
  <c r="E10" i="59"/>
  <c r="L20"/>
  <c r="G77" i="14"/>
  <c r="G9" i="59" s="1"/>
  <c r="G10" s="1"/>
  <c r="I77" i="14"/>
  <c r="I9" i="59" s="1"/>
  <c r="L78" i="14"/>
  <c r="K10" i="59"/>
  <c r="D14" i="48"/>
  <c r="I9" i="18"/>
  <c r="F20"/>
  <c r="K78" i="14"/>
  <c r="B17" i="18"/>
  <c r="B20" s="1"/>
  <c r="M77" i="14"/>
  <c r="M9" i="59" s="1"/>
  <c r="H9" i="18"/>
  <c r="B13" i="15"/>
  <c r="B10" i="18"/>
  <c r="N13" i="15"/>
  <c r="L13"/>
  <c r="F77" i="14"/>
  <c r="F9" i="59" s="1"/>
  <c r="I101" i="18"/>
  <c r="H8" s="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N90" i="14"/>
  <c r="N18" i="59"/>
  <c r="N20" s="1"/>
  <c r="D101" i="18"/>
  <c r="G101"/>
  <c r="I8" s="1"/>
  <c r="I76" i="14" s="1"/>
  <c r="I8" i="59" s="1"/>
  <c r="I10" s="1"/>
  <c r="C101" i="18"/>
  <c r="O90" i="14"/>
  <c r="O18" i="59"/>
  <c r="O20" s="1"/>
  <c r="D10"/>
  <c r="E101" i="18"/>
  <c r="E8" s="1"/>
  <c r="Q77" i="14"/>
  <c r="P9" i="59" s="1"/>
  <c r="F101" i="18"/>
  <c r="C77" i="14"/>
  <c r="C9" i="59" s="1"/>
  <c r="J87" i="14"/>
  <c r="J20" i="18"/>
  <c r="H20"/>
  <c r="M87" i="14"/>
  <c r="F76"/>
  <c r="E10" i="18"/>
  <c r="C20"/>
  <c r="O17"/>
  <c r="O20" s="1"/>
  <c r="D87" i="14"/>
  <c r="D17" i="59" s="1"/>
  <c r="D20" s="1"/>
  <c r="H10" i="18"/>
  <c r="M76" i="14"/>
  <c r="B88"/>
  <c r="B18" i="59" s="1"/>
  <c r="I17" i="18"/>
  <c r="D76" i="14"/>
  <c r="D8" i="59" s="1"/>
  <c r="C10" i="18"/>
  <c r="J8"/>
  <c r="C88" i="14"/>
  <c r="C18" i="59" s="1"/>
  <c r="B77" i="14"/>
  <c r="B9" i="59" s="1"/>
  <c r="E20" i="18"/>
  <c r="F87" i="14"/>
  <c r="Q88"/>
  <c r="P18" i="59" s="1"/>
  <c r="H14" i="15"/>
  <c r="H16" s="1"/>
  <c r="G14"/>
  <c r="G16" s="1"/>
  <c r="J90" i="14" l="1"/>
  <c r="J17" i="59"/>
  <c r="J20" s="1"/>
  <c r="M78" i="14"/>
  <c r="M8" i="59"/>
  <c r="M10" s="1"/>
  <c r="M90" i="14"/>
  <c r="M17" i="59"/>
  <c r="M20" s="1"/>
  <c r="I10" i="18"/>
  <c r="H10" i="14"/>
  <c r="H16" s="1"/>
  <c r="G5" i="48"/>
  <c r="F78" i="14"/>
  <c r="F8" i="59"/>
  <c r="F10" s="1"/>
  <c r="I10" i="14"/>
  <c r="I16" s="1"/>
  <c r="H5" i="48"/>
  <c r="F90" i="14"/>
  <c r="F17" i="59"/>
  <c r="F20" s="1"/>
  <c r="O8" i="18"/>
  <c r="O10" s="1"/>
  <c r="Q76" i="14"/>
  <c r="D78"/>
  <c r="I78"/>
  <c r="B76"/>
  <c r="J10" i="18"/>
  <c r="J76" i="14"/>
  <c r="I87"/>
  <c r="I17" i="59" s="1"/>
  <c r="I20" s="1"/>
  <c r="I20" i="18"/>
  <c r="Q87" i="14"/>
  <c r="D90"/>
  <c r="C87"/>
  <c r="A31" i="23"/>
  <c r="A32"/>
  <c r="A33"/>
  <c r="Q78" i="14" l="1"/>
  <c r="B9" i="6" s="1"/>
  <c r="P8" i="59"/>
  <c r="P10" s="1"/>
  <c r="B78" i="14"/>
  <c r="B8" i="59"/>
  <c r="B10" s="1"/>
  <c r="J78" i="14"/>
  <c r="J8" i="59"/>
  <c r="J10" s="1"/>
  <c r="Q90" i="14"/>
  <c r="B17" i="6" s="1"/>
  <c r="P17" i="59"/>
  <c r="P20" s="1"/>
  <c r="C90" i="14"/>
  <c r="C17" i="59"/>
  <c r="C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N24" i="48" l="1"/>
  <c r="N32"/>
  <c r="N27"/>
  <c r="N31"/>
  <c r="N30"/>
  <c r="N28"/>
  <c r="N29"/>
  <c r="E28"/>
  <c r="E31"/>
  <c r="E32"/>
  <c r="E29"/>
  <c r="E24"/>
  <c r="E30"/>
  <c r="K28"/>
  <c r="K32"/>
  <c r="K24"/>
  <c r="K29"/>
  <c r="K26"/>
  <c r="K22"/>
  <c r="K25"/>
  <c r="K27"/>
  <c r="K30"/>
  <c r="K31"/>
  <c r="B7"/>
  <c r="C24" i="14"/>
  <c r="C26" s="1"/>
  <c r="Q11"/>
  <c r="P4" i="48"/>
  <c r="O4"/>
  <c r="P11" i="14"/>
  <c r="I32" i="48"/>
  <c r="I26"/>
  <c r="I25"/>
  <c r="I22"/>
  <c r="I31"/>
  <c r="I27"/>
  <c r="I29"/>
  <c r="I28"/>
  <c r="I24"/>
  <c r="I30"/>
  <c r="F30"/>
  <c r="F24"/>
  <c r="F32"/>
  <c r="F29"/>
  <c r="F31"/>
  <c r="F27"/>
  <c r="F28"/>
  <c r="B10"/>
  <c r="C19" i="14"/>
  <c r="J32" i="48"/>
  <c r="J29"/>
  <c r="J30"/>
  <c r="J27"/>
  <c r="J31"/>
  <c r="J24"/>
  <c r="J28"/>
  <c r="E11" i="14"/>
  <c r="D4" i="48"/>
  <c r="D22" s="1"/>
  <c r="H29"/>
  <c r="H25"/>
  <c r="H32"/>
  <c r="H26"/>
  <c r="H22"/>
  <c r="H30"/>
  <c r="H28"/>
  <c r="H24"/>
  <c r="H23"/>
  <c r="C4"/>
  <c r="D11" i="14"/>
  <c r="G24" i="48"/>
  <c r="G26"/>
  <c r="G29"/>
  <c r="G25"/>
  <c r="G32"/>
  <c r="G30"/>
  <c r="G22"/>
  <c r="G23"/>
  <c r="C11" i="14"/>
  <c r="B4" i="48"/>
  <c r="M26"/>
  <c r="M32"/>
  <c r="M25"/>
  <c r="M30"/>
  <c r="M22"/>
  <c r="M24"/>
  <c r="M29"/>
  <c r="M23"/>
  <c r="K5"/>
  <c r="L10" i="14"/>
  <c r="L16" s="1"/>
  <c r="L27" s="1"/>
  <c r="D31" i="48"/>
  <c r="D29"/>
  <c r="D30"/>
  <c r="D28"/>
  <c r="D24"/>
  <c r="D32"/>
  <c r="L32"/>
  <c r="L28"/>
  <c r="L27"/>
  <c r="L22"/>
  <c r="L30"/>
  <c r="L24"/>
  <c r="L31"/>
  <c r="L29"/>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I5" i="48"/>
  <c r="K23"/>
  <c r="K15"/>
  <c r="P22"/>
  <c r="J46" i="14"/>
  <c r="J61" s="1"/>
  <c r="K33" i="48"/>
  <c r="B9"/>
  <c r="C20" i="14"/>
  <c r="G13" i="48"/>
  <c r="H18" i="14"/>
  <c r="R18" s="1"/>
  <c r="I18"/>
  <c r="H13" i="48"/>
  <c r="H31" s="1"/>
  <c r="P22" i="16"/>
  <c r="Q43" i="14" s="1"/>
  <c r="P8" i="48"/>
  <c r="P26" s="1"/>
  <c r="Q13" i="14"/>
  <c r="Q16" s="1"/>
  <c r="Q27" s="1"/>
  <c r="Q63" s="1"/>
  <c r="F20"/>
  <c r="F22" s="1"/>
  <c r="E9" i="48"/>
  <c r="E27" s="1"/>
  <c r="O22"/>
  <c r="E20" i="14"/>
  <c r="E22" s="1"/>
  <c r="D9" i="48"/>
  <c r="D27" s="1"/>
  <c r="O5"/>
  <c r="O23" s="1"/>
  <c r="P10" i="14"/>
  <c r="K24"/>
  <c r="K26" s="1"/>
  <c r="J7" i="48"/>
  <c r="J25" s="1"/>
  <c r="L63" i="14"/>
  <c r="D10"/>
  <c r="G11"/>
  <c r="F4" i="48"/>
  <c r="F22" s="1"/>
  <c r="M12" i="22"/>
  <c r="M13" i="48"/>
  <c r="M31" s="1"/>
  <c r="N18"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E12" i="13"/>
  <c r="F41" i="14" s="1"/>
  <c r="E4" i="48"/>
  <c r="F11" i="14"/>
  <c r="G9" i="48"/>
  <c r="H20" i="14"/>
  <c r="N19"/>
  <c r="M10" i="48"/>
  <c r="M28" s="1"/>
  <c r="O22" i="16"/>
  <c r="P43" i="14" s="1"/>
  <c r="P46" s="1"/>
  <c r="P61" s="1"/>
  <c r="O8" i="48"/>
  <c r="O26" s="1"/>
  <c r="P13" i="14"/>
  <c r="J63"/>
  <c r="I23" i="48"/>
  <c r="I33" s="1"/>
  <c r="I15"/>
  <c r="K11" i="14"/>
  <c r="J4" i="48"/>
  <c r="G31"/>
  <c r="Q13"/>
  <c r="P16" i="14"/>
  <c r="P27" s="1"/>
  <c r="H19"/>
  <c r="R19" s="1"/>
  <c r="G10" i="48"/>
  <c r="F24" i="14"/>
  <c r="F26" s="1"/>
  <c r="E7" i="48"/>
  <c r="E25" s="1"/>
  <c r="O15"/>
  <c r="P33"/>
  <c r="M14" i="22"/>
  <c r="C22" i="14"/>
  <c r="O33" i="48"/>
  <c r="P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J5" i="48"/>
  <c r="J23" s="1"/>
  <c r="K10" i="14"/>
  <c r="F10"/>
  <c r="E5" i="48"/>
  <c r="E23" s="1"/>
  <c r="J22"/>
  <c r="H9"/>
  <c r="I20" i="14"/>
  <c r="N20"/>
  <c r="N22" s="1"/>
  <c r="N27" s="1"/>
  <c r="M9" i="48"/>
  <c r="E22"/>
  <c r="Q4"/>
  <c r="G28"/>
  <c r="Q10"/>
  <c r="R11" i="14"/>
  <c r="G27" i="48"/>
  <c r="G33" s="1"/>
  <c r="G15"/>
  <c r="P63" i="14"/>
  <c r="H22"/>
  <c r="H27" s="1"/>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H27" i="48" l="1"/>
  <c r="H33" s="1"/>
  <c r="H15"/>
  <c r="I22" i="14"/>
  <c r="I27" s="1"/>
  <c r="I63" s="1"/>
  <c r="R20"/>
  <c r="R22" s="1"/>
  <c r="M27" i="48"/>
  <c r="M33" s="1"/>
  <c r="M15"/>
  <c r="J22" i="16"/>
  <c r="K43" i="14" s="1"/>
  <c r="K13"/>
  <c r="K16" s="1"/>
  <c r="K27" s="1"/>
  <c r="J8" i="48"/>
  <c r="E8"/>
  <c r="F13" i="14"/>
  <c r="F16" s="1"/>
  <c r="F27" s="1"/>
  <c r="F46"/>
  <c r="F61" s="1"/>
  <c r="Q9" i="48"/>
  <c r="H63" i="14"/>
  <c r="K46"/>
  <c r="K61" s="1"/>
  <c r="O13"/>
  <c r="N8" i="48"/>
  <c r="N26" s="1"/>
  <c r="F8"/>
  <c r="G13" i="14"/>
  <c r="R13" l="1"/>
  <c r="J26" i="48"/>
  <c r="J33" s="1"/>
  <c r="J15"/>
  <c r="E26"/>
  <c r="E33" s="1"/>
  <c r="E15"/>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<sst xmlns="http://schemas.openxmlformats.org/spreadsheetml/2006/main" count="2428" uniqueCount="913">
  <si>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</si>
  <si>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</si>
  <si>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</si>
  <si>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</si>
  <si>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</si>
  <si>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</si>
  <si>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</si>
  <si>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</si>
  <si>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</si>
  <si>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</si>
  <si>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</si>
  <si>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</si>
  <si>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</si>
  <si>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</si>
  <si>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</si>
  <si>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</si>
  <si>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</si>
  <si>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</si>
  <si>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</si>
  <si>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</si>
  <si>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</si>
  <si>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</si>
  <si>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</si>
  <si>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</si>
  <si>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</si>
  <si>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</si>
  <si>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</si>
  <si>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</si>
  <si>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</si>
  <si>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</si>
  <si>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</si>
  <si>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</si>
  <si>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</si>
  <si>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</si>
  <si>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</si>
  <si>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</si>
  <si>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</si>
  <si>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</si>
  <si>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</si>
  <si>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</si>
  <si>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</si>
  <si>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</si>
  <si>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</si>
  <si>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</si>
  <si>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</si>
  <si>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</si>
  <si>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</si>
  <si>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</si>
  <si>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</si>
  <si>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</si>
  <si>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</si>
  <si>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</si>
  <si>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</si>
  <si>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</si>
  <si>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</si>
  <si>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</si>
  <si>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</si>
  <si>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</si>
  <si>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</si>
  <si>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</si>
  <si>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</si>
  <si>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</si>
  <si>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</si>
  <si>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</si>
  <si>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</si>
  <si>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</si>
  <si>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</si>
  <si>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</si>
  <si>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</si>
  <si>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</si>
  <si>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</si>
  <si>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</si>
  <si>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</si>
  <si>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</si>
  <si>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</si>
  <si>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</si>
  <si>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</si>
  <si>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</si>
  <si>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</si>
  <si>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</si>
  <si>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</si>
  <si>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</si>
  <si>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</si>
  <si>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</si>
  <si>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</si>
  <si>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</si>
  <si>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</si>
  <si>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</si>
  <si>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</si>
  <si>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</si>
  <si>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</si>
  <si>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</si>
  <si>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</si>
  <si>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</si>
  <si>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</si>
  <si>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</si>
  <si>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</si>
  <si>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</si>
  <si>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</si>
  <si>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</si>
  <si>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</si>
  <si>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</si>
  <si>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</si>
  <si>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</si>
  <si>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</si>
  <si>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</si>
  <si>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</si>
  <si>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</si>
  <si>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</si>
  <si>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</si>
  <si>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</si>
  <si>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</si>
  <si>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</si>
  <si>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</si>
  <si>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</si>
  <si>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</si>
  <si>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</si>
  <si>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</si>
  <si>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</si>
  <si>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</si>
  <si>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</si>
  <si>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</si>
  <si>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</si>
  <si>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</si>
  <si>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</si>
  <si>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</si>
  <si>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</si>
  <si>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</si>
  <si>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</si>
  <si>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</si>
  <si>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</si>
  <si>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</si>
  <si>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</si>
  <si>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</si>
  <si>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</si>
  <si>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</si>
  <si>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</si>
  <si>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</si>
  <si>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</si>
  <si>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</si>
  <si>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</si>
  <si>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</si>
  <si>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</si>
  <si>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</si>
  <si>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</si>
  <si>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</si>
  <si>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</si>
  <si>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</si>
  <si>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</si>
  <si>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</si>
  <si>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</si>
  <si>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</si>
  <si>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</si>
  <si>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</si>
  <si>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</si>
  <si>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</si>
  <si>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</si>
  <si>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</si>
  <si>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</si>
  <si>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</si>
  <si>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</si>
  <si>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</si>
  <si>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</si>
  <si>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</si>
  <si>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</si>
  <si>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</si>
  <si>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</si>
  <si>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</si>
  <si>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</si>
  <si>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</si>
  <si>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</si>
  <si>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</si>
  <si>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</si>
  <si>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</si>
  <si>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</si>
  <si>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</si>
  <si>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</si>
  <si>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</si>
  <si>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</si>
  <si>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</si>
  <si>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</si>
  <si>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</si>
  <si>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</si>
  <si>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</si>
  <si>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</si>
  <si>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</si>
  <si>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</si>
  <si>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</si>
  <si>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</si>
  <si>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</si>
  <si>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</si>
  <si>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</si>
  <si>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</si>
  <si>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</si>
  <si>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</si>
  <si>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</si>
  <si>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</si>
  <si>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</si>
  <si>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</si>
  <si>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</si>
  <si>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</si>
  <si>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</si>
  <si>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</si>
  <si>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</si>
  <si>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</si>
  <si>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</si>
  <si>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</si>
  <si>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</si>
  <si>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</si>
  <si>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</si>
  <si>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</si>
  <si>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</si>
  <si>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</si>
  <si>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</si>
  <si>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</si>
  <si>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</si>
  <si>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</si>
  <si>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</si>
  <si>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</si>
  <si>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</si>
  <si>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</si>
  <si>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</si>
  <si>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</si>
  <si>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</si>
  <si>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</si>
  <si>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</si>
  <si>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</si>
  <si>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</si>
  <si>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</si>
  <si>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</si>
  <si>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</si>
  <si>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</si>
  <si>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</si>
  <si>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</si>
  <si>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</si>
  <si>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</si>
  <si>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</si>
  <si>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</si>
  <si>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</si>
  <si>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</si>
  <si>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</si>
  <si>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</si>
  <si>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</si>
  <si>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</si>
  <si>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</si>
  <si>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</si>
  <si>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</si>
  <si>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</si>
  <si>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</si>
  <si>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</si>
  <si>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</si>
  <si>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</si>
  <si>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</si>
  <si>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</si>
  <si>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</si>
  <si>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</si>
  <si>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</si>
  <si>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</si>
  <si>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</si>
  <si>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</si>
  <si>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</si>
  <si>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</si>
  <si>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</si>
  <si>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</si>
  <si>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</si>
  <si>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</si>
  <si>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</si>
  <si>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</si>
  <si>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</si>
  <si>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</si>
  <si>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</si>
  <si>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</si>
  <si>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</si>
  <si>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</si>
  <si>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</si>
  <si>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</si>
  <si>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</si>
  <si>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</si>
  <si>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</si>
  <si>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</si>
  <si>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</si>
  <si>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</si>
  <si>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</si>
  <si>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</si>
  <si>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</si>
  <si>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</si>
  <si>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</si>
  <si>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</si>
  <si>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</si>
  <si>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</si>
  <si>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</si>
  <si>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</si>
  <si>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</si>
  <si>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</si>
  <si>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</si>
  <si>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</si>
  <si>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</si>
  <si>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</si>
  <si>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</si>
  <si>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</si>
  <si>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</si>
  <si>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</si>
  <si>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</si>
  <si>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</si>
  <si>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</si>
  <si>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</si>
  <si>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</si>
  <si>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</si>
  <si>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</si>
  <si>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</si>
  <si>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</si>
  <si>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</si>
  <si>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</si>
  <si>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</si>
  <si>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</si>
  <si>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</si>
  <si>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</si>
  <si>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</si>
  <si>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</si>
  <si>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</si>
  <si>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</si>
  <si>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</si>
  <si>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</si>
  <si>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</si>
  <si>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</si>
  <si>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</si>
  <si>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</si>
  <si>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</si>
  <si>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</si>
  <si>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</si>
  <si>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</si>
  <si>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</si>
  <si>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</si>
  <si>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</si>
  <si>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</si>
  <si>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</si>
  <si>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</si>
  <si>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</si>
  <si>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</si>
  <si>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</si>
  <si>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</si>
  <si>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</si>
  <si>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</si>
  <si>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</si>
  <si>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</si>
  <si>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</si>
  <si>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</si>
  <si>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</si>
  <si>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</si>
  <si>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</si>
  <si>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</si>
  <si>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</si>
  <si>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</si>
  <si>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</si>
  <si>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</si>
  <si>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</si>
  <si>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</si>
  <si>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</si>
  <si>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</si>
  <si>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</si>
  <si>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</si>
  <si>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</si>
  <si>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</si>
  <si>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</si>
  <si>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</si>
  <si>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</si>
  <si>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</si>
  <si>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</si>
  <si>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</si>
  <si>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</si>
  <si>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</si>
  <si>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</si>
  <si>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</si>
  <si>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</si>
  <si>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</si>
  <si>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</si>
  <si>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</si>
  <si>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</si>
  <si>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</si>
  <si>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</si>
  <si>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</si>
  <si>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</si>
  <si>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</si>
  <si>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</si>
  <si>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</si>
  <si>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</si>
  <si>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</si>
  <si>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</si>
  <si>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</si>
  <si>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</si>
  <si>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</si>
  <si>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</si>
  <si>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</si>
  <si>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</si>
  <si>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</si>
  <si>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</si>
  <si>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</si>
  <si>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</si>
  <si>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</si>
  <si>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</si>
  <si>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</si>
  <si>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</si>
  <si>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</si>
  <si>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</si>
  <si>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</si>
  <si>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</si>
  <si>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</si>
  <si>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</si>
  <si>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</si>
  <si>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</si>
  <si>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</si>
  <si>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</si>
  <si>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</si>
  <si>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</si>
  <si>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</si>
  <si>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</si>
  <si>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</si>
  <si>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</si>
  <si>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</si>
  <si>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</si>
  <si>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</si>
  <si>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</si>
  <si>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</si>
  <si>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</si>
  <si>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</si>
  <si>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</si>
  <si>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</si>
  <si>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</si>
  <si>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</si>
  <si>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</si>
  <si>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</si>
  <si>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</si>
  <si>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</si>
  <si>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</si>
  <si>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</si>
  <si>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</si>
  <si>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</si>
  <si>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</si>
  <si>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</si>
  <si>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</si>
  <si>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</si>
  <si>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</si>
  <si>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</si>
  <si>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</si>
  <si>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</si>
  <si>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</si>
  <si>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</si>
  <si>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</si>
  <si>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</si>
  <si>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</si>
  <si>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</si>
  <si>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</si>
  <si>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</si>
  <si>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</si>
  <si>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</si>
  <si>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</si>
  <si>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</si>
  <si>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</si>
  <si>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</si>
  <si>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</si>
  <si>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</si>
  <si>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</si>
  <si>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</si>
  <si>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</si>
  <si>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</si>
  <si>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</si>
  <si>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</si>
  <si>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</si>
  <si>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</si>
  <si>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</si>
  <si>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</si>
  <si>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</si>
  <si>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</si>
  <si>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</si>
  <si>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</si>
  <si>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</si>
  <si>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</si>
  <si>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</si>
  <si>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</si>
  <si>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</si>
  <si>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</si>
  <si>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</si>
  <si>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</si>
  <si>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</si>
  <si>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</si>
  <si>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</si>
  <si>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</si>
  <si>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</si>
  <si>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</si>
  <si>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</si>
  <si>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</si>
  <si>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</si>
  <si>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</si>
  <si>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</si>
  <si>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</si>
  <si>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</si>
  <si>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</si>
  <si>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</si>
  <si>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</si>
  <si>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</si>
  <si>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</si>
  <si>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</si>
  <si>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</si>
  <si>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</si>
  <si>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</si>
  <si>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</si>
  <si>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</si>
  <si>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</si>
  <si>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</si>
  <si>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</si>
  <si>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</si>
  <si>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</si>
  <si>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</si>
  <si>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</si>
  <si>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</si>
  <si>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</si>
  <si>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</si>
  <si>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</si>
  <si>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</si>
  <si>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</si>
  <si>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</si>
  <si>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</si>
  <si>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</si>
  <si>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</si>
  <si>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</si>
  <si>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</si>
  <si>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</si>
  <si>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</si>
  <si>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</si>
  <si>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</si>
  <si>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</si>
  <si>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</si>
  <si>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</si>
  <si>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</si>
  <si>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</si>
  <si>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</si>
  <si>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</si>
  <si>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</si>
  <si>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</si>
  <si>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</si>
  <si>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</si>
  <si>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</si>
  <si>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</si>
  <si>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</si>
  <si>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</si>
  <si>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</si>
  <si>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</si>
  <si>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</si>
  <si>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</si>
  <si>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</si>
  <si>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</si>
  <si>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</si>
  <si>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</si>
  <si>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</si>
  <si>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</si>
  <si>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</si>
  <si>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</si>
  <si>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</si>
  <si>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</si>
  <si>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</si>
  <si>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</si>
  <si>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</si>
  <si>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</si>
  <si>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</si>
  <si>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</si>
  <si>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</si>
  <si>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</si>
  <si>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</si>
  <si>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</si>
  <si>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</si>
  <si>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</si>
  <si>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</si>
  <si>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</si>
  <si>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</si>
  <si>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</si>
  <si>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</si>
  <si>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</si>
  <si>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</si>
  <si>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</si>
  <si>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</si>
  <si>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</si>
  <si>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</si>
  <si>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</si>
  <si>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</si>
  <si>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</si>
  <si>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</si>
  <si>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</si>
  <si>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</si>
  <si>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</si>
  <si>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</si>
  <si>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</si>
  <si>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</si>
  <si>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</si>
  <si>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</si>
  <si>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</si>
  <si>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</si>
  <si>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</si>
  <si>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</si>
  <si>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</si>
  <si>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</si>
  <si>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</si>
  <si>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</si>
  <si>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</si>
  <si>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</si>
  <si>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</si>
  <si>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</si>
  <si>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</si>
  <si>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</si>
  <si>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</si>
  <si>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</si>
  <si>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</si>
  <si>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</si>
  <si>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</si>
  <si>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</si>
  <si>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</si>
  <si>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</si>
  <si>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</si>
  <si>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</si>
  <si>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</si>
  <si>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</si>
  <si>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</si>
  <si>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</si>
  <si>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</si>
  <si>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</si>
  <si>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</si>
  <si>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</si>
  <si>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</si>
  <si>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</si>
  <si>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</si>
  <si>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</si>
  <si>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</si>
  <si>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</si>
  <si>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</si>
  <si>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</si>
  <si>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</si>
  <si>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</si>
  <si>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</si>
  <si>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</si>
  <si>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</si>
  <si>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</si>
  <si>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</si>
  <si>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</si>
  <si>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</si>
  <si>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</si>
  <si>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</si>
  <si>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</si>
  <si>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</si>
  <si>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</si>
  <si>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</si>
  <si>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</si>
  <si>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</si>
  <si>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</si>
  <si>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</si>
  <si>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</si>
  <si>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</si>
  <si>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</si>
  <si>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</si>
  <si>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</si>
  <si>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</si>
  <si>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</si>
  <si>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</si>
  <si>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</si>
  <si>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</si>
  <si>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</si>
  <si>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</si>
  <si>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</si>
  <si>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</si>
  <si>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</si>
  <si>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</si>
  <si>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</si>
  <si>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</si>
  <si>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</si>
  <si>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</si>
  <si>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</si>
  <si>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</si>
  <si>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</si>
  <si>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</si>
  <si>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</si>
  <si>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</si>
  <si>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</si>
  <si>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</si>
  <si>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</si>
  <si>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</si>
  <si>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</si>
  <si>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</si>
  <si>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</si>
  <si>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</si>
  <si>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</si>
  <si>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</si>
  <si>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</si>
  <si>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</si>
  <si>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</si>
  <si>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</si>
  <si>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</si>
  <si>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</si>
  <si>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</si>
  <si>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</si>
  <si>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</si>
  <si>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</si>
  <si>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</si>
  <si>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</si>
  <si>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</si>
  <si>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</si>
  <si>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</si>
  <si>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</si>
  <si>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</si>
  <si>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</si>
  <si>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</si>
  <si>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</si>
  <si>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</si>
  <si>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</si>
  <si>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</si>
  <si>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</si>
  <si>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</si>
  <si>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</si>
  <si>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</si>
  <si>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</si>
  <si>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</si>
  <si>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</si>
  <si>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</si>
  <si>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</si>
  <si>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</si>
  <si>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</si>
  <si>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</si>
  <si>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</si>
  <si>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</si>
  <si>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</si>
  <si>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</si>
  <si>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</si>
  <si>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</si>
  <si>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</si>
  <si>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</si>
  <si>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</si>
  <si>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</si>
  <si>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</si>
  <si>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</si>
  <si>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</si>
  <si>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</si>
  <si>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</si>
  <si>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</si>
  <si>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</si>
  <si>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</si>
  <si>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</si>
  <si>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</si>
  <si>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</si>
  <si>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</si>
  <si>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</si>
  <si>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</si>
  <si>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</si>
  <si>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</si>
  <si>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</si>
  <si>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</si>
  <si>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</si>
  <si>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</si>
  <si>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</si>
  <si>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</si>
  <si>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</si>
  <si>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</si>
  <si>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</si>
  <si>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</si>
  <si>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</si>
  <si>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</si>
  <si>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</si>
  <si>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</si>
  <si>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</si>
  <si>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</si>
  <si>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</si>
  <si>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</si>
  <si>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</si>
  <si>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</si>
  <si>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</si>
  <si>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</si>
  <si>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</si>
  <si>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</si>
  <si>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</si>
  <si>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</si>
  <si>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</si>
  <si>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</si>
  <si>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</si>
  <si>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</si>
  <si>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</si>
  <si>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</si>
  <si>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</si>
  <si>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</si>
  <si>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</si>
  <si>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</si>
  <si>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</si>
  <si>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</si>
  <si>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</si>
  <si>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</si>
  <si>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</si>
  <si>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</si>
  <si>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</si>
  <si>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</si>
  <si>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</si>
  <si>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</si>
  <si>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</si>
  <si>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</si>
  <si>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</si>
  <si>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</si>
  <si>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</si>
  <si>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</si>
  <si>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</si>
  <si>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</si>
  <si>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</si>
  <si>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</si>
  <si>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</si>
  <si>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</si>
  <si>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</si>
  <si>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</si>
  <si>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</si>
  <si>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</si>
  <si>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</si>
  <si>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</si>
  <si>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</si>
  <si>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</si>
  <si>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</si>
  <si>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</si>
  <si>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</si>
  <si>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</si>
  <si>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</si>
  <si>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</si>
  <si>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</si>
  <si>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</si>
  <si>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</si>
  <si>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</si>
  <si>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</si>
  <si>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</si>
  <si>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</si>
  <si>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</si>
  <si>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</si>
  <si>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</si>
  <si>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</si>
  <si>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</si>
  <si>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</si>
  <si>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</si>
  <si>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</si>
  <si>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</si>
  <si>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</si>
  <si>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</si>
  <si>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</si>
  <si>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</si>
  <si>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</si>
  <si>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</si>
  <si>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</si>
  <si>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</si>
  <si>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</si>
  <si>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</si>
  <si>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</si>
  <si>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</si>
  <si>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</si>
  <si>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</si>
  <si>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</si>
  <si>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</si>
  <si>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</si>
  <si>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</si>
  <si>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</si>
  <si>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</si>
  <si>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</si>
  <si>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</si>
  <si>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</si>
  <si>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</si>
  <si>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</si>
  <si>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</si>
  <si>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</si>
  <si>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</si>
  <si>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</si>
  <si>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</si>
  <si>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</si>
  <si>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</si>
  <si>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</si>
  <si>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</si>
  <si>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</si>
  <si>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</si>
  <si>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</si>
  <si>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</si>
  <si>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</si>
  <si>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</si>
  <si>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</si>
  <si>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</si>
  <si>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</si>
  <si>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</si>
  <si>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</si>
  <si>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</si>
  <si>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</si>
  <si>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</si>
  <si>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</si>
  <si>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</si>
  <si>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</si>
  <si>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</si>
  <si>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</si>
  <si>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</si>
  <si>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</si>
  <si>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</si>
  <si>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</si>
  <si>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</si>
  <si>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</si>
  <si>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</si>
  <si>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</si>
  <si>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23105</t>
  </si>
  <si>
    <t>AFFLIGEM</t>
  </si>
  <si>
    <t>Paarden&amp;pony's 200 - 600 kg</t>
  </si>
  <si>
    <t>Paarden&amp;pony's &lt; 200 kg</t>
  </si>
  <si>
    <t>referentietaak LNE (2017); Jaarverslag De Lijn (2014)</t>
  </si>
  <si>
    <t>op basis van VEA (maart 2018) en Inventaris Hernieuwbare Energiebronnen (juni 2018)</t>
  </si>
  <si>
    <t>VEA (maart 2016)</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</si>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</sst>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105189.25645915479</c:v>
                </c:pt>
                <c:pt idx="1">
                  <c:v>17093.638359581364</c:v>
                </c:pt>
                <c:pt idx="2">
                  <c:v>813.82</c:v>
                </c:pt>
                <c:pt idx="3">
                  <c:v>702.89610801006324</c:v>
                </c:pt>
                <c:pt idx="4">
                  <c:v>4484.8608926684437</c:v>
                </c:pt>
                <c:pt idx="5">
                  <c:v>212247.53142830177</c:v>
                </c:pt>
                <c:pt idx="6">
                  <c:v>1483.1501244630799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105189.25645915479</c:v>
                </c:pt>
                <c:pt idx="1">
                  <c:v>17093.638359581364</c:v>
                </c:pt>
                <c:pt idx="2">
                  <c:v>813.82</c:v>
                </c:pt>
                <c:pt idx="3">
                  <c:v>702.89610801006324</c:v>
                </c:pt>
                <c:pt idx="4">
                  <c:v>4484.8608926684437</c:v>
                </c:pt>
                <c:pt idx="5">
                  <c:v>212247.53142830177</c:v>
                </c:pt>
                <c:pt idx="6">
                  <c:v>1483.1501244630799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22912.397769493644</c:v>
                </c:pt>
                <c:pt idx="2">
                  <c:v>3465.0793508814186</c:v>
                </c:pt>
                <c:pt idx="3">
                  <c:v>167.79455157452583</c:v>
                </c:pt>
                <c:pt idx="4">
                  <c:v>176.3673840470901</c:v>
                </c:pt>
                <c:pt idx="5">
                  <c:v>898.2229726334665</c:v>
                </c:pt>
                <c:pt idx="6">
                  <c:v>53213.360596675222</c:v>
                </c:pt>
                <c:pt idx="7">
                  <c:v>374.63664735765843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54688"/>
      </c:barChart>
      <c:catAx>
        <c:axId val="182303744"/>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22912.397769493644</c:v>
                </c:pt>
                <c:pt idx="2">
                  <c:v>3465.0793508814186</c:v>
                </c:pt>
                <c:pt idx="3">
                  <c:v>167.79455157452583</c:v>
                </c:pt>
                <c:pt idx="4">
                  <c:v>176.3673840470901</c:v>
                </c:pt>
                <c:pt idx="5">
                  <c:v>898.2229726334665</c:v>
                </c:pt>
                <c:pt idx="6">
                  <c:v>53213.360596675222</c:v>
                </c:pt>
                <c:pt idx="7">
                  <c:v>374.63664735765843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23105</v>
      </c>
      <c r="B6" s="416"/>
      <c r="C6" s="417"/>
    </row>
    <row r="7" spans="1:7" s="414" customFormat="1" ht="15.75" customHeight="1">
      <c r="A7" s="418" t="str">
        <f>txtMunicipality</f>
        <v>AFFLIGEM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0.20618140568494978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0.20618140568494978</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5100</v>
      </c>
      <c r="C9" s="342">
        <v>5419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585</v>
      </c>
    </row>
    <row r="15" spans="1:6">
      <c r="A15" s="348" t="s">
        <v>184</v>
      </c>
      <c r="B15" s="334">
        <v>1</v>
      </c>
    </row>
    <row r="16" spans="1:6">
      <c r="A16" s="348" t="s">
        <v>6</v>
      </c>
      <c r="B16" s="334">
        <v>78</v>
      </c>
    </row>
    <row r="17" spans="1:6">
      <c r="A17" s="348" t="s">
        <v>7</v>
      </c>
      <c r="B17" s="334">
        <v>62</v>
      </c>
    </row>
    <row r="18" spans="1:6">
      <c r="A18" s="348" t="s">
        <v>8</v>
      </c>
      <c r="B18" s="334">
        <v>97</v>
      </c>
    </row>
    <row r="19" spans="1:6">
      <c r="A19" s="348" t="s">
        <v>9</v>
      </c>
      <c r="B19" s="334">
        <v>73</v>
      </c>
    </row>
    <row r="20" spans="1:6">
      <c r="A20" s="348" t="s">
        <v>10</v>
      </c>
      <c r="B20" s="334">
        <v>222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117</v>
      </c>
      <c r="C29" s="356"/>
      <c r="D29" s="356"/>
      <c r="E29" s="356"/>
      <c r="F29" s="356"/>
    </row>
    <row r="30" spans="1:6">
      <c r="A30" s="341" t="s">
        <v>902</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2179</v>
      </c>
      <c r="D39" s="334">
        <v>34106745.453189299</v>
      </c>
      <c r="E39" s="334">
        <v>4999</v>
      </c>
      <c r="F39" s="334">
        <v>23280147</v>
      </c>
    </row>
    <row r="40" spans="1:6">
      <c r="A40" s="348" t="s">
        <v>30</v>
      </c>
      <c r="B40" s="348" t="s">
        <v>29</v>
      </c>
      <c r="C40" s="334">
        <v>0</v>
      </c>
      <c r="D40" s="334">
        <v>0</v>
      </c>
      <c r="E40" s="334">
        <v>0</v>
      </c>
      <c r="F40" s="334">
        <v>0</v>
      </c>
    </row>
    <row r="41" spans="1:6">
      <c r="A41" s="348" t="s">
        <v>32</v>
      </c>
      <c r="B41" s="348" t="s">
        <v>33</v>
      </c>
      <c r="C41" s="334">
        <v>17</v>
      </c>
      <c r="D41" s="334">
        <v>304888.81350353197</v>
      </c>
      <c r="E41" s="334">
        <v>65</v>
      </c>
      <c r="F41" s="334">
        <v>378946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49609.79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754956.61904454499</v>
      </c>
      <c r="E48" s="334">
        <v>27</v>
      </c>
      <c r="F48" s="334">
        <v>887629.8</v>
      </c>
    </row>
    <row r="49" spans="1:6">
      <c r="A49" s="348" t="s">
        <v>32</v>
      </c>
      <c r="B49" s="348" t="s">
        <v>40</v>
      </c>
      <c r="C49" s="334">
        <v>0</v>
      </c>
      <c r="D49" s="334">
        <v>0</v>
      </c>
      <c r="E49" s="334">
        <v>0</v>
      </c>
      <c r="F49" s="334">
        <v>0</v>
      </c>
    </row>
    <row r="50" spans="1:6">
      <c r="A50" s="348" t="s">
        <v>32</v>
      </c>
      <c r="B50" s="348" t="s">
        <v>41</v>
      </c>
      <c r="C50" s="334">
        <v>4</v>
      </c>
      <c r="D50" s="334">
        <v>196152.282514661</v>
      </c>
      <c r="E50" s="334">
        <v>8</v>
      </c>
      <c r="F50" s="334">
        <v>311343.5</v>
      </c>
    </row>
    <row r="51" spans="1:6">
      <c r="A51" s="348" t="s">
        <v>42</v>
      </c>
      <c r="B51" s="348" t="s">
        <v>43</v>
      </c>
      <c r="C51" s="334">
        <v>0</v>
      </c>
      <c r="D51" s="334">
        <v>0</v>
      </c>
      <c r="E51" s="334">
        <v>20</v>
      </c>
      <c r="F51" s="334">
        <v>178485.8</v>
      </c>
    </row>
    <row r="52" spans="1:6">
      <c r="A52" s="348" t="s">
        <v>42</v>
      </c>
      <c r="B52" s="348" t="s">
        <v>29</v>
      </c>
      <c r="C52" s="334">
        <v>2</v>
      </c>
      <c r="D52" s="334">
        <v>47162.701348547598</v>
      </c>
      <c r="E52" s="334">
        <v>0</v>
      </c>
      <c r="F52" s="334">
        <v>0</v>
      </c>
    </row>
    <row r="53" spans="1:6">
      <c r="A53" s="348" t="s">
        <v>44</v>
      </c>
      <c r="B53" s="348" t="s">
        <v>45</v>
      </c>
      <c r="C53" s="334">
        <v>42</v>
      </c>
      <c r="D53" s="334">
        <v>927856.54433571897</v>
      </c>
      <c r="E53" s="334">
        <v>129</v>
      </c>
      <c r="F53" s="334">
        <v>708280.9</v>
      </c>
    </row>
    <row r="54" spans="1:6">
      <c r="A54" s="348" t="s">
        <v>46</v>
      </c>
      <c r="B54" s="348" t="s">
        <v>47</v>
      </c>
      <c r="C54" s="334">
        <v>0</v>
      </c>
      <c r="D54" s="334">
        <v>0</v>
      </c>
      <c r="E54" s="334">
        <v>1</v>
      </c>
      <c r="F54" s="334">
        <v>813820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1196461.40236722</v>
      </c>
      <c r="E57" s="334">
        <v>46</v>
      </c>
      <c r="F57" s="334">
        <v>467694.6</v>
      </c>
    </row>
    <row r="58" spans="1:6">
      <c r="A58" s="348" t="s">
        <v>49</v>
      </c>
      <c r="B58" s="348" t="s">
        <v>51</v>
      </c>
      <c r="C58" s="334">
        <v>6</v>
      </c>
      <c r="D58" s="334">
        <v>181574.87612004901</v>
      </c>
      <c r="E58" s="334">
        <v>29</v>
      </c>
      <c r="F58" s="334">
        <v>319925.40000000002</v>
      </c>
    </row>
    <row r="59" spans="1:6">
      <c r="A59" s="348" t="s">
        <v>49</v>
      </c>
      <c r="B59" s="348" t="s">
        <v>52</v>
      </c>
      <c r="C59" s="334">
        <v>28</v>
      </c>
      <c r="D59" s="334">
        <v>1070041.57325165</v>
      </c>
      <c r="E59" s="334">
        <v>97</v>
      </c>
      <c r="F59" s="334">
        <v>1951749</v>
      </c>
    </row>
    <row r="60" spans="1:6">
      <c r="A60" s="348" t="s">
        <v>49</v>
      </c>
      <c r="B60" s="348" t="s">
        <v>53</v>
      </c>
      <c r="C60" s="334">
        <v>29</v>
      </c>
      <c r="D60" s="334">
        <v>1655219.66137111</v>
      </c>
      <c r="E60" s="334">
        <v>58</v>
      </c>
      <c r="F60" s="334">
        <v>1689916</v>
      </c>
    </row>
    <row r="61" spans="1:6">
      <c r="A61" s="348" t="s">
        <v>49</v>
      </c>
      <c r="B61" s="348" t="s">
        <v>54</v>
      </c>
      <c r="C61" s="334">
        <v>40</v>
      </c>
      <c r="D61" s="334">
        <v>1352930.2754152201</v>
      </c>
      <c r="E61" s="334">
        <v>136</v>
      </c>
      <c r="F61" s="334">
        <v>1771819</v>
      </c>
    </row>
    <row r="62" spans="1:6">
      <c r="A62" s="348" t="s">
        <v>49</v>
      </c>
      <c r="B62" s="348" t="s">
        <v>55</v>
      </c>
      <c r="C62" s="334">
        <v>0</v>
      </c>
      <c r="D62" s="334">
        <v>0</v>
      </c>
      <c r="E62" s="334">
        <v>4</v>
      </c>
      <c r="F62" s="334">
        <v>62365</v>
      </c>
    </row>
    <row r="63" spans="1:6">
      <c r="A63" s="348" t="s">
        <v>49</v>
      </c>
      <c r="B63" s="348" t="s">
        <v>29</v>
      </c>
      <c r="C63" s="334">
        <v>76</v>
      </c>
      <c r="D63" s="334">
        <v>3359689.7577846101</v>
      </c>
      <c r="E63" s="334">
        <v>98</v>
      </c>
      <c r="F63" s="334">
        <v>1153506</v>
      </c>
    </row>
    <row r="64" spans="1:6">
      <c r="A64" s="348" t="s">
        <v>56</v>
      </c>
      <c r="B64" s="348" t="s">
        <v>57</v>
      </c>
      <c r="C64" s="334">
        <v>0</v>
      </c>
      <c r="D64" s="334">
        <v>0</v>
      </c>
      <c r="E64" s="334">
        <v>0</v>
      </c>
      <c r="F64" s="334">
        <v>0</v>
      </c>
    </row>
    <row r="65" spans="1:6">
      <c r="A65" s="348" t="s">
        <v>56</v>
      </c>
      <c r="B65" s="348" t="s">
        <v>29</v>
      </c>
      <c r="C65" s="334">
        <v>4</v>
      </c>
      <c r="D65" s="334">
        <v>91153.6106919296</v>
      </c>
      <c r="E65" s="334">
        <v>2</v>
      </c>
      <c r="F65" s="334">
        <v>9329.9159999999993</v>
      </c>
    </row>
    <row r="66" spans="1:6">
      <c r="A66" s="348" t="s">
        <v>56</v>
      </c>
      <c r="B66" s="348" t="s">
        <v>58</v>
      </c>
      <c r="C66" s="334">
        <v>0</v>
      </c>
      <c r="D66" s="334">
        <v>0</v>
      </c>
      <c r="E66" s="334">
        <v>7</v>
      </c>
      <c r="F66" s="334">
        <v>107238.1</v>
      </c>
    </row>
    <row r="67" spans="1:6">
      <c r="A67" s="355" t="s">
        <v>56</v>
      </c>
      <c r="B67" s="355" t="s">
        <v>59</v>
      </c>
      <c r="C67" s="334">
        <v>0</v>
      </c>
      <c r="D67" s="334">
        <v>0</v>
      </c>
      <c r="E67" s="334">
        <v>0</v>
      </c>
      <c r="F67" s="334">
        <v>0</v>
      </c>
    </row>
    <row r="68" spans="1:6">
      <c r="A68" s="341" t="s">
        <v>56</v>
      </c>
      <c r="B68" s="341" t="s">
        <v>60</v>
      </c>
      <c r="C68" s="334">
        <v>0</v>
      </c>
      <c r="D68" s="334">
        <v>0</v>
      </c>
      <c r="E68" s="334">
        <v>11</v>
      </c>
      <c r="F68" s="334">
        <v>164697.9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18500505</v>
      </c>
      <c r="E73" s="476">
        <v>18339792.048592631</v>
      </c>
    </row>
    <row r="74" spans="1:6">
      <c r="A74" s="348" t="s">
        <v>64</v>
      </c>
      <c r="B74" s="348" t="s">
        <v>714</v>
      </c>
      <c r="C74" s="1311" t="s">
        <v>716</v>
      </c>
      <c r="D74" s="476">
        <v>1155960.4386026652</v>
      </c>
      <c r="E74" s="476">
        <v>1007739.8099627545</v>
      </c>
    </row>
    <row r="75" spans="1:6">
      <c r="A75" s="348" t="s">
        <v>65</v>
      </c>
      <c r="B75" s="348" t="s">
        <v>713</v>
      </c>
      <c r="C75" s="1311" t="s">
        <v>717</v>
      </c>
      <c r="D75" s="476">
        <v>27343725</v>
      </c>
      <c r="E75" s="476">
        <v>27169650.319342714</v>
      </c>
    </row>
    <row r="76" spans="1:6">
      <c r="A76" s="348" t="s">
        <v>65</v>
      </c>
      <c r="B76" s="348" t="s">
        <v>714</v>
      </c>
      <c r="C76" s="1311" t="s">
        <v>718</v>
      </c>
      <c r="D76" s="476">
        <v>1347885.4386026652</v>
      </c>
      <c r="E76" s="476">
        <v>1196228.8016719392</v>
      </c>
    </row>
    <row r="77" spans="1:6">
      <c r="A77" s="348" t="s">
        <v>66</v>
      </c>
      <c r="B77" s="348" t="s">
        <v>713</v>
      </c>
      <c r="C77" s="1311" t="s">
        <v>719</v>
      </c>
      <c r="D77" s="476">
        <v>169063984</v>
      </c>
      <c r="E77" s="476">
        <v>184431049.90003797</v>
      </c>
    </row>
    <row r="78" spans="1:6">
      <c r="A78" s="341" t="s">
        <v>66</v>
      </c>
      <c r="B78" s="341" t="s">
        <v>714</v>
      </c>
      <c r="C78" s="341" t="s">
        <v>720</v>
      </c>
      <c r="D78" s="1307">
        <v>20982162</v>
      </c>
      <c r="E78" s="1307">
        <v>22517428.472850531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396333.12279466953</v>
      </c>
      <c r="C83" s="476">
        <v>393964.08598776179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2296.5929556323363</v>
      </c>
    </row>
    <row r="92" spans="1:6">
      <c r="A92" s="341" t="s">
        <v>69</v>
      </c>
      <c r="B92" s="342">
        <v>146.61654370381552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10</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2</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36391.784673073351</v>
      </c>
      <c r="C3" s="43" t="s">
        <v>170</v>
      </c>
      <c r="D3" s="43"/>
      <c r="E3" s="154"/>
      <c r="F3" s="43"/>
      <c r="G3" s="43"/>
      <c r="H3" s="43"/>
      <c r="I3" s="43"/>
      <c r="J3" s="43"/>
      <c r="K3" s="96"/>
    </row>
    <row r="4" spans="1:11">
      <c r="A4" s="384" t="s">
        <v>171</v>
      </c>
      <c r="B4" s="49">
        <f>IF(ISERROR('SEAP template'!B78+'SEAP template'!C78),0,'SEAP template'!B78+'SEAP template'!C78)</f>
        <v>2483.7094993361516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9.6247058823529414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0.20618140568494978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13.749579831932778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813.82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813.82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0.20618140568494978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167.79455157452583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23280.147000000001</v>
      </c>
      <c r="C5" s="17">
        <f>IF(ISERROR('Eigen informatie GS &amp; warmtenet'!B57),0,'Eigen informatie GS &amp; warmtenet'!B57)</f>
        <v>0</v>
      </c>
      <c r="D5" s="30">
        <f>(SUM(HH_hh_gas_kWh,HH_rest_gas_kWh)/1000)*0.902</f>
        <v>30764.284398776752</v>
      </c>
      <c r="E5" s="17">
        <f>B46*B57</f>
        <v>3089.7108856331047</v>
      </c>
      <c r="F5" s="17">
        <f>B51*B62</f>
        <v>40161.796827757789</v>
      </c>
      <c r="G5" s="18"/>
      <c r="H5" s="17"/>
      <c r="I5" s="17"/>
      <c r="J5" s="17">
        <f>B50*B61+C50*C61</f>
        <v>0</v>
      </c>
      <c r="K5" s="17"/>
      <c r="L5" s="17"/>
      <c r="M5" s="17"/>
      <c r="N5" s="17">
        <f>B48*B59+C48*C59</f>
        <v>4594.8977246881395</v>
      </c>
      <c r="O5" s="17">
        <f>B69*B70*B71</f>
        <v>143.82666666666668</v>
      </c>
      <c r="P5" s="17">
        <f>B77*B78*B79/1000-B77*B78*B79/1000/B80</f>
        <v>858</v>
      </c>
    </row>
    <row r="6" spans="1:16">
      <c r="A6" s="16" t="s">
        <v>631</v>
      </c>
      <c r="B6" s="789">
        <f>kWh_PV_kleiner_dan_10kW</f>
        <v>2296.5929556323363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25576.739955632336</v>
      </c>
      <c r="C8" s="21">
        <f>C5</f>
        <v>0</v>
      </c>
      <c r="D8" s="21">
        <f>D5</f>
        <v>30764.284398776752</v>
      </c>
      <c r="E8" s="21">
        <f>E5</f>
        <v>3089.7108856331047</v>
      </c>
      <c r="F8" s="21">
        <f>F5</f>
        <v>40161.796827757789</v>
      </c>
      <c r="G8" s="21"/>
      <c r="H8" s="21"/>
      <c r="I8" s="21"/>
      <c r="J8" s="21">
        <f>J5</f>
        <v>0</v>
      </c>
      <c r="K8" s="21"/>
      <c r="L8" s="21">
        <f>L5</f>
        <v>0</v>
      </c>
      <c r="M8" s="21">
        <f>M5</f>
        <v>0</v>
      </c>
      <c r="N8" s="21">
        <f>N5</f>
        <v>4594.8977246881395</v>
      </c>
      <c r="O8" s="21">
        <f>O5</f>
        <v>143.82666666666668</v>
      </c>
      <c r="P8" s="21">
        <f>P5</f>
        <v>858</v>
      </c>
    </row>
    <row r="9" spans="1:16">
      <c r="B9" s="19"/>
      <c r="C9" s="19"/>
      <c r="D9" s="258"/>
      <c r="E9" s="19"/>
      <c r="F9" s="19"/>
      <c r="G9" s="19"/>
      <c r="H9" s="19"/>
      <c r="I9" s="19"/>
      <c r="J9" s="19"/>
      <c r="K9" s="19"/>
      <c r="L9" s="19"/>
      <c r="M9" s="19"/>
      <c r="N9" s="19"/>
      <c r="O9" s="19"/>
      <c r="P9" s="19"/>
    </row>
    <row r="10" spans="1:16">
      <c r="A10" s="24" t="s">
        <v>214</v>
      </c>
      <c r="B10" s="25">
        <f ca="1">'EF ele_warmte'!B12</f>
        <v>0.20618140568494978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5273.4481968906948</v>
      </c>
      <c r="C12" s="23">
        <f ca="1">C10*C8</f>
        <v>0</v>
      </c>
      <c r="D12" s="23">
        <f>D8*D10</f>
        <v>6214.3854485529046</v>
      </c>
      <c r="E12" s="23">
        <f>E10*E8</f>
        <v>701.36437103871481</v>
      </c>
      <c r="F12" s="23">
        <f>F10*F8</f>
        <v>10723.199753011329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5100</v>
      </c>
      <c r="C28" s="36"/>
      <c r="D28" s="228"/>
    </row>
    <row r="29" spans="1:7" s="15" customFormat="1">
      <c r="A29" s="230" t="s">
        <v>741</v>
      </c>
      <c r="B29" s="37">
        <f>SUM(HH_hh_gas_aantal,HH_rest_gas_aantal)</f>
        <v>2179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2179</v>
      </c>
      <c r="C32" s="167">
        <f>IF(ISERROR(B32/SUM($B$32,$B$34,$B$35,$B$36,$B$38,$B$39)*100),0,B32/SUM($B$32,$B$34,$B$35,$B$36,$B$38,$B$39)*100)</f>
        <v>43.105835806132539</v>
      </c>
      <c r="D32" s="233"/>
      <c r="G32" s="15"/>
    </row>
    <row r="33" spans="1:7">
      <c r="A33" s="171" t="s">
        <v>72</v>
      </c>
      <c r="B33" s="34" t="s">
        <v>111</v>
      </c>
      <c r="C33" s="167"/>
      <c r="D33" s="233"/>
      <c r="G33" s="15"/>
    </row>
    <row r="34" spans="1:7">
      <c r="A34" s="171" t="s">
        <v>73</v>
      </c>
      <c r="B34" s="33">
        <f>IF((($B$28-$B$32-$B$39-$B$77-$B$38)*C20/100)&lt;0,0,($B$28-$B$32-$B$39-$B$77-$B$38)*C20/100)</f>
        <v>207.07830342577489</v>
      </c>
      <c r="C34" s="167">
        <f>IF(ISERROR(B34/SUM($B$32,$B$34,$B$35,$B$36,$B$38,$B$39)*100),0,B34/SUM($B$32,$B$34,$B$35,$B$36,$B$38,$B$39)*100)</f>
        <v>4.0965045188086036</v>
      </c>
      <c r="D34" s="233"/>
      <c r="G34" s="15"/>
    </row>
    <row r="35" spans="1:7">
      <c r="A35" s="171" t="s">
        <v>74</v>
      </c>
      <c r="B35" s="33">
        <f>IF((($B$28-$B$32-$B$39-$B$77-$B$38)*C21/100)&lt;0,0,($B$28-$B$32-$B$39-$B$77-$B$38)*C21/100)</f>
        <v>956.21451876019569</v>
      </c>
      <c r="C35" s="167">
        <f>IF(ISERROR(B35/SUM($B$32,$B$34,$B$35,$B$36,$B$38,$B$39)*100),0,B35/SUM($B$32,$B$34,$B$35,$B$36,$B$38,$B$39)*100)</f>
        <v>18.916212042733839</v>
      </c>
      <c r="D35" s="233"/>
      <c r="G35" s="15"/>
    </row>
    <row r="36" spans="1:7">
      <c r="A36" s="171" t="s">
        <v>75</v>
      </c>
      <c r="B36" s="33">
        <f>IF((($B$28-$B$32-$B$39-$B$77-$B$38)*C22/100)&lt;0,0,($B$28-$B$32-$B$39-$B$77-$B$38)*C22/100)</f>
        <v>81.20717781402935</v>
      </c>
      <c r="C36" s="167">
        <f>IF(ISERROR(B36/SUM($B$32,$B$34,$B$35,$B$36,$B$38,$B$39)*100),0,B36/SUM($B$32,$B$34,$B$35,$B$36,$B$38,$B$39)*100)</f>
        <v>1.6064723603170989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1631.5</v>
      </c>
      <c r="C39" s="167">
        <f>IF(ISERROR(B39/SUM($B$32,$B$34,$B$35,$B$36,$B$38,$B$39)*100),0,B39/SUM($B$32,$B$34,$B$35,$B$36,$B$38,$B$39)*100)</f>
        <v>32.274975272007907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2179</v>
      </c>
      <c r="C44" s="34" t="s">
        <v>111</v>
      </c>
      <c r="D44" s="174"/>
    </row>
    <row r="45" spans="1:7">
      <c r="A45" s="171" t="s">
        <v>72</v>
      </c>
      <c r="B45" s="33" t="str">
        <f t="shared" si="0"/>
        <v>-</v>
      </c>
      <c r="C45" s="34" t="s">
        <v>111</v>
      </c>
      <c r="D45" s="174"/>
    </row>
    <row r="46" spans="1:7">
      <c r="A46" s="171" t="s">
        <v>73</v>
      </c>
      <c r="B46" s="33">
        <f t="shared" si="0"/>
        <v>207.07830342577489</v>
      </c>
      <c r="C46" s="34" t="s">
        <v>111</v>
      </c>
      <c r="D46" s="174"/>
    </row>
    <row r="47" spans="1:7">
      <c r="A47" s="171" t="s">
        <v>74</v>
      </c>
      <c r="B47" s="33">
        <f t="shared" si="0"/>
        <v>956.21451876019569</v>
      </c>
      <c r="C47" s="34" t="s">
        <v>111</v>
      </c>
      <c r="D47" s="174"/>
    </row>
    <row r="48" spans="1:7">
      <c r="A48" s="171" t="s">
        <v>75</v>
      </c>
      <c r="B48" s="33">
        <f t="shared" si="0"/>
        <v>81.20717781402935</v>
      </c>
      <c r="C48" s="33">
        <f>B48*10</f>
        <v>812.07177814029353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1631.5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7416.9749999999995</v>
      </c>
      <c r="C5" s="17">
        <f>IF(ISERROR('Eigen informatie GS &amp; warmtenet'!B58),0,'Eigen informatie GS &amp; warmtenet'!B58)</f>
        <v>0</v>
      </c>
      <c r="D5" s="30">
        <f>SUM(D6:D12)</f>
        <v>7951.9576267714938</v>
      </c>
      <c r="E5" s="17">
        <f>SUM(E6:E12)</f>
        <v>109.36420784979107</v>
      </c>
      <c r="F5" s="17">
        <f>SUM(F6:F12)</f>
        <v>1146.0309461185623</v>
      </c>
      <c r="G5" s="18"/>
      <c r="H5" s="17"/>
      <c r="I5" s="17"/>
      <c r="J5" s="17">
        <f>SUM(J6:J12)</f>
        <v>0</v>
      </c>
      <c r="K5" s="17"/>
      <c r="L5" s="17"/>
      <c r="M5" s="17"/>
      <c r="N5" s="17">
        <f>SUM(N6:N12)</f>
        <v>464.47438836532706</v>
      </c>
      <c r="O5" s="17">
        <f>B38*B39*B40</f>
        <v>3.1266666666666669</v>
      </c>
      <c r="P5" s="17">
        <f>B46*B47*B48/1000-B46*B47*B48/1000/B49</f>
        <v>19.066666666666666</v>
      </c>
      <c r="R5" s="32"/>
    </row>
    <row r="6" spans="1:18">
      <c r="A6" s="32" t="s">
        <v>54</v>
      </c>
      <c r="B6" s="37">
        <f>B26</f>
        <v>1771.819</v>
      </c>
      <c r="C6" s="33"/>
      <c r="D6" s="37">
        <f>IF(ISERROR(TER_kantoor_gas_kWh/1000),0,TER_kantoor_gas_kWh/1000)*0.902</f>
        <v>1220.3431084245285</v>
      </c>
      <c r="E6" s="33">
        <f>$C$26*'E Balans VL '!I12/100/3.6*1000000</f>
        <v>5.1332196057080877</v>
      </c>
      <c r="F6" s="33">
        <f>$C$26*('E Balans VL '!L12+'E Balans VL '!N12)/100/3.6*1000000</f>
        <v>200.53087460086192</v>
      </c>
      <c r="G6" s="34"/>
      <c r="H6" s="33"/>
      <c r="I6" s="33"/>
      <c r="J6" s="33">
        <f>$C$26*('E Balans VL '!D12+'E Balans VL '!E12)/100/3.6*1000000</f>
        <v>0</v>
      </c>
      <c r="K6" s="33"/>
      <c r="L6" s="33"/>
      <c r="M6" s="33"/>
      <c r="N6" s="33">
        <f>$C$26*'E Balans VL '!Y12/100/3.6*1000000</f>
        <v>17.73460265547029</v>
      </c>
      <c r="O6" s="33"/>
      <c r="P6" s="33"/>
      <c r="R6" s="32"/>
    </row>
    <row r="7" spans="1:18">
      <c r="A7" s="32" t="s">
        <v>53</v>
      </c>
      <c r="B7" s="37">
        <f t="shared" ref="B7:B12" si="0">B27</f>
        <v>1689.9159999999999</v>
      </c>
      <c r="C7" s="33"/>
      <c r="D7" s="37">
        <f>IF(ISERROR(TER_horeca_gas_kWh/1000),0,TER_horeca_gas_kWh/1000)*0.902</f>
        <v>1493.0081345567414</v>
      </c>
      <c r="E7" s="33">
        <f>$C$27*'E Balans VL '!I9/100/3.6*1000000</f>
        <v>70.937952148011547</v>
      </c>
      <c r="F7" s="33">
        <f>$C$27*('E Balans VL '!L9+'E Balans VL '!N9)/100/3.6*1000000</f>
        <v>363.11310759148921</v>
      </c>
      <c r="G7" s="34"/>
      <c r="H7" s="33"/>
      <c r="I7" s="33"/>
      <c r="J7" s="33">
        <f>$C$27*('E Balans VL '!D9+'E Balans VL '!E9)/100/3.6*1000000</f>
        <v>0</v>
      </c>
      <c r="K7" s="33"/>
      <c r="L7" s="33"/>
      <c r="M7" s="33"/>
      <c r="N7" s="33">
        <f>$C$27*'E Balans VL '!Y9/100/3.6*1000000</f>
        <v>0.43547657434844295</v>
      </c>
      <c r="O7" s="33"/>
      <c r="P7" s="33"/>
      <c r="R7" s="32"/>
    </row>
    <row r="8" spans="1:18">
      <c r="A8" s="6" t="s">
        <v>52</v>
      </c>
      <c r="B8" s="37">
        <f t="shared" si="0"/>
        <v>1951.749</v>
      </c>
      <c r="C8" s="33"/>
      <c r="D8" s="37">
        <f>IF(ISERROR(TER_handel_gas_kWh/1000),0,TER_handel_gas_kWh/1000)*0.902</f>
        <v>965.17749907298821</v>
      </c>
      <c r="E8" s="33">
        <f>$C$28*'E Balans VL '!I13/100/3.6*1000000</f>
        <v>20.963408654516702</v>
      </c>
      <c r="F8" s="33">
        <f>$C$28*('E Balans VL '!L13+'E Balans VL '!N13)/100/3.6*1000000</f>
        <v>252.67002526098904</v>
      </c>
      <c r="G8" s="34"/>
      <c r="H8" s="33"/>
      <c r="I8" s="33"/>
      <c r="J8" s="33">
        <f>$C$28*('E Balans VL '!D13+'E Balans VL '!E13)/100/3.6*1000000</f>
        <v>0</v>
      </c>
      <c r="K8" s="33"/>
      <c r="L8" s="33"/>
      <c r="M8" s="33"/>
      <c r="N8" s="33">
        <f>$C$28*'E Balans VL '!Y13/100/3.6*1000000</f>
        <v>15.832694458129021</v>
      </c>
      <c r="O8" s="33"/>
      <c r="P8" s="33"/>
      <c r="R8" s="32"/>
    </row>
    <row r="9" spans="1:18">
      <c r="A9" s="32" t="s">
        <v>51</v>
      </c>
      <c r="B9" s="37">
        <f t="shared" si="0"/>
        <v>319.92540000000002</v>
      </c>
      <c r="C9" s="33"/>
      <c r="D9" s="37">
        <f>IF(ISERROR(TER_gezond_gas_kWh/1000),0,TER_gezond_gas_kWh/1000)*0.902</f>
        <v>163.7805382602842</v>
      </c>
      <c r="E9" s="33">
        <f>$C$29*'E Balans VL '!I10/100/3.6*1000000</f>
        <v>0.25468131062051103</v>
      </c>
      <c r="F9" s="33">
        <f>$C$29*('E Balans VL '!L10+'E Balans VL '!N10)/100/3.6*1000000</f>
        <v>38.891555708455968</v>
      </c>
      <c r="G9" s="34"/>
      <c r="H9" s="33"/>
      <c r="I9" s="33"/>
      <c r="J9" s="33">
        <f>$C$29*('E Balans VL '!D10+'E Balans VL '!E10)/100/3.6*1000000</f>
        <v>0</v>
      </c>
      <c r="K9" s="33"/>
      <c r="L9" s="33"/>
      <c r="M9" s="33"/>
      <c r="N9" s="33">
        <f>$C$29*'E Balans VL '!Y10/100/3.6*1000000</f>
        <v>2.5842726225342285</v>
      </c>
      <c r="O9" s="33"/>
      <c r="P9" s="33"/>
      <c r="R9" s="32"/>
    </row>
    <row r="10" spans="1:18">
      <c r="A10" s="32" t="s">
        <v>50</v>
      </c>
      <c r="B10" s="37">
        <f t="shared" si="0"/>
        <v>467.69459999999998</v>
      </c>
      <c r="C10" s="33"/>
      <c r="D10" s="37">
        <f>IF(ISERROR(TER_ander_gas_kWh/1000),0,TER_ander_gas_kWh/1000)*0.902</f>
        <v>1079.2081849352326</v>
      </c>
      <c r="E10" s="33">
        <f>$C$30*'E Balans VL '!I14/100/3.6*1000000</f>
        <v>1.602813963724816</v>
      </c>
      <c r="F10" s="33">
        <f>$C$30*('E Balans VL '!L14+'E Balans VL '!N14)/100/3.6*1000000</f>
        <v>104.46396877016319</v>
      </c>
      <c r="G10" s="34"/>
      <c r="H10" s="33"/>
      <c r="I10" s="33"/>
      <c r="J10" s="33">
        <f>$C$30*('E Balans VL '!D14+'E Balans VL '!E14)/100/3.6*1000000</f>
        <v>0</v>
      </c>
      <c r="K10" s="33"/>
      <c r="L10" s="33"/>
      <c r="M10" s="33"/>
      <c r="N10" s="33">
        <f>$C$30*'E Balans VL '!Y14/100/3.6*1000000</f>
        <v>329.44663120565713</v>
      </c>
      <c r="O10" s="33"/>
      <c r="P10" s="33"/>
      <c r="R10" s="32"/>
    </row>
    <row r="11" spans="1:18">
      <c r="A11" s="32" t="s">
        <v>55</v>
      </c>
      <c r="B11" s="37">
        <f t="shared" si="0"/>
        <v>62.365000000000002</v>
      </c>
      <c r="C11" s="33"/>
      <c r="D11" s="37">
        <f>IF(ISERROR(TER_onderwijs_gas_kWh/1000),0,TER_onderwijs_gas_kWh/1000)*0.902</f>
        <v>0</v>
      </c>
      <c r="E11" s="33">
        <f>$C$31*'E Balans VL '!I11/100/3.6*1000000</f>
        <v>4.3111003809160754E-2</v>
      </c>
      <c r="F11" s="33">
        <f>$C$31*('E Balans VL '!L11+'E Balans VL '!N11)/100/3.6*1000000</f>
        <v>16.325345419668679</v>
      </c>
      <c r="G11" s="34"/>
      <c r="H11" s="33"/>
      <c r="I11" s="33"/>
      <c r="J11" s="33">
        <f>$C$31*('E Balans VL '!D11+'E Balans VL '!E11)/100/3.6*1000000</f>
        <v>0</v>
      </c>
      <c r="K11" s="33"/>
      <c r="L11" s="33"/>
      <c r="M11" s="33"/>
      <c r="N11" s="33">
        <f>$C$31*'E Balans VL '!Y11/100/3.6*1000000</f>
        <v>6.2079045663667107E-2</v>
      </c>
      <c r="O11" s="33"/>
      <c r="P11" s="33"/>
      <c r="R11" s="32"/>
    </row>
    <row r="12" spans="1:18">
      <c r="A12" s="32" t="s">
        <v>260</v>
      </c>
      <c r="B12" s="37">
        <f t="shared" si="0"/>
        <v>1153.5060000000001</v>
      </c>
      <c r="C12" s="33"/>
      <c r="D12" s="37">
        <f>IF(ISERROR(TER_rest_gas_kWh/1000),0,TER_rest_gas_kWh/1000)*0.902</f>
        <v>3030.4401615217184</v>
      </c>
      <c r="E12" s="33">
        <f>$C$32*'E Balans VL '!I8/100/3.6*1000000</f>
        <v>10.42902116340025</v>
      </c>
      <c r="F12" s="33">
        <f>$C$32*('E Balans VL '!L8+'E Balans VL '!N8)/100/3.6*1000000</f>
        <v>170.03606876693422</v>
      </c>
      <c r="G12" s="34"/>
      <c r="H12" s="33"/>
      <c r="I12" s="33"/>
      <c r="J12" s="33">
        <f>$C$32*('E Balans VL '!D8+'E Balans VL '!E8)/100/3.6*1000000</f>
        <v>0</v>
      </c>
      <c r="K12" s="33"/>
      <c r="L12" s="33"/>
      <c r="M12" s="33"/>
      <c r="N12" s="33">
        <f>$C$32*'E Balans VL '!Y8/100/3.6*1000000</f>
        <v>98.378631803524272</v>
      </c>
      <c r="O12" s="33"/>
      <c r="P12" s="33"/>
      <c r="R12" s="32"/>
    </row>
    <row r="13" spans="1:18">
      <c r="A13" s="16" t="s">
        <v>494</v>
      </c>
      <c r="B13" s="247">
        <f ca="1">'lokale energieproductie'!N91+'lokale energieproductie'!N60</f>
        <v>40.5</v>
      </c>
      <c r="C13" s="247">
        <f ca="1">'lokale energieproductie'!O91+'lokale energieproductie'!O60</f>
        <v>57.857142857142861</v>
      </c>
      <c r="D13" s="310">
        <f ca="1">('lokale energieproductie'!P60+'lokale energieproductie'!P91)*(-1)</f>
        <v>-115.71428571428572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7457.4749999999995</v>
      </c>
      <c r="C16" s="21">
        <f t="shared" ca="1" si="1"/>
        <v>57.857142857142861</v>
      </c>
      <c r="D16" s="21">
        <f t="shared" ca="1" si="1"/>
        <v>7836.2433410572085</v>
      </c>
      <c r="E16" s="21">
        <f t="shared" si="1"/>
        <v>109.36420784979107</v>
      </c>
      <c r="F16" s="21">
        <f t="shared" ca="1" si="1"/>
        <v>1146.0309461185623</v>
      </c>
      <c r="G16" s="21">
        <f t="shared" si="1"/>
        <v>0</v>
      </c>
      <c r="H16" s="21">
        <f t="shared" si="1"/>
        <v>0</v>
      </c>
      <c r="I16" s="21">
        <f t="shared" si="1"/>
        <v>0</v>
      </c>
      <c r="J16" s="21">
        <f t="shared" si="1"/>
        <v>0</v>
      </c>
      <c r="K16" s="21">
        <f t="shared" si="1"/>
        <v>0</v>
      </c>
      <c r="L16" s="21">
        <f t="shared" ca="1" si="1"/>
        <v>0</v>
      </c>
      <c r="M16" s="21">
        <f t="shared" si="1"/>
        <v>0</v>
      </c>
      <c r="N16" s="21">
        <f t="shared" ca="1" si="1"/>
        <v>464.47438836532706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0.20618140568494978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1537.5926783603707</v>
      </c>
      <c r="C20" s="23">
        <f t="shared" ref="C20:P20" ca="1" si="2">C16*C18</f>
        <v>13.749579831932778</v>
      </c>
      <c r="D20" s="23">
        <f t="shared" ca="1" si="2"/>
        <v>1582.9211548935561</v>
      </c>
      <c r="E20" s="23">
        <f t="shared" si="2"/>
        <v>24.825675181902575</v>
      </c>
      <c r="F20" s="23">
        <f t="shared" ca="1" si="2"/>
        <v>305.99026261365617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1771.819</v>
      </c>
      <c r="C26" s="39">
        <f>IF(ISERROR(B26*3.6/1000000/'E Balans VL '!Z12*100),0,B26*3.6/1000000/'E Balans VL '!Z12*100)</f>
        <v>3.8920052762887923E-2</v>
      </c>
      <c r="D26" s="237" t="s">
        <v>692</v>
      </c>
      <c r="F26" s="6"/>
    </row>
    <row r="27" spans="1:18">
      <c r="A27" s="231" t="s">
        <v>53</v>
      </c>
      <c r="B27" s="33">
        <f>IF(ISERROR(TER_horeca_ele_kWh/1000),0,TER_horeca_ele_kWh/1000)</f>
        <v>1689.9159999999999</v>
      </c>
      <c r="C27" s="39">
        <f>IF(ISERROR(B27*3.6/1000000/'E Balans VL '!Z9*100),0,B27*3.6/1000000/'E Balans VL '!Z9*100)</f>
        <v>0.13580159588164895</v>
      </c>
      <c r="D27" s="237" t="s">
        <v>692</v>
      </c>
      <c r="F27" s="6"/>
    </row>
    <row r="28" spans="1:18">
      <c r="A28" s="171" t="s">
        <v>52</v>
      </c>
      <c r="B28" s="33">
        <f>IF(ISERROR(TER_handel_ele_kWh/1000),0,TER_handel_ele_kWh/1000)</f>
        <v>1951.749</v>
      </c>
      <c r="C28" s="39">
        <f>IF(ISERROR(B28*3.6/1000000/'E Balans VL '!Z13*100),0,B28*3.6/1000000/'E Balans VL '!Z13*100)</f>
        <v>5.7711854409519342E-2</v>
      </c>
      <c r="D28" s="237" t="s">
        <v>692</v>
      </c>
      <c r="F28" s="6"/>
    </row>
    <row r="29" spans="1:18">
      <c r="A29" s="231" t="s">
        <v>51</v>
      </c>
      <c r="B29" s="33">
        <f>IF(ISERROR(TER_gezond_ele_kWh/1000),0,TER_gezond_ele_kWh/1000)</f>
        <v>319.92540000000002</v>
      </c>
      <c r="C29" s="39">
        <f>IF(ISERROR(B29*3.6/1000000/'E Balans VL '!Z10*100),0,B29*3.6/1000000/'E Balans VL '!Z10*100)</f>
        <v>3.6047332834270425E-2</v>
      </c>
      <c r="D29" s="237" t="s">
        <v>692</v>
      </c>
      <c r="F29" s="6"/>
    </row>
    <row r="30" spans="1:18">
      <c r="A30" s="231" t="s">
        <v>50</v>
      </c>
      <c r="B30" s="33">
        <f>IF(ISERROR(TER_ander_ele_kWh/1000),0,TER_ander_ele_kWh/1000)</f>
        <v>467.69459999999998</v>
      </c>
      <c r="C30" s="39">
        <f>IF(ISERROR(B30*3.6/1000000/'E Balans VL '!Z14*100),0,B30*3.6/1000000/'E Balans VL '!Z14*100)</f>
        <v>3.5370943110194217E-2</v>
      </c>
      <c r="D30" s="237" t="s">
        <v>692</v>
      </c>
      <c r="F30" s="6"/>
    </row>
    <row r="31" spans="1:18">
      <c r="A31" s="231" t="s">
        <v>55</v>
      </c>
      <c r="B31" s="33">
        <f>IF(ISERROR(TER_onderwijs_ele_kWh/1000),0,TER_onderwijs_ele_kWh/1000)</f>
        <v>62.365000000000002</v>
      </c>
      <c r="C31" s="39">
        <f>IF(ISERROR(B31*3.6/1000000/'E Balans VL '!Z11*100),0,B31*3.6/1000000/'E Balans VL '!Z11*100)</f>
        <v>1.294552625867715E-2</v>
      </c>
      <c r="D31" s="237" t="s">
        <v>692</v>
      </c>
    </row>
    <row r="32" spans="1:18">
      <c r="A32" s="231" t="s">
        <v>260</v>
      </c>
      <c r="B32" s="33">
        <f>IF(ISERROR(TER_rest_ele_kWh/1000),0,TER_rest_ele_kWh/1000)</f>
        <v>1153.5060000000001</v>
      </c>
      <c r="C32" s="39">
        <f>IF(ISERROR(B32*3.6/1000000/'E Balans VL '!Z8*100),0,B32*3.6/1000000/'E Balans VL '!Z8*100)</f>
        <v>9.7176094654002274E-3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1627.52909</v>
      </c>
      <c r="C5" s="17">
        <f>IF(ISERROR('Eigen informatie GS &amp; warmtenet'!B59),0,'Eigen informatie GS &amp; warmtenet'!B59)</f>
        <v>0</v>
      </c>
      <c r="D5" s="30">
        <f>SUM(D6:D15)</f>
        <v>1132.9099389865896</v>
      </c>
      <c r="E5" s="17">
        <f>SUM(E6:E15)</f>
        <v>153.76663114836788</v>
      </c>
      <c r="F5" s="17">
        <f>SUM(F6:F15)</f>
        <v>1104.6734963251286</v>
      </c>
      <c r="G5" s="18"/>
      <c r="H5" s="17"/>
      <c r="I5" s="17"/>
      <c r="J5" s="17">
        <f>SUM(J6:J15)</f>
        <v>11.175368924687739</v>
      </c>
      <c r="K5" s="17"/>
      <c r="L5" s="17"/>
      <c r="M5" s="17"/>
      <c r="N5" s="17">
        <f>SUM(N6:N15)</f>
        <v>454.80636728366977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49.609790000000004</v>
      </c>
      <c r="C8" s="33"/>
      <c r="D8" s="37">
        <f>IF( ISERROR(IND_metaal_Gas_kWH/1000),0,IND_metaal_Gas_kWH/1000)*0.902</f>
        <v>0</v>
      </c>
      <c r="E8" s="33">
        <f>C30*'E Balans VL '!I18/100/3.6*1000000</f>
        <v>1.2415594131547918</v>
      </c>
      <c r="F8" s="33">
        <f>C30*'E Balans VL '!L18/100/3.6*1000000+C30*'E Balans VL '!N18/100/3.6*1000000</f>
        <v>15.54795495778643</v>
      </c>
      <c r="G8" s="34"/>
      <c r="H8" s="33"/>
      <c r="I8" s="33"/>
      <c r="J8" s="40">
        <f>C30*'E Balans VL '!D18/100/3.6*1000000+C30*'E Balans VL '!E18/100/3.6*1000000</f>
        <v>0</v>
      </c>
      <c r="K8" s="33"/>
      <c r="L8" s="33"/>
      <c r="M8" s="33"/>
      <c r="N8" s="33">
        <f>C30*'E Balans VL '!Y18/100/3.6*1000000</f>
        <v>1.2463266734320175</v>
      </c>
      <c r="O8" s="33"/>
      <c r="P8" s="33"/>
      <c r="R8" s="32"/>
    </row>
    <row r="9" spans="1:18">
      <c r="A9" s="6" t="s">
        <v>33</v>
      </c>
      <c r="B9" s="37">
        <f t="shared" si="0"/>
        <v>378.94600000000003</v>
      </c>
      <c r="C9" s="33"/>
      <c r="D9" s="37">
        <f>IF( ISERROR(IND_andere_gas_kWh/1000),0,IND_andere_gas_kWh/1000)*0.902</f>
        <v>275.00970978018586</v>
      </c>
      <c r="E9" s="33">
        <f>C31*'E Balans VL '!I19/100/3.6*1000000</f>
        <v>104.19460750874283</v>
      </c>
      <c r="F9" s="33">
        <f>C31*'E Balans VL '!L19/100/3.6*1000000+C31*'E Balans VL '!N19/100/3.6*1000000</f>
        <v>298.67538933845361</v>
      </c>
      <c r="G9" s="34"/>
      <c r="H9" s="33"/>
      <c r="I9" s="33"/>
      <c r="J9" s="40">
        <f>C31*'E Balans VL '!D19/100/3.6*1000000+C31*'E Balans VL '!E19/100/3.6*1000000</f>
        <v>0</v>
      </c>
      <c r="K9" s="33"/>
      <c r="L9" s="33"/>
      <c r="M9" s="33"/>
      <c r="N9" s="33">
        <f>C31*'E Balans VL '!Y19/100/3.6*1000000</f>
        <v>122.6748227005901</v>
      </c>
      <c r="O9" s="33"/>
      <c r="P9" s="33"/>
      <c r="R9" s="32"/>
    </row>
    <row r="10" spans="1:18">
      <c r="A10" s="6" t="s">
        <v>41</v>
      </c>
      <c r="B10" s="37">
        <f t="shared" si="0"/>
        <v>311.34350000000001</v>
      </c>
      <c r="C10" s="33"/>
      <c r="D10" s="37">
        <f>IF( ISERROR(IND_voed_gas_kWh/1000),0,IND_voed_gas_kWh/1000)*0.902</f>
        <v>176.92935882822422</v>
      </c>
      <c r="E10" s="33">
        <f>C32*'E Balans VL '!I20/100/3.6*1000000</f>
        <v>3.1739754623871517</v>
      </c>
      <c r="F10" s="33">
        <f>C32*'E Balans VL '!L20/100/3.6*1000000+C32*'E Balans VL '!N20/100/3.6*1000000</f>
        <v>588.12592423437889</v>
      </c>
      <c r="G10" s="34"/>
      <c r="H10" s="33"/>
      <c r="I10" s="33"/>
      <c r="J10" s="40">
        <f>C32*'E Balans VL '!D20/100/3.6*1000000+C32*'E Balans VL '!E20/100/3.6*1000000</f>
        <v>7.4514686755441524</v>
      </c>
      <c r="K10" s="33"/>
      <c r="L10" s="33"/>
      <c r="M10" s="33"/>
      <c r="N10" s="33">
        <f>C32*'E Balans VL '!Y20/100/3.6*1000000</f>
        <v>164.11388687362785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887.62980000000005</v>
      </c>
      <c r="C15" s="33"/>
      <c r="D15" s="37">
        <f>IF( ISERROR(IND_rest_gas_kWh/1000),0,IND_rest_gas_kWh/1000)*0.902</f>
        <v>680.9708703781796</v>
      </c>
      <c r="E15" s="33">
        <f>C37*'E Balans VL '!I15/100/3.6*1000000</f>
        <v>45.156488764083115</v>
      </c>
      <c r="F15" s="33">
        <f>C37*'E Balans VL '!L15/100/3.6*1000000+C37*'E Balans VL '!N15/100/3.6*1000000</f>
        <v>202.32422779450968</v>
      </c>
      <c r="G15" s="34"/>
      <c r="H15" s="33"/>
      <c r="I15" s="33"/>
      <c r="J15" s="40">
        <f>C37*'E Balans VL '!D15/100/3.6*1000000+C37*'E Balans VL '!E15/100/3.6*1000000</f>
        <v>3.7239002491435853</v>
      </c>
      <c r="K15" s="33"/>
      <c r="L15" s="33"/>
      <c r="M15" s="33"/>
      <c r="N15" s="33">
        <f>C37*'E Balans VL '!Y15/100/3.6*1000000</f>
        <v>166.77133103601983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1627.52909</v>
      </c>
      <c r="C18" s="21">
        <f>C5+C16</f>
        <v>0</v>
      </c>
      <c r="D18" s="21">
        <f>MAX((D5+D16),0)</f>
        <v>1132.9099389865896</v>
      </c>
      <c r="E18" s="21">
        <f>MAX((E5+E16),0)</f>
        <v>153.76663114836788</v>
      </c>
      <c r="F18" s="21">
        <f>MAX((F5+F16),0)</f>
        <v>1104.6734963251286</v>
      </c>
      <c r="G18" s="21"/>
      <c r="H18" s="21"/>
      <c r="I18" s="21"/>
      <c r="J18" s="21">
        <f>MAX((J5+J16),0)</f>
        <v>11.175368924687739</v>
      </c>
      <c r="K18" s="21"/>
      <c r="L18" s="21">
        <f>MAX((L5+L16),0)</f>
        <v>0</v>
      </c>
      <c r="M18" s="21"/>
      <c r="N18" s="21">
        <f>MAX((N5+N16),0)</f>
        <v>454.80636728366977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0.20618140568494978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335.56623556934716</v>
      </c>
      <c r="C22" s="23">
        <f ca="1">C18*C20</f>
        <v>0</v>
      </c>
      <c r="D22" s="23">
        <f>D18*D20</f>
        <v>228.84780767529111</v>
      </c>
      <c r="E22" s="23">
        <f>E18*E20</f>
        <v>34.905025270679509</v>
      </c>
      <c r="F22" s="23">
        <f>F18*F20</f>
        <v>294.94782351880934</v>
      </c>
      <c r="G22" s="23"/>
      <c r="H22" s="23"/>
      <c r="I22" s="23"/>
      <c r="J22" s="23">
        <f>J18*J20</f>
        <v>3.9560805993394594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49.609790000000004</v>
      </c>
      <c r="C30" s="39">
        <f>IF(ISERROR(B30*3.6/1000000/'E Balans VL '!Z18*100),0,B30*3.6/1000000/'E Balans VL '!Z18*100)</f>
        <v>6.9437173354841321E-3</v>
      </c>
      <c r="D30" s="237" t="s">
        <v>692</v>
      </c>
    </row>
    <row r="31" spans="1:18">
      <c r="A31" s="6" t="s">
        <v>33</v>
      </c>
      <c r="B31" s="37">
        <f>IF( ISERROR(IND_ander_ele_kWh/1000),0,IND_ander_ele_kWh/1000)</f>
        <v>378.94600000000003</v>
      </c>
      <c r="C31" s="39">
        <f>IF(ISERROR(B31*3.6/1000000/'E Balans VL '!Z19*100),0,B31*3.6/1000000/'E Balans VL '!Z19*100)</f>
        <v>1.6586404946224955E-2</v>
      </c>
      <c r="D31" s="237" t="s">
        <v>692</v>
      </c>
    </row>
    <row r="32" spans="1:18">
      <c r="A32" s="171" t="s">
        <v>41</v>
      </c>
      <c r="B32" s="37">
        <f>IF( ISERROR(IND_voed_ele_kWh/1000),0,IND_voed_ele_kWh/1000)</f>
        <v>311.34350000000001</v>
      </c>
      <c r="C32" s="39">
        <f>IF(ISERROR(B32*3.6/1000000/'E Balans VL '!Z20*100),0,B32*3.6/1000000/'E Balans VL '!Z20*100)</f>
        <v>7.7078311392351384E-2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887.62980000000005</v>
      </c>
      <c r="C37" s="39">
        <f>IF(ISERROR(B37*3.6/1000000/'E Balans VL '!Z15*100),0,B37*3.6/1000000/'E Balans VL '!Z15*100)</f>
        <v>6.5816229983474668E-3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178.48579999999998</v>
      </c>
      <c r="C5" s="17">
        <f>'Eigen informatie GS &amp; warmtenet'!B60</f>
        <v>0</v>
      </c>
      <c r="D5" s="30">
        <f>IF(ISERROR(SUM(LB_lb_gas_kWh,LB_rest_gas_kWh)/1000),0,SUM(LB_lb_gas_kWh,LB_rest_gas_kWh)/1000)*0.902</f>
        <v>42.540756616389935</v>
      </c>
      <c r="E5" s="17">
        <f>B17*'E Balans VL '!I25/3.6*1000000/100</f>
        <v>1.6532102363248216</v>
      </c>
      <c r="F5" s="17">
        <f>B17*('E Balans VL '!L25/3.6*1000000+'E Balans VL '!N25/3.6*1000000)/100</f>
        <v>452.85247611000688</v>
      </c>
      <c r="G5" s="18"/>
      <c r="H5" s="17"/>
      <c r="I5" s="17"/>
      <c r="J5" s="17">
        <f>('E Balans VL '!D25+'E Balans VL '!E25)/3.6*1000000*landbouw!B17/100</f>
        <v>27.363865047341569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178.48579999999998</v>
      </c>
      <c r="C8" s="21">
        <f>C5+C6</f>
        <v>0</v>
      </c>
      <c r="D8" s="21">
        <f>MAX((D5+D6),0)</f>
        <v>42.540756616389935</v>
      </c>
      <c r="E8" s="21">
        <f>MAX((E5+E6),0)</f>
        <v>1.6532102363248216</v>
      </c>
      <c r="F8" s="21">
        <f>MAX((F5+F6),0)</f>
        <v>452.85247611000688</v>
      </c>
      <c r="G8" s="21"/>
      <c r="H8" s="21"/>
      <c r="I8" s="21"/>
      <c r="J8" s="21">
        <f>MAX((J5+J6),0)</f>
        <v>27.363865047341569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0.20618140568494978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36.800453138802808</v>
      </c>
      <c r="C12" s="23">
        <f ca="1">C8*C10</f>
        <v>0</v>
      </c>
      <c r="D12" s="23">
        <f>D8*D10</f>
        <v>8.5932328365107669</v>
      </c>
      <c r="E12" s="23">
        <f>E8*E10</f>
        <v>0.3752787236457345</v>
      </c>
      <c r="F12" s="23">
        <f>F8*F10</f>
        <v>120.91161112137185</v>
      </c>
      <c r="G12" s="23"/>
      <c r="H12" s="23"/>
      <c r="I12" s="23"/>
      <c r="J12" s="23">
        <f>J8*J10</f>
        <v>9.6868082267589148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2.537689620688351E-2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36.365285285117949</v>
      </c>
      <c r="C26" s="247">
        <f>B26*'GWP N2O_CH4'!B5</f>
        <v>763.6709909874769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4.8989123390130036</v>
      </c>
      <c r="C27" s="247">
        <f>B27*'GWP N2O_CH4'!B5</f>
        <v>102.87715911927307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0.49627230047830329</v>
      </c>
      <c r="C28" s="247">
        <f>B28*'GWP N2O_CH4'!B4</f>
        <v>153.84441314827401</v>
      </c>
      <c r="D28" s="50"/>
    </row>
    <row r="29" spans="1:4">
      <c r="A29" s="41" t="s">
        <v>277</v>
      </c>
      <c r="B29" s="247">
        <f>B34*'ha_N2O bodem landbouw'!B4</f>
        <v>3.8725754813397861</v>
      </c>
      <c r="C29" s="247">
        <f>B29*'GWP N2O_CH4'!B4</f>
        <v>1200.4983992153336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8.6855045610034212E-4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1.0603413878768373E-4</v>
      </c>
      <c r="C5" s="464" t="s">
        <v>211</v>
      </c>
      <c r="D5" s="449">
        <f>SUM(D6:D11)</f>
        <v>2.7861604598794211E-4</v>
      </c>
      <c r="E5" s="449">
        <f>SUM(E6:E11)</f>
        <v>2.1115046349833516E-3</v>
      </c>
      <c r="F5" s="462" t="s">
        <v>211</v>
      </c>
      <c r="G5" s="449">
        <f>SUM(G6:G11)</f>
        <v>0.61388592038151646</v>
      </c>
      <c r="H5" s="449">
        <f>SUM(H6:H11)</f>
        <v>0.10884780379497699</v>
      </c>
      <c r="I5" s="464" t="s">
        <v>211</v>
      </c>
      <c r="J5" s="464" t="s">
        <v>211</v>
      </c>
      <c r="K5" s="464" t="s">
        <v>211</v>
      </c>
      <c r="L5" s="464" t="s">
        <v>211</v>
      </c>
      <c r="M5" s="449">
        <f>SUM(M6:M11)</f>
        <v>3.886123414563393E-2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9.1280136682548431E-6</v>
      </c>
      <c r="C6" s="450"/>
      <c r="D6" s="893">
        <f>vkm_2011_GW_PW*SUMIFS(TableVerdeelsleutelVkm[CNG],TableVerdeelsleutelVkm[Voertuigtype],"Lichte voertuigen")*SUMIFS(TableECFTransport[EnergieConsumptieFactor (PJ per km)],TableECFTransport[Index],CONCATENATE($A6,"_CNG_CNG"))</f>
        <v>2.1114100567348477E-5</v>
      </c>
      <c r="E6" s="893">
        <f>vkm_2011_GW_PW*SUMIFS(TableVerdeelsleutelVkm[LPG],TableVerdeelsleutelVkm[Voertuigtype],"Lichte voertuigen")*SUMIFS(TableECFTransport[EnergieConsumptieFactor (PJ per km)],TableECFTransport[Index],CONCATENATE($A6,"_LPG_LPG"))</f>
        <v>1.3748227244638947E-4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2.8560924969777784E-2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8.0507345198313988E-3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1.899955335164714E-3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1.078377514494335E-2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3.6878552570912031E-6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6.2390251734643822E-4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1.3491193648011319E-5</v>
      </c>
      <c r="C8" s="450"/>
      <c r="D8" s="452">
        <f>vkm_2011_NGW_PW*SUMIFS(TableVerdeelsleutelVkm[CNG],TableVerdeelsleutelVkm[Voertuigtype],"Lichte voertuigen")*SUMIFS(TableECFTransport[EnergieConsumptieFactor (PJ per km)],TableECFTransport[Index],CONCATENATE($A8,"_CNG_CNG"))</f>
        <v>5.519538416045816E-5</v>
      </c>
      <c r="E8" s="452">
        <f>vkm_2011_NGW_PW*SUMIFS(TableVerdeelsleutelVkm[LPG],TableVerdeelsleutelVkm[Voertuigtype],"Lichte voertuigen")*SUMIFS(TableECFTransport[EnergieConsumptieFactor (PJ per km)],TableECFTransport[Index],CONCATENATE($A8,"_LPG_LPG"))</f>
        <v>3.3168789518502647E-4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6.4413301974012266E-2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2.0349814612462502E-2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4.352472512233657E-3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1.6041390968941957E-2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5.1908072564436754E-6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9.2807631084867884E-4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8.3414931471417574E-5</v>
      </c>
      <c r="C10" s="450"/>
      <c r="D10" s="452">
        <f>vkm_2011_SW_PW*SUMIFS(TableVerdeelsleutelVkm[CNG],TableVerdeelsleutelVkm[Voertuigtype],"Lichte voertuigen")*SUMIFS(TableECFTransport[EnergieConsumptieFactor (PJ per km)],TableECFTransport[Index],CONCATENATE($A10,"_CNG_CNG"))</f>
        <v>2.0230656126013548E-4</v>
      </c>
      <c r="E10" s="452">
        <f>vkm_2011_SW_PW*SUMIFS(TableVerdeelsleutelVkm[LPG],TableVerdeelsleutelVkm[Voertuigtype],"Lichte voertuigen")*SUMIFS(TableECFTransport[EnergieConsumptieFactor (PJ per km)],TableECFTransport[Index],CONCATENATE($A10,"_LPG_LPG"))</f>
        <v>1.6423344673519359E-3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0.30716370089842021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8.0369483300317276E-2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2.0242129478061994E-2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0.18692282642542091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6.8892699852277697E-5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1.0814697991978451E-2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29.453927441023261</v>
      </c>
      <c r="C14" s="21"/>
      <c r="D14" s="21">
        <f t="shared" ref="D14:M14" si="0">((D5)*10^9/3600)+D12</f>
        <v>77.393346107761687</v>
      </c>
      <c r="E14" s="21">
        <f t="shared" si="0"/>
        <v>586.52906527315315</v>
      </c>
      <c r="F14" s="21"/>
      <c r="G14" s="21">
        <f t="shared" si="0"/>
        <v>170523.86677264347</v>
      </c>
      <c r="H14" s="21">
        <f t="shared" si="0"/>
        <v>30235.501054160275</v>
      </c>
      <c r="I14" s="21"/>
      <c r="J14" s="21"/>
      <c r="K14" s="21"/>
      <c r="L14" s="21"/>
      <c r="M14" s="21">
        <f t="shared" si="0"/>
        <v>10794.787262676091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0.20618140568494978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6.0728521627326915</v>
      </c>
      <c r="C18" s="23"/>
      <c r="D18" s="23">
        <f t="shared" ref="D18:M18" si="1">D14*D16</f>
        <v>15.633455913767861</v>
      </c>
      <c r="E18" s="23">
        <f t="shared" si="1"/>
        <v>133.14209781700578</v>
      </c>
      <c r="F18" s="23"/>
      <c r="G18" s="23">
        <f t="shared" si="1"/>
        <v>45529.872428295806</v>
      </c>
      <c r="H18" s="23">
        <f t="shared" si="1"/>
        <v>7528.6397624859082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5.0512806385302261E-3</v>
      </c>
      <c r="H50" s="321">
        <f t="shared" si="2"/>
        <v>0</v>
      </c>
      <c r="I50" s="321">
        <f t="shared" si="2"/>
        <v>0</v>
      </c>
      <c r="J50" s="321">
        <f t="shared" si="2"/>
        <v>0</v>
      </c>
      <c r="K50" s="321">
        <f t="shared" si="2"/>
        <v>0</v>
      </c>
      <c r="L50" s="321">
        <f t="shared" si="2"/>
        <v>0</v>
      </c>
      <c r="M50" s="321">
        <f t="shared" si="2"/>
        <v>2.8805980953686166E-4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5.0512806385302261E-3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2.8805980953686166E-4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1403.1335107028406</v>
      </c>
      <c r="H54" s="21">
        <f t="shared" si="3"/>
        <v>0</v>
      </c>
      <c r="I54" s="21">
        <f t="shared" si="3"/>
        <v>0</v>
      </c>
      <c r="J54" s="21">
        <f t="shared" si="3"/>
        <v>0</v>
      </c>
      <c r="K54" s="21">
        <f t="shared" si="3"/>
        <v>0</v>
      </c>
      <c r="L54" s="21">
        <f t="shared" si="3"/>
        <v>0</v>
      </c>
      <c r="M54" s="21">
        <f t="shared" si="3"/>
        <v>80.016613760239352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0.20618140568494978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374.63664735765843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8271.2950000000001</v>
      </c>
      <c r="D10" s="1025">
        <f ca="1">tertiair!C16</f>
        <v>57.857142857142861</v>
      </c>
      <c r="E10" s="1025">
        <f ca="1">tertiair!D16</f>
        <v>7836.2433410572085</v>
      </c>
      <c r="F10" s="1025">
        <f>tertiair!E16</f>
        <v>109.36420784979107</v>
      </c>
      <c r="G10" s="1025">
        <f ca="1">tertiair!F16</f>
        <v>1146.0309461185623</v>
      </c>
      <c r="H10" s="1025">
        <f>tertiair!G16</f>
        <v>0</v>
      </c>
      <c r="I10" s="1025">
        <f>tertiair!H16</f>
        <v>0</v>
      </c>
      <c r="J10" s="1025">
        <f>tertiair!I16</f>
        <v>0</v>
      </c>
      <c r="K10" s="1025">
        <f>tertiair!J16</f>
        <v>0</v>
      </c>
      <c r="L10" s="1025">
        <f>tertiair!K16</f>
        <v>0</v>
      </c>
      <c r="M10" s="1025">
        <f ca="1">tertiair!L16</f>
        <v>0</v>
      </c>
      <c r="N10" s="1025">
        <f>tertiair!M16</f>
        <v>0</v>
      </c>
      <c r="O10" s="1025">
        <f ca="1">tertiair!N16</f>
        <v>464.47438836532706</v>
      </c>
      <c r="P10" s="1025">
        <f>tertiair!O16</f>
        <v>3.1266666666666669</v>
      </c>
      <c r="Q10" s="1026">
        <f>tertiair!P16</f>
        <v>19.066666666666666</v>
      </c>
      <c r="R10" s="701">
        <f ca="1">SUM(C10:Q10)</f>
        <v>17907.458359581364</v>
      </c>
      <c r="S10" s="67"/>
    </row>
    <row r="11" spans="1:19" s="474" customFormat="1">
      <c r="A11" s="810" t="s">
        <v>225</v>
      </c>
      <c r="B11" s="815"/>
      <c r="C11" s="1025">
        <f>huishoudens!B8</f>
        <v>25576.739955632336</v>
      </c>
      <c r="D11" s="1025">
        <f>huishoudens!C8</f>
        <v>0</v>
      </c>
      <c r="E11" s="1025">
        <f>huishoudens!D8</f>
        <v>30764.284398776752</v>
      </c>
      <c r="F11" s="1025">
        <f>huishoudens!E8</f>
        <v>3089.7108856331047</v>
      </c>
      <c r="G11" s="1025">
        <f>huishoudens!F8</f>
        <v>40161.796827757789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4594.8977246881395</v>
      </c>
      <c r="P11" s="1025">
        <f>huishoudens!O8</f>
        <v>143.82666666666668</v>
      </c>
      <c r="Q11" s="1026">
        <f>huishoudens!P8</f>
        <v>858</v>
      </c>
      <c r="R11" s="701">
        <f>SUM(C11:Q11)</f>
        <v>105189.25645915479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1627.52909</v>
      </c>
      <c r="D13" s="1025">
        <f>industrie!C18</f>
        <v>0</v>
      </c>
      <c r="E13" s="1025">
        <f>industrie!D18</f>
        <v>1132.9099389865896</v>
      </c>
      <c r="F13" s="1025">
        <f>industrie!E18</f>
        <v>153.76663114836788</v>
      </c>
      <c r="G13" s="1025">
        <f>industrie!F18</f>
        <v>1104.6734963251286</v>
      </c>
      <c r="H13" s="1025">
        <f>industrie!G18</f>
        <v>0</v>
      </c>
      <c r="I13" s="1025">
        <f>industrie!H18</f>
        <v>0</v>
      </c>
      <c r="J13" s="1025">
        <f>industrie!I18</f>
        <v>0</v>
      </c>
      <c r="K13" s="1025">
        <f>industrie!J18</f>
        <v>11.175368924687739</v>
      </c>
      <c r="L13" s="1025">
        <f>industrie!K18</f>
        <v>0</v>
      </c>
      <c r="M13" s="1025">
        <f>industrie!L18</f>
        <v>0</v>
      </c>
      <c r="N13" s="1025">
        <f>industrie!M18</f>
        <v>0</v>
      </c>
      <c r="O13" s="1025">
        <f>industrie!N18</f>
        <v>454.80636728366977</v>
      </c>
      <c r="P13" s="1025">
        <f>industrie!O18</f>
        <v>0</v>
      </c>
      <c r="Q13" s="1026">
        <f>industrie!P18</f>
        <v>0</v>
      </c>
      <c r="R13" s="701">
        <f>SUM(C13:Q13)</f>
        <v>4484.8608926684437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35475.564045632331</v>
      </c>
      <c r="D16" s="733">
        <f t="shared" ref="D16:R16" ca="1" si="0">SUM(D9:D15)</f>
        <v>57.857142857142861</v>
      </c>
      <c r="E16" s="733">
        <f t="shared" ca="1" si="0"/>
        <v>39733.437678820548</v>
      </c>
      <c r="F16" s="733">
        <f t="shared" si="0"/>
        <v>3352.8417246312638</v>
      </c>
      <c r="G16" s="733">
        <f t="shared" ca="1" si="0"/>
        <v>42412.501270201479</v>
      </c>
      <c r="H16" s="733">
        <f t="shared" si="0"/>
        <v>0</v>
      </c>
      <c r="I16" s="733">
        <f t="shared" si="0"/>
        <v>0</v>
      </c>
      <c r="J16" s="733">
        <f t="shared" si="0"/>
        <v>0</v>
      </c>
      <c r="K16" s="733">
        <f t="shared" si="0"/>
        <v>11.175368924687739</v>
      </c>
      <c r="L16" s="733">
        <f t="shared" si="0"/>
        <v>0</v>
      </c>
      <c r="M16" s="733">
        <f t="shared" ca="1" si="0"/>
        <v>0</v>
      </c>
      <c r="N16" s="733">
        <f t="shared" si="0"/>
        <v>0</v>
      </c>
      <c r="O16" s="733">
        <f t="shared" ca="1" si="0"/>
        <v>5514.1784803371365</v>
      </c>
      <c r="P16" s="733">
        <f t="shared" si="0"/>
        <v>146.95333333333335</v>
      </c>
      <c r="Q16" s="733">
        <f t="shared" si="0"/>
        <v>877.06666666666672</v>
      </c>
      <c r="R16" s="733">
        <f t="shared" ca="1" si="0"/>
        <v>127581.57571140458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1403.1335107028406</v>
      </c>
      <c r="I19" s="1025">
        <f>transport!H54</f>
        <v>0</v>
      </c>
      <c r="J19" s="1025">
        <f>transport!I54</f>
        <v>0</v>
      </c>
      <c r="K19" s="1025">
        <f>transport!J54</f>
        <v>0</v>
      </c>
      <c r="L19" s="1025">
        <f>transport!K54</f>
        <v>0</v>
      </c>
      <c r="M19" s="1025">
        <f>transport!L54</f>
        <v>0</v>
      </c>
      <c r="N19" s="1025">
        <f>transport!M54</f>
        <v>80.016613760239352</v>
      </c>
      <c r="O19" s="1025">
        <f>transport!N54</f>
        <v>0</v>
      </c>
      <c r="P19" s="1025">
        <f>transport!O54</f>
        <v>0</v>
      </c>
      <c r="Q19" s="1026">
        <f>transport!P54</f>
        <v>0</v>
      </c>
      <c r="R19" s="701">
        <f>SUM(C19:Q19)</f>
        <v>1483.1501244630799</v>
      </c>
      <c r="S19" s="67"/>
    </row>
    <row r="20" spans="1:19" s="474" customFormat="1">
      <c r="A20" s="810" t="s">
        <v>307</v>
      </c>
      <c r="B20" s="815"/>
      <c r="C20" s="1025">
        <f>transport!B14</f>
        <v>29.453927441023261</v>
      </c>
      <c r="D20" s="1025">
        <f>transport!C14</f>
        <v>0</v>
      </c>
      <c r="E20" s="1025">
        <f>transport!D14</f>
        <v>77.393346107761687</v>
      </c>
      <c r="F20" s="1025">
        <f>transport!E14</f>
        <v>586.52906527315315</v>
      </c>
      <c r="G20" s="1025">
        <f>transport!F14</f>
        <v>0</v>
      </c>
      <c r="H20" s="1025">
        <f>transport!G14</f>
        <v>170523.86677264347</v>
      </c>
      <c r="I20" s="1025">
        <f>transport!H14</f>
        <v>30235.501054160275</v>
      </c>
      <c r="J20" s="1025">
        <f>transport!I14</f>
        <v>0</v>
      </c>
      <c r="K20" s="1025">
        <f>transport!J14</f>
        <v>0</v>
      </c>
      <c r="L20" s="1025">
        <f>transport!K14</f>
        <v>0</v>
      </c>
      <c r="M20" s="1025">
        <f>transport!L14</f>
        <v>0</v>
      </c>
      <c r="N20" s="1025">
        <f>transport!M14</f>
        <v>10794.787262676091</v>
      </c>
      <c r="O20" s="1025">
        <f>transport!N14</f>
        <v>0</v>
      </c>
      <c r="P20" s="1025">
        <f>transport!O14</f>
        <v>0</v>
      </c>
      <c r="Q20" s="1026">
        <f>transport!P14</f>
        <v>0</v>
      </c>
      <c r="R20" s="701">
        <f>SUM(C20:Q20)</f>
        <v>212247.53142830177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29.453927441023261</v>
      </c>
      <c r="D22" s="813">
        <f t="shared" ref="D22:R22" si="1">SUM(D18:D21)</f>
        <v>0</v>
      </c>
      <c r="E22" s="813">
        <f t="shared" si="1"/>
        <v>77.393346107761687</v>
      </c>
      <c r="F22" s="813">
        <f t="shared" si="1"/>
        <v>586.52906527315315</v>
      </c>
      <c r="G22" s="813">
        <f t="shared" si="1"/>
        <v>0</v>
      </c>
      <c r="H22" s="813">
        <f t="shared" si="1"/>
        <v>171927.00028334631</v>
      </c>
      <c r="I22" s="813">
        <f t="shared" si="1"/>
        <v>30235.501054160275</v>
      </c>
      <c r="J22" s="813">
        <f t="shared" si="1"/>
        <v>0</v>
      </c>
      <c r="K22" s="813">
        <f t="shared" si="1"/>
        <v>0</v>
      </c>
      <c r="L22" s="813">
        <f t="shared" si="1"/>
        <v>0</v>
      </c>
      <c r="M22" s="813">
        <f t="shared" si="1"/>
        <v>0</v>
      </c>
      <c r="N22" s="813">
        <f t="shared" si="1"/>
        <v>10874.80387643633</v>
      </c>
      <c r="O22" s="813">
        <f t="shared" si="1"/>
        <v>0</v>
      </c>
      <c r="P22" s="813">
        <f t="shared" si="1"/>
        <v>0</v>
      </c>
      <c r="Q22" s="813">
        <f t="shared" si="1"/>
        <v>0</v>
      </c>
      <c r="R22" s="813">
        <f t="shared" si="1"/>
        <v>213730.68155276484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178.48579999999998</v>
      </c>
      <c r="D24" s="1025">
        <f>+landbouw!C8</f>
        <v>0</v>
      </c>
      <c r="E24" s="1025">
        <f>+landbouw!D8</f>
        <v>42.540756616389935</v>
      </c>
      <c r="F24" s="1025">
        <f>+landbouw!E8</f>
        <v>1.6532102363248216</v>
      </c>
      <c r="G24" s="1025">
        <f>+landbouw!F8</f>
        <v>452.85247611000688</v>
      </c>
      <c r="H24" s="1025">
        <f>+landbouw!G8</f>
        <v>0</v>
      </c>
      <c r="I24" s="1025">
        <f>+landbouw!H8</f>
        <v>0</v>
      </c>
      <c r="J24" s="1025">
        <f>+landbouw!I8</f>
        <v>0</v>
      </c>
      <c r="K24" s="1025">
        <f>+landbouw!J8</f>
        <v>27.363865047341569</v>
      </c>
      <c r="L24" s="1025">
        <f>+landbouw!K8</f>
        <v>0</v>
      </c>
      <c r="M24" s="1025">
        <f>+landbouw!L8</f>
        <v>0</v>
      </c>
      <c r="N24" s="1025">
        <f>+landbouw!M8</f>
        <v>0</v>
      </c>
      <c r="O24" s="1025">
        <f>+landbouw!N8</f>
        <v>0</v>
      </c>
      <c r="P24" s="1025">
        <f>+landbouw!O8</f>
        <v>0</v>
      </c>
      <c r="Q24" s="1026">
        <f>+landbouw!P8</f>
        <v>0</v>
      </c>
      <c r="R24" s="701">
        <f>SUM(C24:Q24)</f>
        <v>702.89610801006324</v>
      </c>
      <c r="S24" s="67"/>
    </row>
    <row r="25" spans="1:19" s="474" customFormat="1" ht="15" thickBot="1">
      <c r="A25" s="832" t="s">
        <v>864</v>
      </c>
      <c r="B25" s="1028"/>
      <c r="C25" s="1029">
        <f>IF(Onbekend_ele_kWh="---",0,Onbekend_ele_kWh)/1000+IF(REST_rest_ele_kWh="---",0,REST_rest_ele_kWh)/1000</f>
        <v>708.28089999999997</v>
      </c>
      <c r="D25" s="1029"/>
      <c r="E25" s="1029">
        <f>IF(onbekend_gas_kWh="---",0,onbekend_gas_kWh)/1000+IF(REST_rest_gas_kWh="---",0,REST_rest_gas_kWh)/1000</f>
        <v>927.85654433571892</v>
      </c>
      <c r="F25" s="1029"/>
      <c r="G25" s="1029"/>
      <c r="H25" s="1029"/>
      <c r="I25" s="1029"/>
      <c r="J25" s="1029"/>
      <c r="K25" s="1029"/>
      <c r="L25" s="1029"/>
      <c r="M25" s="1029"/>
      <c r="N25" s="1029"/>
      <c r="O25" s="1029"/>
      <c r="P25" s="1029"/>
      <c r="Q25" s="1030"/>
      <c r="R25" s="701">
        <f>SUM(C25:Q25)</f>
        <v>1636.137444335719</v>
      </c>
      <c r="S25" s="67"/>
    </row>
    <row r="26" spans="1:19" s="474" customFormat="1" ht="15.75" thickBot="1">
      <c r="A26" s="706" t="s">
        <v>865</v>
      </c>
      <c r="B26" s="818"/>
      <c r="C26" s="813">
        <f>SUM(C24:C25)</f>
        <v>886.7666999999999</v>
      </c>
      <c r="D26" s="813">
        <f t="shared" ref="D26:R26" si="2">SUM(D24:D25)</f>
        <v>0</v>
      </c>
      <c r="E26" s="813">
        <f t="shared" si="2"/>
        <v>970.39730095210882</v>
      </c>
      <c r="F26" s="813">
        <f t="shared" si="2"/>
        <v>1.6532102363248216</v>
      </c>
      <c r="G26" s="813">
        <f t="shared" si="2"/>
        <v>452.85247611000688</v>
      </c>
      <c r="H26" s="813">
        <f t="shared" si="2"/>
        <v>0</v>
      </c>
      <c r="I26" s="813">
        <f t="shared" si="2"/>
        <v>0</v>
      </c>
      <c r="J26" s="813">
        <f t="shared" si="2"/>
        <v>0</v>
      </c>
      <c r="K26" s="813">
        <f t="shared" si="2"/>
        <v>27.363865047341569</v>
      </c>
      <c r="L26" s="813">
        <f t="shared" si="2"/>
        <v>0</v>
      </c>
      <c r="M26" s="813">
        <f t="shared" si="2"/>
        <v>0</v>
      </c>
      <c r="N26" s="813">
        <f t="shared" si="2"/>
        <v>0</v>
      </c>
      <c r="O26" s="813">
        <f t="shared" si="2"/>
        <v>0</v>
      </c>
      <c r="P26" s="813">
        <f t="shared" si="2"/>
        <v>0</v>
      </c>
      <c r="Q26" s="813">
        <f t="shared" si="2"/>
        <v>0</v>
      </c>
      <c r="R26" s="813">
        <f t="shared" si="2"/>
        <v>2339.0335523457825</v>
      </c>
      <c r="S26" s="67"/>
    </row>
    <row r="27" spans="1:19" s="474" customFormat="1" ht="17.25" thickTop="1" thickBot="1">
      <c r="A27" s="707" t="s">
        <v>116</v>
      </c>
      <c r="B27" s="806"/>
      <c r="C27" s="708">
        <f ca="1">C22+C16+C26</f>
        <v>36391.784673073351</v>
      </c>
      <c r="D27" s="708">
        <f t="shared" ref="D27:R27" ca="1" si="3">D22+D16+D26</f>
        <v>57.857142857142861</v>
      </c>
      <c r="E27" s="708">
        <f t="shared" ca="1" si="3"/>
        <v>40781.228325880416</v>
      </c>
      <c r="F27" s="708">
        <f t="shared" si="3"/>
        <v>3941.0240001407419</v>
      </c>
      <c r="G27" s="708">
        <f t="shared" ca="1" si="3"/>
        <v>42865.353746311484</v>
      </c>
      <c r="H27" s="708">
        <f t="shared" si="3"/>
        <v>171927.00028334631</v>
      </c>
      <c r="I27" s="708">
        <f t="shared" si="3"/>
        <v>30235.501054160275</v>
      </c>
      <c r="J27" s="708">
        <f t="shared" si="3"/>
        <v>0</v>
      </c>
      <c r="K27" s="708">
        <f t="shared" si="3"/>
        <v>38.539233972029308</v>
      </c>
      <c r="L27" s="708">
        <f t="shared" si="3"/>
        <v>0</v>
      </c>
      <c r="M27" s="708">
        <f t="shared" ca="1" si="3"/>
        <v>0</v>
      </c>
      <c r="N27" s="708">
        <f t="shared" si="3"/>
        <v>10874.80387643633</v>
      </c>
      <c r="O27" s="708">
        <f t="shared" ca="1" si="3"/>
        <v>5514.1784803371365</v>
      </c>
      <c r="P27" s="708">
        <f t="shared" si="3"/>
        <v>146.95333333333335</v>
      </c>
      <c r="Q27" s="708">
        <f t="shared" si="3"/>
        <v>877.06666666666672</v>
      </c>
      <c r="R27" s="708">
        <f t="shared" ca="1" si="3"/>
        <v>343651.29081651516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1705.3872299348964</v>
      </c>
      <c r="D40" s="1025">
        <f ca="1">tertiair!C20</f>
        <v>13.749579831932778</v>
      </c>
      <c r="E40" s="1025">
        <f ca="1">tertiair!D20</f>
        <v>1582.9211548935561</v>
      </c>
      <c r="F40" s="1025">
        <f>tertiair!E20</f>
        <v>24.825675181902575</v>
      </c>
      <c r="G40" s="1025">
        <f ca="1">tertiair!F20</f>
        <v>305.99026261365617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3632.8739024559445</v>
      </c>
    </row>
    <row r="41" spans="1:18">
      <c r="A41" s="823" t="s">
        <v>225</v>
      </c>
      <c r="B41" s="830"/>
      <c r="C41" s="1025">
        <f ca="1">huishoudens!B12</f>
        <v>5273.4481968906948</v>
      </c>
      <c r="D41" s="1025">
        <f ca="1">huishoudens!C12</f>
        <v>0</v>
      </c>
      <c r="E41" s="1025">
        <f>huishoudens!D12</f>
        <v>6214.3854485529046</v>
      </c>
      <c r="F41" s="1025">
        <f>huishoudens!E12</f>
        <v>701.36437103871481</v>
      </c>
      <c r="G41" s="1025">
        <f>huishoudens!F12</f>
        <v>10723.199753011329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22912.397769493644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335.56623556934716</v>
      </c>
      <c r="D43" s="1025">
        <f ca="1">industrie!C22</f>
        <v>0</v>
      </c>
      <c r="E43" s="1025">
        <f>industrie!D22</f>
        <v>228.84780767529111</v>
      </c>
      <c r="F43" s="1025">
        <f>industrie!E22</f>
        <v>34.905025270679509</v>
      </c>
      <c r="G43" s="1025">
        <f>industrie!F22</f>
        <v>294.94782351880934</v>
      </c>
      <c r="H43" s="1025">
        <f>industrie!G22</f>
        <v>0</v>
      </c>
      <c r="I43" s="1025">
        <f>industrie!H22</f>
        <v>0</v>
      </c>
      <c r="J43" s="1025">
        <f>industrie!I22</f>
        <v>0</v>
      </c>
      <c r="K43" s="1025">
        <f>industrie!J22</f>
        <v>3.9560805993394594</v>
      </c>
      <c r="L43" s="1025">
        <f>industrie!K22</f>
        <v>0</v>
      </c>
      <c r="M43" s="1025">
        <f>industrie!L22</f>
        <v>0</v>
      </c>
      <c r="N43" s="1025">
        <f>industrie!M22</f>
        <v>0</v>
      </c>
      <c r="O43" s="1025">
        <f>industrie!N22</f>
        <v>0</v>
      </c>
      <c r="P43" s="1025">
        <f>industrie!O22</f>
        <v>0</v>
      </c>
      <c r="Q43" s="775">
        <f>industrie!P22</f>
        <v>0</v>
      </c>
      <c r="R43" s="850">
        <f t="shared" ca="1" si="4"/>
        <v>898.2229726334665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7314.4016623949392</v>
      </c>
      <c r="D46" s="733">
        <f t="shared" ref="D46:Q46" ca="1" si="5">SUM(D39:D45)</f>
        <v>13.749579831932778</v>
      </c>
      <c r="E46" s="733">
        <f t="shared" ca="1" si="5"/>
        <v>8026.1544111217518</v>
      </c>
      <c r="F46" s="733">
        <f t="shared" si="5"/>
        <v>761.09507149129695</v>
      </c>
      <c r="G46" s="733">
        <f t="shared" ca="1" si="5"/>
        <v>11324.137839143794</v>
      </c>
      <c r="H46" s="733">
        <f t="shared" si="5"/>
        <v>0</v>
      </c>
      <c r="I46" s="733">
        <f t="shared" si="5"/>
        <v>0</v>
      </c>
      <c r="J46" s="733">
        <f t="shared" si="5"/>
        <v>0</v>
      </c>
      <c r="K46" s="733">
        <f t="shared" si="5"/>
        <v>3.9560805993394594</v>
      </c>
      <c r="L46" s="733">
        <f t="shared" si="5"/>
        <v>0</v>
      </c>
      <c r="M46" s="733">
        <f t="shared" ca="1" si="5"/>
        <v>0</v>
      </c>
      <c r="N46" s="733">
        <f t="shared" si="5"/>
        <v>0</v>
      </c>
      <c r="O46" s="733">
        <f t="shared" ca="1" si="5"/>
        <v>0</v>
      </c>
      <c r="P46" s="733">
        <f t="shared" si="5"/>
        <v>0</v>
      </c>
      <c r="Q46" s="733">
        <f t="shared" si="5"/>
        <v>0</v>
      </c>
      <c r="R46" s="733">
        <f ca="1">SUM(R39:R45)</f>
        <v>27443.494644583054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374.63664735765843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374.63664735765843</v>
      </c>
    </row>
    <row r="50" spans="1:18">
      <c r="A50" s="826" t="s">
        <v>307</v>
      </c>
      <c r="B50" s="836"/>
      <c r="C50" s="704">
        <f ca="1">transport!B18</f>
        <v>6.0728521627326915</v>
      </c>
      <c r="D50" s="704">
        <f>transport!C18</f>
        <v>0</v>
      </c>
      <c r="E50" s="704">
        <f>transport!D18</f>
        <v>15.633455913767861</v>
      </c>
      <c r="F50" s="704">
        <f>transport!E18</f>
        <v>133.14209781700578</v>
      </c>
      <c r="G50" s="704">
        <f>transport!F18</f>
        <v>0</v>
      </c>
      <c r="H50" s="704">
        <f>transport!G18</f>
        <v>45529.872428295806</v>
      </c>
      <c r="I50" s="704">
        <f>transport!H18</f>
        <v>7528.6397624859082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53213.360596675222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6.0728521627326915</v>
      </c>
      <c r="D52" s="733">
        <f t="shared" ref="D52:Q52" ca="1" si="6">SUM(D48:D51)</f>
        <v>0</v>
      </c>
      <c r="E52" s="733">
        <f t="shared" si="6"/>
        <v>15.633455913767861</v>
      </c>
      <c r="F52" s="733">
        <f t="shared" si="6"/>
        <v>133.14209781700578</v>
      </c>
      <c r="G52" s="733">
        <f t="shared" si="6"/>
        <v>0</v>
      </c>
      <c r="H52" s="733">
        <f t="shared" si="6"/>
        <v>45904.509075653463</v>
      </c>
      <c r="I52" s="733">
        <f t="shared" si="6"/>
        <v>7528.6397624859082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53587.997244032878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36.800453138802808</v>
      </c>
      <c r="D54" s="704">
        <f ca="1">+landbouw!C12</f>
        <v>0</v>
      </c>
      <c r="E54" s="704">
        <f>+landbouw!D12</f>
        <v>8.5932328365107669</v>
      </c>
      <c r="F54" s="704">
        <f>+landbouw!E12</f>
        <v>0.3752787236457345</v>
      </c>
      <c r="G54" s="704">
        <f>+landbouw!F12</f>
        <v>120.91161112137185</v>
      </c>
      <c r="H54" s="704">
        <f>+landbouw!G12</f>
        <v>0</v>
      </c>
      <c r="I54" s="704">
        <f>+landbouw!H12</f>
        <v>0</v>
      </c>
      <c r="J54" s="704">
        <f>+landbouw!I12</f>
        <v>0</v>
      </c>
      <c r="K54" s="704">
        <f>+landbouw!J12</f>
        <v>9.6868082267589148</v>
      </c>
      <c r="L54" s="704">
        <f>+landbouw!K12</f>
        <v>0</v>
      </c>
      <c r="M54" s="704">
        <f>+landbouw!L12</f>
        <v>0</v>
      </c>
      <c r="N54" s="704">
        <f>+landbouw!M12</f>
        <v>0</v>
      </c>
      <c r="O54" s="704">
        <f>+landbouw!N12</f>
        <v>0</v>
      </c>
      <c r="P54" s="704">
        <f>+landbouw!O12</f>
        <v>0</v>
      </c>
      <c r="Q54" s="705">
        <f>+landbouw!P12</f>
        <v>0</v>
      </c>
      <c r="R54" s="732">
        <f ca="1">SUM(C54:Q54)</f>
        <v>176.3673840470901</v>
      </c>
    </row>
    <row r="55" spans="1:18" ht="15" thickBot="1">
      <c r="A55" s="826" t="s">
        <v>864</v>
      </c>
      <c r="B55" s="836"/>
      <c r="C55" s="704">
        <f ca="1">C25*'EF ele_warmte'!B12</f>
        <v>146.03435158180133</v>
      </c>
      <c r="D55" s="704"/>
      <c r="E55" s="704">
        <f>E25*EF_CO2_aardgas</f>
        <v>187.42702195581523</v>
      </c>
      <c r="F55" s="704"/>
      <c r="G55" s="704"/>
      <c r="H55" s="704"/>
      <c r="I55" s="704"/>
      <c r="J55" s="704"/>
      <c r="K55" s="704"/>
      <c r="L55" s="704"/>
      <c r="M55" s="704"/>
      <c r="N55" s="704"/>
      <c r="O55" s="704"/>
      <c r="P55" s="704"/>
      <c r="Q55" s="705"/>
      <c r="R55" s="732">
        <f ca="1">SUM(C55:Q55)</f>
        <v>333.46137353761657</v>
      </c>
    </row>
    <row r="56" spans="1:18" ht="15.75" thickBot="1">
      <c r="A56" s="824" t="s">
        <v>865</v>
      </c>
      <c r="B56" s="837"/>
      <c r="C56" s="733">
        <f ca="1">SUM(C54:C55)</f>
        <v>182.83480472060415</v>
      </c>
      <c r="D56" s="733">
        <f t="shared" ref="D56:Q56" ca="1" si="7">SUM(D54:D55)</f>
        <v>0</v>
      </c>
      <c r="E56" s="733">
        <f t="shared" si="7"/>
        <v>196.020254792326</v>
      </c>
      <c r="F56" s="733">
        <f t="shared" si="7"/>
        <v>0.3752787236457345</v>
      </c>
      <c r="G56" s="733">
        <f t="shared" si="7"/>
        <v>120.91161112137185</v>
      </c>
      <c r="H56" s="733">
        <f t="shared" si="7"/>
        <v>0</v>
      </c>
      <c r="I56" s="733">
        <f t="shared" si="7"/>
        <v>0</v>
      </c>
      <c r="J56" s="733">
        <f t="shared" si="7"/>
        <v>0</v>
      </c>
      <c r="K56" s="733">
        <f t="shared" si="7"/>
        <v>9.6868082267589148</v>
      </c>
      <c r="L56" s="733">
        <f t="shared" si="7"/>
        <v>0</v>
      </c>
      <c r="M56" s="733">
        <f t="shared" si="7"/>
        <v>0</v>
      </c>
      <c r="N56" s="733">
        <f t="shared" si="7"/>
        <v>0</v>
      </c>
      <c r="O56" s="733">
        <f t="shared" si="7"/>
        <v>0</v>
      </c>
      <c r="P56" s="733">
        <f t="shared" si="7"/>
        <v>0</v>
      </c>
      <c r="Q56" s="734">
        <f t="shared" si="7"/>
        <v>0</v>
      </c>
      <c r="R56" s="735">
        <f ca="1">SUM(R54:R55)</f>
        <v>509.82875758470664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7503.3093192782762</v>
      </c>
      <c r="D61" s="741">
        <f t="shared" ref="D61:Q61" ca="1" si="8">D46+D52+D56</f>
        <v>13.749579831932778</v>
      </c>
      <c r="E61" s="741">
        <f t="shared" ca="1" si="8"/>
        <v>8237.8081218278458</v>
      </c>
      <c r="F61" s="741">
        <f t="shared" si="8"/>
        <v>894.61244803194847</v>
      </c>
      <c r="G61" s="741">
        <f t="shared" ca="1" si="8"/>
        <v>11445.049450265165</v>
      </c>
      <c r="H61" s="741">
        <f t="shared" si="8"/>
        <v>45904.509075653463</v>
      </c>
      <c r="I61" s="741">
        <f t="shared" si="8"/>
        <v>7528.6397624859082</v>
      </c>
      <c r="J61" s="741">
        <f t="shared" si="8"/>
        <v>0</v>
      </c>
      <c r="K61" s="741">
        <f t="shared" si="8"/>
        <v>13.642888826098375</v>
      </c>
      <c r="L61" s="741">
        <f t="shared" si="8"/>
        <v>0</v>
      </c>
      <c r="M61" s="741">
        <f t="shared" ca="1" si="8"/>
        <v>0</v>
      </c>
      <c r="N61" s="741">
        <f t="shared" si="8"/>
        <v>0</v>
      </c>
      <c r="O61" s="741">
        <f t="shared" ca="1" si="8"/>
        <v>0</v>
      </c>
      <c r="P61" s="741">
        <f t="shared" si="8"/>
        <v>0</v>
      </c>
      <c r="Q61" s="741">
        <f t="shared" si="8"/>
        <v>0</v>
      </c>
      <c r="R61" s="741">
        <f ca="1">R46+R52+R56</f>
        <v>81541.320646200635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0.20618140568494983</v>
      </c>
      <c r="D63" s="782">
        <f t="shared" ca="1" si="9"/>
        <v>0.23764705882352946</v>
      </c>
      <c r="E63" s="1036">
        <f t="shared" ca="1" si="9"/>
        <v>0.20200000000000004</v>
      </c>
      <c r="F63" s="782">
        <f t="shared" si="9"/>
        <v>0.22700000000000001</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2443.2094993361516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40.5</v>
      </c>
      <c r="D76" s="1046">
        <f>'lokale energieproductie'!C8</f>
        <v>47.647058823529413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9.6247058823529414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2443.2094993361516</v>
      </c>
      <c r="C78" s="756">
        <f>SUM(C72:C77)</f>
        <v>40.5</v>
      </c>
      <c r="D78" s="757">
        <f t="shared" ref="D78:H78" si="10">SUM(D76:D77)</f>
        <v>47.647058823529413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9.6247058823529414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57.857142857142861</v>
      </c>
      <c r="D87" s="778">
        <f>'lokale energieproductie'!C17</f>
        <v>68.067226890756316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13.749579831932778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57.857142857142861</v>
      </c>
      <c r="D90" s="756">
        <f t="shared" ref="D90:H90" si="12">SUM(D87:D89)</f>
        <v>68.067226890756316</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13.749579831932778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2443.2094993361516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40.5</v>
      </c>
      <c r="C8" s="571">
        <f>B101</f>
        <v>47.647058823529413</v>
      </c>
      <c r="D8" s="1056"/>
      <c r="E8" s="1056">
        <f>E101</f>
        <v>0</v>
      </c>
      <c r="F8" s="1057"/>
      <c r="G8" s="572"/>
      <c r="H8" s="1056">
        <f>I101</f>
        <v>0</v>
      </c>
      <c r="I8" s="1056">
        <f>G101+F101</f>
        <v>0</v>
      </c>
      <c r="J8" s="1056">
        <f>H101+D101+C101</f>
        <v>0</v>
      </c>
      <c r="K8" s="1056"/>
      <c r="L8" s="1056"/>
      <c r="M8" s="1056"/>
      <c r="N8" s="573"/>
      <c r="O8" s="574">
        <f>C8*$C$12+D8*$D$12+E8*$E$12+F8*$F$12+G8*$G$12+H8*$H$12+I8*$I$12+J8*$J$12</f>
        <v>9.6247058823529414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2483.7094993361516</v>
      </c>
      <c r="C10" s="584">
        <f t="shared" ref="C10:L10" si="0">SUM(C8:C9)</f>
        <v>47.647058823529413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9.6247058823529414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57.857142857142861</v>
      </c>
      <c r="C17" s="596">
        <f>B102</f>
        <v>68.067226890756316</v>
      </c>
      <c r="D17" s="597"/>
      <c r="E17" s="597">
        <f>E102</f>
        <v>0</v>
      </c>
      <c r="F17" s="1062"/>
      <c r="G17" s="598"/>
      <c r="H17" s="596">
        <f>I102</f>
        <v>0</v>
      </c>
      <c r="I17" s="597">
        <f>G102+F102</f>
        <v>0</v>
      </c>
      <c r="J17" s="597">
        <f>H102+D102+C102</f>
        <v>0</v>
      </c>
      <c r="K17" s="597"/>
      <c r="L17" s="597"/>
      <c r="M17" s="597"/>
      <c r="N17" s="1063"/>
      <c r="O17" s="599">
        <f>C17*$C$22+E17*$E$22+H17*$H$22+I17*$I$22+J17*$J$22+D17*$D$22+F17*$F$22+G17*$G$22+K17*$K$22+L17*$L$22</f>
        <v>13.749579831932778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57.857142857142861</v>
      </c>
      <c r="C20" s="583">
        <f>SUM(C17:C19)</f>
        <v>68.067226890756316</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13.749579831932778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23105</v>
      </c>
      <c r="C28" s="797">
        <v>1790</v>
      </c>
      <c r="D28" s="654" t="s">
        <v>907</v>
      </c>
      <c r="E28" s="653" t="s">
        <v>908</v>
      </c>
      <c r="F28" s="653" t="s">
        <v>909</v>
      </c>
      <c r="G28" s="653" t="s">
        <v>910</v>
      </c>
      <c r="H28" s="653" t="s">
        <v>911</v>
      </c>
      <c r="I28" s="653" t="s">
        <v>908</v>
      </c>
      <c r="J28" s="796">
        <v>40884</v>
      </c>
      <c r="K28" s="796">
        <v>40878</v>
      </c>
      <c r="L28" s="653" t="s">
        <v>912</v>
      </c>
      <c r="M28" s="653">
        <v>9</v>
      </c>
      <c r="N28" s="653">
        <v>40.5</v>
      </c>
      <c r="O28" s="653">
        <v>57.857142857142861</v>
      </c>
      <c r="P28" s="653">
        <v>115.71428571428572</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v>
      </c>
      <c r="N58" s="611">
        <f>SUM(N28:N57)</f>
        <v>40.5</v>
      </c>
      <c r="O58" s="611">
        <f t="shared" ref="O58:W58" si="2">SUM(O28:O57)</f>
        <v>57.857142857142861</v>
      </c>
      <c r="P58" s="611">
        <f t="shared" si="2"/>
        <v>115.71428571428572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9</v>
      </c>
      <c r="N60" s="611">
        <f ca="1">SUMIF($Z$28:AD57,"tertiair",N28:N57)</f>
        <v>40.5</v>
      </c>
      <c r="O60" s="611">
        <f ca="1">SUMIF($Z$28:AE57,"tertiair",O28:O57)</f>
        <v>57.857142857142861</v>
      </c>
      <c r="P60" s="611">
        <f ca="1">SUMIF($Z$28:AF57,"tertiair",P28:P57)</f>
        <v>115.71428571428572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47.647058823529413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68.067226890756316</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25576.739955632336</v>
      </c>
      <c r="C4" s="478">
        <f>huishoudens!C8</f>
        <v>0</v>
      </c>
      <c r="D4" s="478">
        <f>huishoudens!D8</f>
        <v>30764.284398776752</v>
      </c>
      <c r="E4" s="478">
        <f>huishoudens!E8</f>
        <v>3089.7108856331047</v>
      </c>
      <c r="F4" s="478">
        <f>huishoudens!F8</f>
        <v>40161.796827757789</v>
      </c>
      <c r="G4" s="478">
        <f>huishoudens!G8</f>
        <v>0</v>
      </c>
      <c r="H4" s="478">
        <f>huishoudens!H8</f>
        <v>0</v>
      </c>
      <c r="I4" s="478">
        <f>huishoudens!I8</f>
        <v>0</v>
      </c>
      <c r="J4" s="478">
        <f>huishoudens!J8</f>
        <v>0</v>
      </c>
      <c r="K4" s="478">
        <f>huishoudens!K8</f>
        <v>0</v>
      </c>
      <c r="L4" s="478">
        <f>huishoudens!L8</f>
        <v>0</v>
      </c>
      <c r="M4" s="478">
        <f>huishoudens!M8</f>
        <v>0</v>
      </c>
      <c r="N4" s="478">
        <f>huishoudens!N8</f>
        <v>4594.8977246881395</v>
      </c>
      <c r="O4" s="478">
        <f>huishoudens!O8</f>
        <v>143.82666666666668</v>
      </c>
      <c r="P4" s="479">
        <f>huishoudens!P8</f>
        <v>858</v>
      </c>
      <c r="Q4" s="480">
        <f>SUM(B4:P4)</f>
        <v>105189.25645915479</v>
      </c>
    </row>
    <row r="5" spans="1:17">
      <c r="A5" s="477" t="s">
        <v>156</v>
      </c>
      <c r="B5" s="478">
        <f ca="1">tertiair!B16</f>
        <v>7457.4749999999995</v>
      </c>
      <c r="C5" s="478">
        <f ca="1">tertiair!C16</f>
        <v>57.857142857142861</v>
      </c>
      <c r="D5" s="478">
        <f ca="1">tertiair!D16</f>
        <v>7836.2433410572085</v>
      </c>
      <c r="E5" s="478">
        <f>tertiair!E16</f>
        <v>109.36420784979107</v>
      </c>
      <c r="F5" s="478">
        <f ca="1">tertiair!F16</f>
        <v>1146.0309461185623</v>
      </c>
      <c r="G5" s="478">
        <f>tertiair!G16</f>
        <v>0</v>
      </c>
      <c r="H5" s="478">
        <f>tertiair!H16</f>
        <v>0</v>
      </c>
      <c r="I5" s="478">
        <f>tertiair!I16</f>
        <v>0</v>
      </c>
      <c r="J5" s="478">
        <f>tertiair!J16</f>
        <v>0</v>
      </c>
      <c r="K5" s="478">
        <f>tertiair!K16</f>
        <v>0</v>
      </c>
      <c r="L5" s="478">
        <f ca="1">tertiair!L16</f>
        <v>0</v>
      </c>
      <c r="M5" s="478">
        <f>tertiair!M16</f>
        <v>0</v>
      </c>
      <c r="N5" s="478">
        <f ca="1">tertiair!N16</f>
        <v>464.47438836532706</v>
      </c>
      <c r="O5" s="478">
        <f>tertiair!O16</f>
        <v>3.1266666666666669</v>
      </c>
      <c r="P5" s="479">
        <f>tertiair!P16</f>
        <v>19.066666666666666</v>
      </c>
      <c r="Q5" s="477">
        <f t="shared" ref="Q5:Q14" ca="1" si="0">SUM(B5:P5)</f>
        <v>17093.638359581364</v>
      </c>
    </row>
    <row r="6" spans="1:17">
      <c r="A6" s="477" t="s">
        <v>194</v>
      </c>
      <c r="B6" s="478">
        <f>'openbare verlichting'!B8</f>
        <v>813.82</v>
      </c>
      <c r="C6" s="478"/>
      <c r="D6" s="478"/>
      <c r="E6" s="478"/>
      <c r="F6" s="478"/>
      <c r="G6" s="478"/>
      <c r="H6" s="478"/>
      <c r="I6" s="478"/>
      <c r="J6" s="478"/>
      <c r="K6" s="478"/>
      <c r="L6" s="478"/>
      <c r="M6" s="478"/>
      <c r="N6" s="478"/>
      <c r="O6" s="478"/>
      <c r="P6" s="479"/>
      <c r="Q6" s="477">
        <f t="shared" si="0"/>
        <v>813.82</v>
      </c>
    </row>
    <row r="7" spans="1:17">
      <c r="A7" s="477" t="s">
        <v>112</v>
      </c>
      <c r="B7" s="478">
        <f>landbouw!B8</f>
        <v>178.48579999999998</v>
      </c>
      <c r="C7" s="478">
        <f>landbouw!C8</f>
        <v>0</v>
      </c>
      <c r="D7" s="478">
        <f>landbouw!D8</f>
        <v>42.540756616389935</v>
      </c>
      <c r="E7" s="478">
        <f>landbouw!E8</f>
        <v>1.6532102363248216</v>
      </c>
      <c r="F7" s="478">
        <f>landbouw!F8</f>
        <v>452.85247611000688</v>
      </c>
      <c r="G7" s="478">
        <f>landbouw!G8</f>
        <v>0</v>
      </c>
      <c r="H7" s="478">
        <f>landbouw!H8</f>
        <v>0</v>
      </c>
      <c r="I7" s="478">
        <f>landbouw!I8</f>
        <v>0</v>
      </c>
      <c r="J7" s="478">
        <f>landbouw!J8</f>
        <v>27.363865047341569</v>
      </c>
      <c r="K7" s="478">
        <f>landbouw!K8</f>
        <v>0</v>
      </c>
      <c r="L7" s="478">
        <f>landbouw!L8</f>
        <v>0</v>
      </c>
      <c r="M7" s="478">
        <f>landbouw!M8</f>
        <v>0</v>
      </c>
      <c r="N7" s="478">
        <f>landbouw!N8</f>
        <v>0</v>
      </c>
      <c r="O7" s="478">
        <f>landbouw!O8</f>
        <v>0</v>
      </c>
      <c r="P7" s="479">
        <f>landbouw!P8</f>
        <v>0</v>
      </c>
      <c r="Q7" s="477">
        <f t="shared" si="0"/>
        <v>702.89610801006324</v>
      </c>
    </row>
    <row r="8" spans="1:17">
      <c r="A8" s="477" t="s">
        <v>650</v>
      </c>
      <c r="B8" s="478">
        <f>industrie!B18</f>
        <v>1627.52909</v>
      </c>
      <c r="C8" s="478">
        <f>industrie!C18</f>
        <v>0</v>
      </c>
      <c r="D8" s="478">
        <f>industrie!D18</f>
        <v>1132.9099389865896</v>
      </c>
      <c r="E8" s="478">
        <f>industrie!E18</f>
        <v>153.76663114836788</v>
      </c>
      <c r="F8" s="478">
        <f>industrie!F18</f>
        <v>1104.6734963251286</v>
      </c>
      <c r="G8" s="478">
        <f>industrie!G18</f>
        <v>0</v>
      </c>
      <c r="H8" s="478">
        <f>industrie!H18</f>
        <v>0</v>
      </c>
      <c r="I8" s="478">
        <f>industrie!I18</f>
        <v>0</v>
      </c>
      <c r="J8" s="478">
        <f>industrie!J18</f>
        <v>11.175368924687739</v>
      </c>
      <c r="K8" s="478">
        <f>industrie!K18</f>
        <v>0</v>
      </c>
      <c r="L8" s="478">
        <f>industrie!L18</f>
        <v>0</v>
      </c>
      <c r="M8" s="478">
        <f>industrie!M18</f>
        <v>0</v>
      </c>
      <c r="N8" s="478">
        <f>industrie!N18</f>
        <v>454.80636728366977</v>
      </c>
      <c r="O8" s="478">
        <f>industrie!O18</f>
        <v>0</v>
      </c>
      <c r="P8" s="479">
        <f>industrie!P18</f>
        <v>0</v>
      </c>
      <c r="Q8" s="477">
        <f t="shared" si="0"/>
        <v>4484.8608926684437</v>
      </c>
    </row>
    <row r="9" spans="1:17" s="483" customFormat="1">
      <c r="A9" s="481" t="s">
        <v>571</v>
      </c>
      <c r="B9" s="482">
        <f>transport!B14</f>
        <v>29.453927441023261</v>
      </c>
      <c r="C9" s="482">
        <f>transport!C14</f>
        <v>0</v>
      </c>
      <c r="D9" s="482">
        <f>transport!D14</f>
        <v>77.393346107761687</v>
      </c>
      <c r="E9" s="482">
        <f>transport!E14</f>
        <v>586.52906527315315</v>
      </c>
      <c r="F9" s="482">
        <f>transport!F14</f>
        <v>0</v>
      </c>
      <c r="G9" s="482">
        <f>transport!G14</f>
        <v>170523.86677264347</v>
      </c>
      <c r="H9" s="482">
        <f>transport!H14</f>
        <v>30235.501054160275</v>
      </c>
      <c r="I9" s="482">
        <f>transport!I14</f>
        <v>0</v>
      </c>
      <c r="J9" s="482">
        <f>transport!J14</f>
        <v>0</v>
      </c>
      <c r="K9" s="482">
        <f>transport!K14</f>
        <v>0</v>
      </c>
      <c r="L9" s="482">
        <f>transport!L14</f>
        <v>0</v>
      </c>
      <c r="M9" s="482">
        <f>transport!M14</f>
        <v>10794.787262676091</v>
      </c>
      <c r="N9" s="482">
        <f>transport!N14</f>
        <v>0</v>
      </c>
      <c r="O9" s="482">
        <f>transport!O14</f>
        <v>0</v>
      </c>
      <c r="P9" s="482">
        <f>transport!P14</f>
        <v>0</v>
      </c>
      <c r="Q9" s="481">
        <f>SUM(B9:P9)</f>
        <v>212247.53142830177</v>
      </c>
    </row>
    <row r="10" spans="1:17">
      <c r="A10" s="477" t="s">
        <v>561</v>
      </c>
      <c r="B10" s="478">
        <f>transport!B54</f>
        <v>0</v>
      </c>
      <c r="C10" s="478">
        <f>transport!C54</f>
        <v>0</v>
      </c>
      <c r="D10" s="478">
        <f>transport!D54</f>
        <v>0</v>
      </c>
      <c r="E10" s="478">
        <f>transport!E54</f>
        <v>0</v>
      </c>
      <c r="F10" s="478">
        <f>transport!F54</f>
        <v>0</v>
      </c>
      <c r="G10" s="478">
        <f>transport!G54</f>
        <v>1403.1335107028406</v>
      </c>
      <c r="H10" s="478">
        <f>transport!H54</f>
        <v>0</v>
      </c>
      <c r="I10" s="478">
        <f>transport!I54</f>
        <v>0</v>
      </c>
      <c r="J10" s="478">
        <f>transport!J54</f>
        <v>0</v>
      </c>
      <c r="K10" s="478">
        <f>transport!K54</f>
        <v>0</v>
      </c>
      <c r="L10" s="478">
        <f>transport!L54</f>
        <v>0</v>
      </c>
      <c r="M10" s="478">
        <f>transport!M54</f>
        <v>80.016613760239352</v>
      </c>
      <c r="N10" s="478">
        <f>transport!N54</f>
        <v>0</v>
      </c>
      <c r="O10" s="478">
        <f>transport!O54</f>
        <v>0</v>
      </c>
      <c r="P10" s="479">
        <f>transport!P54</f>
        <v>0</v>
      </c>
      <c r="Q10" s="477">
        <f t="shared" si="0"/>
        <v>1483.1501244630799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708.28089999999997</v>
      </c>
      <c r="C14" s="485"/>
      <c r="D14" s="485">
        <f>'SEAP template'!E25</f>
        <v>927.85654433571892</v>
      </c>
      <c r="E14" s="485"/>
      <c r="F14" s="485"/>
      <c r="G14" s="485"/>
      <c r="H14" s="485"/>
      <c r="I14" s="485"/>
      <c r="J14" s="485"/>
      <c r="K14" s="485"/>
      <c r="L14" s="485"/>
      <c r="M14" s="485"/>
      <c r="N14" s="485"/>
      <c r="O14" s="485"/>
      <c r="P14" s="486"/>
      <c r="Q14" s="477">
        <f t="shared" si="0"/>
        <v>1636.137444335719</v>
      </c>
    </row>
    <row r="15" spans="1:17" s="487" customFormat="1">
      <c r="A15" s="1051" t="s">
        <v>565</v>
      </c>
      <c r="B15" s="991">
        <f ca="1">SUM(B4:B14)</f>
        <v>36391.784673073358</v>
      </c>
      <c r="C15" s="991">
        <f t="shared" ref="C15:Q15" ca="1" si="1">SUM(C4:C14)</f>
        <v>57.857142857142861</v>
      </c>
      <c r="D15" s="991">
        <f t="shared" ca="1" si="1"/>
        <v>40781.228325880424</v>
      </c>
      <c r="E15" s="991">
        <f t="shared" si="1"/>
        <v>3941.0240001407415</v>
      </c>
      <c r="F15" s="991">
        <f t="shared" ca="1" si="1"/>
        <v>42865.353746311484</v>
      </c>
      <c r="G15" s="991">
        <f t="shared" si="1"/>
        <v>171927.00028334631</v>
      </c>
      <c r="H15" s="991">
        <f t="shared" si="1"/>
        <v>30235.501054160275</v>
      </c>
      <c r="I15" s="991">
        <f t="shared" si="1"/>
        <v>0</v>
      </c>
      <c r="J15" s="991">
        <f t="shared" si="1"/>
        <v>38.539233972029308</v>
      </c>
      <c r="K15" s="991">
        <f t="shared" si="1"/>
        <v>0</v>
      </c>
      <c r="L15" s="991">
        <f t="shared" ca="1" si="1"/>
        <v>0</v>
      </c>
      <c r="M15" s="991">
        <f t="shared" si="1"/>
        <v>10874.80387643633</v>
      </c>
      <c r="N15" s="991">
        <f t="shared" ca="1" si="1"/>
        <v>5514.1784803371365</v>
      </c>
      <c r="O15" s="991">
        <f t="shared" si="1"/>
        <v>146.95333333333335</v>
      </c>
      <c r="P15" s="991">
        <f t="shared" si="1"/>
        <v>877.06666666666672</v>
      </c>
      <c r="Q15" s="991">
        <f t="shared" ca="1" si="1"/>
        <v>343651.29081651522</v>
      </c>
    </row>
    <row r="17" spans="1:17">
      <c r="A17" s="488" t="s">
        <v>566</v>
      </c>
      <c r="B17" s="787">
        <f ca="1">huishoudens!B10</f>
        <v>0.20618140568494978</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5273.4481968906948</v>
      </c>
      <c r="C22" s="478">
        <f t="shared" ref="C22:C32" ca="1" si="3">C4*$C$17</f>
        <v>0</v>
      </c>
      <c r="D22" s="478">
        <f t="shared" ref="D22:D32" si="4">D4*$D$17</f>
        <v>6214.3854485529046</v>
      </c>
      <c r="E22" s="478">
        <f t="shared" ref="E22:E32" si="5">E4*$E$17</f>
        <v>701.36437103871481</v>
      </c>
      <c r="F22" s="478">
        <f t="shared" ref="F22:F32" si="6">F4*$F$17</f>
        <v>10723.199753011329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22912.397769493644</v>
      </c>
    </row>
    <row r="23" spans="1:17">
      <c r="A23" s="477" t="s">
        <v>156</v>
      </c>
      <c r="B23" s="478">
        <f t="shared" ca="1" si="2"/>
        <v>1537.5926783603707</v>
      </c>
      <c r="C23" s="478">
        <f t="shared" ca="1" si="3"/>
        <v>13.749579831932778</v>
      </c>
      <c r="D23" s="478">
        <f t="shared" ca="1" si="4"/>
        <v>1582.9211548935561</v>
      </c>
      <c r="E23" s="478">
        <f t="shared" si="5"/>
        <v>24.825675181902575</v>
      </c>
      <c r="F23" s="478">
        <f t="shared" ca="1" si="6"/>
        <v>305.99026261365617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3465.0793508814186</v>
      </c>
    </row>
    <row r="24" spans="1:17">
      <c r="A24" s="477" t="s">
        <v>194</v>
      </c>
      <c r="B24" s="478">
        <f t="shared" ca="1" si="2"/>
        <v>167.79455157452583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167.79455157452583</v>
      </c>
    </row>
    <row r="25" spans="1:17">
      <c r="A25" s="477" t="s">
        <v>112</v>
      </c>
      <c r="B25" s="478">
        <f t="shared" ca="1" si="2"/>
        <v>36.800453138802808</v>
      </c>
      <c r="C25" s="478">
        <f t="shared" ca="1" si="3"/>
        <v>0</v>
      </c>
      <c r="D25" s="478">
        <f t="shared" si="4"/>
        <v>8.5932328365107669</v>
      </c>
      <c r="E25" s="478">
        <f t="shared" si="5"/>
        <v>0.3752787236457345</v>
      </c>
      <c r="F25" s="478">
        <f t="shared" si="6"/>
        <v>120.91161112137185</v>
      </c>
      <c r="G25" s="478">
        <f t="shared" si="7"/>
        <v>0</v>
      </c>
      <c r="H25" s="478">
        <f t="shared" si="8"/>
        <v>0</v>
      </c>
      <c r="I25" s="478">
        <f t="shared" si="9"/>
        <v>0</v>
      </c>
      <c r="J25" s="478">
        <f t="shared" si="10"/>
        <v>9.6868082267589148</v>
      </c>
      <c r="K25" s="478">
        <f t="shared" si="11"/>
        <v>0</v>
      </c>
      <c r="L25" s="478">
        <f t="shared" si="12"/>
        <v>0</v>
      </c>
      <c r="M25" s="478">
        <f t="shared" si="13"/>
        <v>0</v>
      </c>
      <c r="N25" s="478">
        <f t="shared" si="14"/>
        <v>0</v>
      </c>
      <c r="O25" s="478">
        <f t="shared" si="15"/>
        <v>0</v>
      </c>
      <c r="P25" s="479">
        <f t="shared" si="16"/>
        <v>0</v>
      </c>
      <c r="Q25" s="477">
        <f t="shared" ca="1" si="17"/>
        <v>176.3673840470901</v>
      </c>
    </row>
    <row r="26" spans="1:17">
      <c r="A26" s="477" t="s">
        <v>650</v>
      </c>
      <c r="B26" s="478">
        <f t="shared" ca="1" si="2"/>
        <v>335.56623556934716</v>
      </c>
      <c r="C26" s="478">
        <f t="shared" ca="1" si="3"/>
        <v>0</v>
      </c>
      <c r="D26" s="478">
        <f t="shared" si="4"/>
        <v>228.84780767529111</v>
      </c>
      <c r="E26" s="478">
        <f t="shared" si="5"/>
        <v>34.905025270679509</v>
      </c>
      <c r="F26" s="478">
        <f t="shared" si="6"/>
        <v>294.94782351880934</v>
      </c>
      <c r="G26" s="478">
        <f t="shared" si="7"/>
        <v>0</v>
      </c>
      <c r="H26" s="478">
        <f t="shared" si="8"/>
        <v>0</v>
      </c>
      <c r="I26" s="478">
        <f t="shared" si="9"/>
        <v>0</v>
      </c>
      <c r="J26" s="478">
        <f t="shared" si="10"/>
        <v>3.9560805993394594</v>
      </c>
      <c r="K26" s="478">
        <f t="shared" si="11"/>
        <v>0</v>
      </c>
      <c r="L26" s="478">
        <f t="shared" si="12"/>
        <v>0</v>
      </c>
      <c r="M26" s="478">
        <f t="shared" si="13"/>
        <v>0</v>
      </c>
      <c r="N26" s="478">
        <f t="shared" si="14"/>
        <v>0</v>
      </c>
      <c r="O26" s="478">
        <f t="shared" si="15"/>
        <v>0</v>
      </c>
      <c r="P26" s="479">
        <f t="shared" si="16"/>
        <v>0</v>
      </c>
      <c r="Q26" s="477">
        <f t="shared" ca="1" si="17"/>
        <v>898.2229726334665</v>
      </c>
    </row>
    <row r="27" spans="1:17" s="483" customFormat="1">
      <c r="A27" s="481" t="s">
        <v>571</v>
      </c>
      <c r="B27" s="781">
        <f t="shared" ca="1" si="2"/>
        <v>6.0728521627326915</v>
      </c>
      <c r="C27" s="482">
        <f t="shared" ca="1" si="3"/>
        <v>0</v>
      </c>
      <c r="D27" s="482">
        <f t="shared" si="4"/>
        <v>15.633455913767861</v>
      </c>
      <c r="E27" s="482">
        <f t="shared" si="5"/>
        <v>133.14209781700578</v>
      </c>
      <c r="F27" s="482">
        <f t="shared" si="6"/>
        <v>0</v>
      </c>
      <c r="G27" s="482">
        <f t="shared" si="7"/>
        <v>45529.872428295806</v>
      </c>
      <c r="H27" s="482">
        <f t="shared" si="8"/>
        <v>7528.6397624859082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53213.360596675222</v>
      </c>
    </row>
    <row r="28" spans="1:17">
      <c r="A28" s="477" t="s">
        <v>561</v>
      </c>
      <c r="B28" s="478">
        <f t="shared" ca="1" si="2"/>
        <v>0</v>
      </c>
      <c r="C28" s="478">
        <f t="shared" ca="1" si="3"/>
        <v>0</v>
      </c>
      <c r="D28" s="478">
        <f t="shared" si="4"/>
        <v>0</v>
      </c>
      <c r="E28" s="478">
        <f t="shared" si="5"/>
        <v>0</v>
      </c>
      <c r="F28" s="478">
        <f t="shared" si="6"/>
        <v>0</v>
      </c>
      <c r="G28" s="478">
        <f t="shared" si="7"/>
        <v>374.63664735765843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374.63664735765843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146.03435158180133</v>
      </c>
      <c r="C32" s="478">
        <f t="shared" ca="1" si="3"/>
        <v>0</v>
      </c>
      <c r="D32" s="478">
        <f t="shared" si="4"/>
        <v>187.42702195581523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333.46137353761657</v>
      </c>
    </row>
    <row r="33" spans="1:17" s="487" customFormat="1">
      <c r="A33" s="1051" t="s">
        <v>565</v>
      </c>
      <c r="B33" s="991">
        <f ca="1">SUM(B22:B32)</f>
        <v>7503.3093192782753</v>
      </c>
      <c r="C33" s="991">
        <f t="shared" ref="C33:Q33" ca="1" si="18">SUM(C22:C32)</f>
        <v>13.749579831932778</v>
      </c>
      <c r="D33" s="991">
        <f t="shared" ca="1" si="18"/>
        <v>8237.8081218278458</v>
      </c>
      <c r="E33" s="991">
        <f t="shared" si="18"/>
        <v>894.61244803194836</v>
      </c>
      <c r="F33" s="991">
        <f t="shared" ca="1" si="18"/>
        <v>11445.049450265165</v>
      </c>
      <c r="G33" s="991">
        <f t="shared" si="18"/>
        <v>45904.509075653463</v>
      </c>
      <c r="H33" s="991">
        <f t="shared" si="18"/>
        <v>7528.6397624859082</v>
      </c>
      <c r="I33" s="991">
        <f t="shared" si="18"/>
        <v>0</v>
      </c>
      <c r="J33" s="991">
        <f t="shared" si="18"/>
        <v>13.642888826098375</v>
      </c>
      <c r="K33" s="991">
        <f t="shared" si="18"/>
        <v>0</v>
      </c>
      <c r="L33" s="991">
        <f t="shared" ca="1" si="18"/>
        <v>0</v>
      </c>
      <c r="M33" s="991">
        <f t="shared" si="18"/>
        <v>0</v>
      </c>
      <c r="N33" s="991">
        <f t="shared" ca="1" si="18"/>
        <v>0</v>
      </c>
      <c r="O33" s="991">
        <f t="shared" si="18"/>
        <v>0</v>
      </c>
      <c r="P33" s="991">
        <f t="shared" si="18"/>
        <v>0</v>
      </c>
      <c r="Q33" s="991">
        <f t="shared" ca="1" si="18"/>
        <v>81541.320646200649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2443.2094993361516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40.5</v>
      </c>
      <c r="D8" s="1068">
        <f>'SEAP template'!D76</f>
        <v>47.647058823529413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9.6247058823529414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2443.2094993361516</v>
      </c>
      <c r="C10" s="1072">
        <f>SUM(C4:C9)</f>
        <v>40.5</v>
      </c>
      <c r="D10" s="1072">
        <f t="shared" ref="D10:H10" si="0">SUM(D8:D9)</f>
        <v>47.647058823529413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9.6247058823529414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0.20618140568494978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57.857142857142861</v>
      </c>
      <c r="D17" s="1069">
        <f>'SEAP template'!D87</f>
        <v>68.067226890756316</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13.749579831932778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57.857142857142861</v>
      </c>
      <c r="D20" s="1072">
        <f t="shared" ref="D20:H20" si="2">SUM(D17:D19)</f>
        <v>68.067226890756316</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13.749579831932778</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0.20618140568494978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2019-08-12T08:07:47Z</dcterms:modified>
</cp:coreProperties>
</file>