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78" i="14"/>
  <c r="N77"/>
  <c r="K10" i="18"/>
  <c r="L90" i="14"/>
  <c r="L18" i="59"/>
  <c r="L20" s="1"/>
  <c r="C98" i="18"/>
  <c r="E101" s="1"/>
  <c r="E8" s="1"/>
  <c r="B8"/>
  <c r="K20" i="59"/>
  <c r="P22" i="14"/>
  <c r="K20" i="18"/>
  <c r="H90" i="14"/>
  <c r="H18" i="59"/>
  <c r="H20" s="1"/>
  <c r="D14" i="48"/>
  <c r="K78" i="14"/>
  <c r="B20" i="18"/>
  <c r="M77" i="14"/>
  <c r="M9" i="59" s="1"/>
  <c r="H9" i="18"/>
  <c r="O9" s="1"/>
  <c r="Q22" i="14"/>
  <c r="L10" i="59"/>
  <c r="D22" i="14"/>
  <c r="L22"/>
  <c r="E10" i="59"/>
  <c r="F13" i="15"/>
  <c r="G77" i="14"/>
  <c r="G9" i="59" s="1"/>
  <c r="G10" s="1"/>
  <c r="P28" i="48"/>
  <c r="I77" i="14"/>
  <c r="I9" i="59" s="1"/>
  <c r="O10"/>
  <c r="B98" i="18"/>
  <c r="F102" s="1"/>
  <c r="B13" i="15"/>
  <c r="B10" i="18"/>
  <c r="N13" i="15"/>
  <c r="L13"/>
  <c r="F77" i="14"/>
  <c r="F9" i="59" s="1"/>
  <c r="I101" i="18"/>
  <c r="H8" s="1"/>
  <c r="F101"/>
  <c r="H101"/>
  <c r="D101"/>
  <c r="G101"/>
  <c r="I8" s="1"/>
  <c r="C101"/>
  <c r="B101"/>
  <c r="C8" s="1"/>
  <c r="E102"/>
  <c r="E17" s="1"/>
  <c r="H102"/>
  <c r="O19"/>
  <c r="O78" i="14"/>
  <c r="N88"/>
  <c r="D10" i="18"/>
  <c r="E78" i="14"/>
  <c r="D77"/>
  <c r="D9" i="59" s="1"/>
  <c r="H77" i="14"/>
  <c r="O88"/>
  <c r="G89"/>
  <c r="G19" i="59" s="1"/>
  <c r="G20" s="1"/>
  <c r="G20" i="18"/>
  <c r="B89" i="14"/>
  <c r="B19" i="59" s="1"/>
  <c r="O18" i="18"/>
  <c r="G78" i="14"/>
  <c r="O25" i="48"/>
  <c r="O27"/>
  <c r="Q11"/>
  <c r="O29"/>
  <c r="P31"/>
  <c r="O28"/>
  <c r="Q12"/>
  <c r="O24"/>
  <c r="O30"/>
  <c r="P24"/>
  <c r="P30"/>
  <c r="Q77" i="14"/>
  <c r="P9" i="59" s="1"/>
  <c r="E90" i="14"/>
  <c r="R9"/>
  <c r="R25"/>
  <c r="K90"/>
  <c r="H78" l="1"/>
  <c r="H9" i="59"/>
  <c r="H10" s="1"/>
  <c r="Q14" i="48"/>
  <c r="D102" i="18"/>
  <c r="J17" s="1"/>
  <c r="D10" i="59"/>
  <c r="G102" i="18"/>
  <c r="I17" s="1"/>
  <c r="Q89" i="14"/>
  <c r="P19" i="59" s="1"/>
  <c r="B102" i="18"/>
  <c r="C17" s="1"/>
  <c r="C20" s="1"/>
  <c r="G90" i="14"/>
  <c r="C89"/>
  <c r="C19" i="59" s="1"/>
  <c r="I102" i="18"/>
  <c r="H17" s="1"/>
  <c r="O90" i="14"/>
  <c r="O18" i="59"/>
  <c r="O20" s="1"/>
  <c r="N78" i="14"/>
  <c r="N9" i="59"/>
  <c r="N10" s="1"/>
  <c r="N90" i="14"/>
  <c r="N18" i="59"/>
  <c r="N20" s="1"/>
  <c r="C102" i="18"/>
  <c r="C77" i="14"/>
  <c r="C9" i="59" s="1"/>
  <c r="H20" i="18"/>
  <c r="M87" i="14"/>
  <c r="F76"/>
  <c r="E10" i="18"/>
  <c r="D87" i="14"/>
  <c r="D17" i="59" s="1"/>
  <c r="D20" s="1"/>
  <c r="H10" i="18"/>
  <c r="M76" i="14"/>
  <c r="B88"/>
  <c r="B18" i="59" s="1"/>
  <c r="D76" i="14"/>
  <c r="D8" i="59" s="1"/>
  <c r="C10" i="18"/>
  <c r="J8"/>
  <c r="O8" s="1"/>
  <c r="O10" s="1"/>
  <c r="C88" i="14"/>
  <c r="C18" i="59" s="1"/>
  <c r="I10" i="18"/>
  <c r="I76" i="14"/>
  <c r="I8" i="59" s="1"/>
  <c r="I10" s="1"/>
  <c r="B77" i="14"/>
  <c r="B9" i="59" s="1"/>
  <c r="E20" i="18"/>
  <c r="F87" i="14"/>
  <c r="Q88"/>
  <c r="P18" i="59" s="1"/>
  <c r="H14" i="15"/>
  <c r="H16" s="1"/>
  <c r="G14"/>
  <c r="G16" s="1"/>
  <c r="J20" i="18" l="1"/>
  <c r="J87" i="14"/>
  <c r="O17" i="18"/>
  <c r="O20" s="1"/>
  <c r="M78" i="14"/>
  <c r="M8" i="59"/>
  <c r="M10" s="1"/>
  <c r="M90" i="14"/>
  <c r="M17" i="59"/>
  <c r="M20" s="1"/>
  <c r="F78" i="14"/>
  <c r="F8" i="59"/>
  <c r="F10" s="1"/>
  <c r="H5" i="48"/>
  <c r="I10" i="14"/>
  <c r="I16" s="1"/>
  <c r="F90"/>
  <c r="F17" i="59"/>
  <c r="F20" s="1"/>
  <c r="H10" i="14"/>
  <c r="H16" s="1"/>
  <c r="G5" i="48"/>
  <c r="Q76" i="14"/>
  <c r="D78"/>
  <c r="I78"/>
  <c r="B76"/>
  <c r="J10" i="18"/>
  <c r="J76" i="14"/>
  <c r="I87"/>
  <c r="I17" i="59" s="1"/>
  <c r="I20" s="1"/>
  <c r="I20" i="18"/>
  <c r="Q87" i="14"/>
  <c r="D90"/>
  <c r="C87"/>
  <c r="A31" i="23"/>
  <c r="A32"/>
  <c r="A33"/>
  <c r="C90" i="14" l="1"/>
  <c r="C17" i="59"/>
  <c r="C20" s="1"/>
  <c r="J90" i="14"/>
  <c r="J17" i="59"/>
  <c r="J20" s="1"/>
  <c r="B78" i="14"/>
  <c r="B8" i="59"/>
  <c r="B10" s="1"/>
  <c r="J78" i="14"/>
  <c r="J8" i="59"/>
  <c r="J10" s="1"/>
  <c r="Q90" i="14"/>
  <c r="B17" i="6" s="1"/>
  <c r="P17" i="59"/>
  <c r="P20" s="1"/>
  <c r="Q78" i="14"/>
  <c r="B9" i="6" s="1"/>
  <c r="P8" i="59"/>
  <c r="P10" s="1"/>
  <c r="B87" i="14"/>
  <c r="I90"/>
  <c r="C76"/>
  <c r="B11" i="44"/>
  <c r="B25"/>
  <c r="B24"/>
  <c r="C78" i="14" l="1"/>
  <c r="C8" i="59"/>
  <c r="C1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31"/>
  <c r="K26"/>
  <c r="K24"/>
  <c r="K29"/>
  <c r="K25"/>
  <c r="K22"/>
  <c r="K27"/>
  <c r="K30"/>
  <c r="B7"/>
  <c r="C24" i="14"/>
  <c r="C26" s="1"/>
  <c r="J24" i="48"/>
  <c r="J32"/>
  <c r="J30"/>
  <c r="J27"/>
  <c r="J29"/>
  <c r="J28"/>
  <c r="J31"/>
  <c r="Q11" i="14"/>
  <c r="P4" i="48"/>
  <c r="P11" i="14"/>
  <c r="O4" i="48"/>
  <c r="I32"/>
  <c r="I28"/>
  <c r="I22"/>
  <c r="I25"/>
  <c r="I24"/>
  <c r="I31"/>
  <c r="I26"/>
  <c r="I29"/>
  <c r="I30"/>
  <c r="I27"/>
  <c r="E11" i="14"/>
  <c r="D4" i="48"/>
  <c r="D22" s="1"/>
  <c r="H32"/>
  <c r="H29"/>
  <c r="H28"/>
  <c r="H26"/>
  <c r="H22"/>
  <c r="H30"/>
  <c r="H25"/>
  <c r="H24"/>
  <c r="H23"/>
  <c r="C4"/>
  <c r="D11" i="14"/>
  <c r="G25" i="48"/>
  <c r="G24"/>
  <c r="G29"/>
  <c r="G26"/>
  <c r="G32"/>
  <c r="G22"/>
  <c r="G30"/>
  <c r="G23"/>
  <c r="C11" i="14"/>
  <c r="B4" i="48"/>
  <c r="F24"/>
  <c r="F32"/>
  <c r="F29"/>
  <c r="F30"/>
  <c r="F27"/>
  <c r="F31"/>
  <c r="F28"/>
  <c r="N27"/>
  <c r="N31"/>
  <c r="N24"/>
  <c r="N32"/>
  <c r="N30"/>
  <c r="N29"/>
  <c r="N28"/>
  <c r="C19" i="14"/>
  <c r="B10" i="48"/>
  <c r="E32"/>
  <c r="E31"/>
  <c r="E24"/>
  <c r="E29"/>
  <c r="E30"/>
  <c r="E28"/>
  <c r="M26"/>
  <c r="M25"/>
  <c r="M32"/>
  <c r="M29"/>
  <c r="M22"/>
  <c r="M30"/>
  <c r="M24"/>
  <c r="M23"/>
  <c r="L10" i="14"/>
  <c r="L16" s="1"/>
  <c r="L27" s="1"/>
  <c r="K5" i="48"/>
  <c r="D30"/>
  <c r="D29"/>
  <c r="D24"/>
  <c r="D28"/>
  <c r="D31"/>
  <c r="D32"/>
  <c r="L32"/>
  <c r="L29"/>
  <c r="L28"/>
  <c r="L27"/>
  <c r="L22"/>
  <c r="L30"/>
  <c r="L31"/>
  <c r="L24"/>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J63" s="1"/>
  <c r="F20"/>
  <c r="F22" s="1"/>
  <c r="E9" i="48"/>
  <c r="E27" s="1"/>
  <c r="P15"/>
  <c r="P22"/>
  <c r="P33" s="1"/>
  <c r="E20" i="14"/>
  <c r="E22" s="1"/>
  <c r="D9" i="48"/>
  <c r="D27" s="1"/>
  <c r="P10" i="14"/>
  <c r="O5" i="48"/>
  <c r="O23" s="1"/>
  <c r="K24" i="14"/>
  <c r="K26" s="1"/>
  <c r="J7" i="48"/>
  <c r="J25" s="1"/>
  <c r="C20" i="14"/>
  <c r="B9" i="48"/>
  <c r="O22"/>
  <c r="G11" i="14"/>
  <c r="F4" i="48"/>
  <c r="F22" s="1"/>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G10"/>
  <c r="H19" i="14"/>
  <c r="R19" s="1"/>
  <c r="E12" i="13"/>
  <c r="F41" i="14" s="1"/>
  <c r="F11"/>
  <c r="E4" i="48"/>
  <c r="I23"/>
  <c r="I33" s="1"/>
  <c r="I15"/>
  <c r="Q13"/>
  <c r="G31"/>
  <c r="J4"/>
  <c r="K11" i="14"/>
  <c r="E7" i="48"/>
  <c r="E25" s="1"/>
  <c r="F24" i="14"/>
  <c r="F26" s="1"/>
  <c r="Q63"/>
  <c r="P16"/>
  <c r="P27" s="1"/>
  <c r="Q46"/>
  <c r="Q61"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K10"/>
  <c r="J5" i="48"/>
  <c r="J23" s="1"/>
  <c r="F10" i="14"/>
  <c r="E5" i="48"/>
  <c r="E23" s="1"/>
  <c r="H9"/>
  <c r="I20" i="14"/>
  <c r="O26" i="48"/>
  <c r="O33" s="1"/>
  <c r="O15"/>
  <c r="G28"/>
  <c r="Q10"/>
  <c r="M27"/>
  <c r="M33" s="1"/>
  <c r="M15"/>
  <c r="J22"/>
  <c r="G27"/>
  <c r="G33" s="1"/>
  <c r="G15"/>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J26" s="1"/>
  <c r="K13" i="14"/>
  <c r="I22"/>
  <c r="I27" s="1"/>
  <c r="I63" s="1"/>
  <c r="R20"/>
  <c r="R22" s="1"/>
  <c r="K46"/>
  <c r="K61" s="1"/>
  <c r="K63" s="1"/>
  <c r="K16"/>
  <c r="K27" s="1"/>
  <c r="E22" i="16"/>
  <c r="F43" i="14" s="1"/>
  <c r="F46" s="1"/>
  <c r="F61" s="1"/>
  <c r="F63" s="1"/>
  <c r="J15" i="48"/>
  <c r="H63" i="14"/>
  <c r="J33" i="48"/>
  <c r="O13" i="14"/>
  <c r="N8" i="48"/>
  <c r="N26" s="1"/>
  <c r="F8"/>
  <c r="G13" i="14"/>
  <c r="E26" i="48" l="1"/>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<sst xmlns="http://schemas.openxmlformats.org/spreadsheetml/2006/main" count="2428" uniqueCount="914">
  <si>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</si>
  <si>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</si>
  <si>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</si>
  <si>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</si>
  <si>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</si>
  <si>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</si>
  <si>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</si>
  <si>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</si>
  <si>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</si>
  <si>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</si>
  <si>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</si>
  <si>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</si>
  <si>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</si>
  <si>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</si>
  <si>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</si>
  <si>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</si>
  <si>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</si>
  <si>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</si>
  <si>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</si>
  <si>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</si>
  <si>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</si>
  <si>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</si>
  <si>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</si>
  <si>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</si>
  <si>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</si>
  <si>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</si>
  <si>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</si>
  <si>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</si>
  <si>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</si>
  <si>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</si>
  <si>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</si>
  <si>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</si>
  <si>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</si>
  <si>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</si>
  <si>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</si>
  <si>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</si>
  <si>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</si>
  <si>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</si>
  <si>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</si>
  <si>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</si>
  <si>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</si>
  <si>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</si>
  <si>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</si>
  <si>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</si>
  <si>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</si>
  <si>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</si>
  <si>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</si>
  <si>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</si>
  <si>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</si>
  <si>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</si>
  <si>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</si>
  <si>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</si>
  <si>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</si>
  <si>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</si>
  <si>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</si>
  <si>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</si>
  <si>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</si>
  <si>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</si>
  <si>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</si>
  <si>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</si>
  <si>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</si>
  <si>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</si>
  <si>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</si>
  <si>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</si>
  <si>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</si>
  <si>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</si>
  <si>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</si>
  <si>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</si>
  <si>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</si>
  <si>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</si>
  <si>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</si>
  <si>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</si>
  <si>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</si>
  <si>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</si>
  <si>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</si>
  <si>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</si>
  <si>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</si>
  <si>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</si>
  <si>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</si>
  <si>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</si>
  <si>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</si>
  <si>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</si>
  <si>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</si>
  <si>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</si>
  <si>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</si>
  <si>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</si>
  <si>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</si>
  <si>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</si>
  <si>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</si>
  <si>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</si>
  <si>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</si>
  <si>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</si>
  <si>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</si>
  <si>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</si>
  <si>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</si>
  <si>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</si>
  <si>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</si>
  <si>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</si>
  <si>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</si>
  <si>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</si>
  <si>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</si>
  <si>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</si>
  <si>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</si>
  <si>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</si>
  <si>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</si>
  <si>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</si>
  <si>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</si>
  <si>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</si>
  <si>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</si>
  <si>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</si>
  <si>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</si>
  <si>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</si>
  <si>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</si>
  <si>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</si>
  <si>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</si>
  <si>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</si>
  <si>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</si>
  <si>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</si>
  <si>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</si>
  <si>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</si>
  <si>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</si>
  <si>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</si>
  <si>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</si>
  <si>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</si>
  <si>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</si>
  <si>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</si>
  <si>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</si>
  <si>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</si>
  <si>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</si>
  <si>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</si>
  <si>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</si>
  <si>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</si>
  <si>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</si>
  <si>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</si>
  <si>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</si>
  <si>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</si>
  <si>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</si>
  <si>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</si>
  <si>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</si>
  <si>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</si>
  <si>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</si>
  <si>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</si>
  <si>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</si>
  <si>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</si>
  <si>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</si>
  <si>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</si>
  <si>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</si>
  <si>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</si>
  <si>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</si>
  <si>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</si>
  <si>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</si>
  <si>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</si>
  <si>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</si>
  <si>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</si>
  <si>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</si>
  <si>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</si>
  <si>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</si>
  <si>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</si>
  <si>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</si>
  <si>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</si>
  <si>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</si>
  <si>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</si>
  <si>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</si>
  <si>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</si>
  <si>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</si>
  <si>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</si>
  <si>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</si>
  <si>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</si>
  <si>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</si>
  <si>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</si>
  <si>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</si>
  <si>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</si>
  <si>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</si>
  <si>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</si>
  <si>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</si>
  <si>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</si>
  <si>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</si>
  <si>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</si>
  <si>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</si>
  <si>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</si>
  <si>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</si>
  <si>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</si>
  <si>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</si>
  <si>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</si>
  <si>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</si>
  <si>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</si>
  <si>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</si>
  <si>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</si>
  <si>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</si>
  <si>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</si>
  <si>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</si>
  <si>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</si>
  <si>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</si>
  <si>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</si>
  <si>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</si>
  <si>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</si>
  <si>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</si>
  <si>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</si>
  <si>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</si>
  <si>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</si>
  <si>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</si>
  <si>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</si>
  <si>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</si>
  <si>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</si>
  <si>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</si>
  <si>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</si>
  <si>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</si>
  <si>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</si>
  <si>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</si>
  <si>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</si>
  <si>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</si>
  <si>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</si>
  <si>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</si>
  <si>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</si>
  <si>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</si>
  <si>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</si>
  <si>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</si>
  <si>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</si>
  <si>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</si>
  <si>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</si>
  <si>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</si>
  <si>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</si>
  <si>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</si>
  <si>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</si>
  <si>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</si>
  <si>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</si>
  <si>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</si>
  <si>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</si>
  <si>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</si>
  <si>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</si>
  <si>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</si>
  <si>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</si>
  <si>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</si>
  <si>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</si>
  <si>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</si>
  <si>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</si>
  <si>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</si>
  <si>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</si>
  <si>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</si>
  <si>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</si>
  <si>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</si>
  <si>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</si>
  <si>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</si>
  <si>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</si>
  <si>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</si>
  <si>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</si>
  <si>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</si>
  <si>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</si>
  <si>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</si>
  <si>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</si>
  <si>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</si>
  <si>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</si>
  <si>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</si>
  <si>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</si>
  <si>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</si>
  <si>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</si>
  <si>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</si>
  <si>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</si>
  <si>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</si>
  <si>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</si>
  <si>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</si>
  <si>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</si>
  <si>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</si>
  <si>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</si>
  <si>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</si>
  <si>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</si>
  <si>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</si>
  <si>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</si>
  <si>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</si>
  <si>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</si>
  <si>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</si>
  <si>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</si>
  <si>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</si>
  <si>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</si>
  <si>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</si>
  <si>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</si>
  <si>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</si>
  <si>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</si>
  <si>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</si>
  <si>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</si>
  <si>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</si>
  <si>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</si>
  <si>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</si>
  <si>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</si>
  <si>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</si>
  <si>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</si>
  <si>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</si>
  <si>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</si>
  <si>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</si>
  <si>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</si>
  <si>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</si>
  <si>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</si>
  <si>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</si>
  <si>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</si>
  <si>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</si>
  <si>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</si>
  <si>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</si>
  <si>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</si>
  <si>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</si>
  <si>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</si>
  <si>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</si>
  <si>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</si>
  <si>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</si>
  <si>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</si>
  <si>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</si>
  <si>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</si>
  <si>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</si>
  <si>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</si>
  <si>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</si>
  <si>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</si>
  <si>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</si>
  <si>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</si>
  <si>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</si>
  <si>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</si>
  <si>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</si>
  <si>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</si>
  <si>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</si>
  <si>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</si>
  <si>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</si>
  <si>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</si>
  <si>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</si>
  <si>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</si>
  <si>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</si>
  <si>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</si>
  <si>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</si>
  <si>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</si>
  <si>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</si>
  <si>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</si>
  <si>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</si>
  <si>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</si>
  <si>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</si>
  <si>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</si>
  <si>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</si>
  <si>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</si>
  <si>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</si>
  <si>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</si>
  <si>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</si>
  <si>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</si>
  <si>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</si>
  <si>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</si>
  <si>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</si>
  <si>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</si>
  <si>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</si>
  <si>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</si>
  <si>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</si>
  <si>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</si>
  <si>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</si>
  <si>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</si>
  <si>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</si>
  <si>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</si>
  <si>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</si>
  <si>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</si>
  <si>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</si>
  <si>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</si>
  <si>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</si>
  <si>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</si>
  <si>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</si>
  <si>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</si>
  <si>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</si>
  <si>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</si>
  <si>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</si>
  <si>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</si>
  <si>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</si>
  <si>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</si>
  <si>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</si>
  <si>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</si>
  <si>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</si>
  <si>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</si>
  <si>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</si>
  <si>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</si>
  <si>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</si>
  <si>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</si>
  <si>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</si>
  <si>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</si>
  <si>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</si>
  <si>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</si>
  <si>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</si>
  <si>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</si>
  <si>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</si>
  <si>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</si>
  <si>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</si>
  <si>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</si>
  <si>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</si>
  <si>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</si>
  <si>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</si>
  <si>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</si>
  <si>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</si>
  <si>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</si>
  <si>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</si>
  <si>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</si>
  <si>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</si>
  <si>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</si>
  <si>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</si>
  <si>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</si>
  <si>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</si>
  <si>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</si>
  <si>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</si>
  <si>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</si>
  <si>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</si>
  <si>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</si>
  <si>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</si>
  <si>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</si>
  <si>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</si>
  <si>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</si>
  <si>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</si>
  <si>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</si>
  <si>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</si>
  <si>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</si>
  <si>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</si>
  <si>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</si>
  <si>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</si>
  <si>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</si>
  <si>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</si>
  <si>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</si>
  <si>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</si>
  <si>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</si>
  <si>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</si>
  <si>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</si>
  <si>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</si>
  <si>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</si>
  <si>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</si>
  <si>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</si>
  <si>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</si>
  <si>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</si>
  <si>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</si>
  <si>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</si>
  <si>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</si>
  <si>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</si>
  <si>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</si>
  <si>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</si>
  <si>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</si>
  <si>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</si>
  <si>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</si>
  <si>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</si>
  <si>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</si>
  <si>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</si>
  <si>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</si>
  <si>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</si>
  <si>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</si>
  <si>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</si>
  <si>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</si>
  <si>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</si>
  <si>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</si>
  <si>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</si>
  <si>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</si>
  <si>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</si>
  <si>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</si>
  <si>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</si>
  <si>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</si>
  <si>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</si>
  <si>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</si>
  <si>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</si>
  <si>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</si>
  <si>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</si>
  <si>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</si>
  <si>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</si>
  <si>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</si>
  <si>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</si>
  <si>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</si>
  <si>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</si>
  <si>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</si>
  <si>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</si>
  <si>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</si>
  <si>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</si>
  <si>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</si>
  <si>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</si>
  <si>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</si>
  <si>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</si>
  <si>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</si>
  <si>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</si>
  <si>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</si>
  <si>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</si>
  <si>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</si>
  <si>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</si>
  <si>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</si>
  <si>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</si>
  <si>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</si>
  <si>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</si>
  <si>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</si>
  <si>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</si>
  <si>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</si>
  <si>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</si>
  <si>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</si>
  <si>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</si>
  <si>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</si>
  <si>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</si>
  <si>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</si>
  <si>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</si>
  <si>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</si>
  <si>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</si>
  <si>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</si>
  <si>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</si>
  <si>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</si>
  <si>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</si>
  <si>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</si>
  <si>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</si>
  <si>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</si>
  <si>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</si>
  <si>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</si>
  <si>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</si>
  <si>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</si>
  <si>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</si>
  <si>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</si>
  <si>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</si>
  <si>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</si>
  <si>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</si>
  <si>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</si>
  <si>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</si>
  <si>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</si>
  <si>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</si>
  <si>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</si>
  <si>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</si>
  <si>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</si>
  <si>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</si>
  <si>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</si>
  <si>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</si>
  <si>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</si>
  <si>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</si>
  <si>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</si>
  <si>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</si>
  <si>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</si>
  <si>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</si>
  <si>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</si>
  <si>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</si>
  <si>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</si>
  <si>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</si>
  <si>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</si>
  <si>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</si>
  <si>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</si>
  <si>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</si>
  <si>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</si>
  <si>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</si>
  <si>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</si>
  <si>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</si>
  <si>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</si>
  <si>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</si>
  <si>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</si>
  <si>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</si>
  <si>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</si>
  <si>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</si>
  <si>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</si>
  <si>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</si>
  <si>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</si>
  <si>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</si>
  <si>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</si>
  <si>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</si>
  <si>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</si>
  <si>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</si>
  <si>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</si>
  <si>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</si>
  <si>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</si>
  <si>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</si>
  <si>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</si>
  <si>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</si>
  <si>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</si>
  <si>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</si>
  <si>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</si>
  <si>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</si>
  <si>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</si>
  <si>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</si>
  <si>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</si>
  <si>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</si>
  <si>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</si>
  <si>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</si>
  <si>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</si>
  <si>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</si>
  <si>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</si>
  <si>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</si>
  <si>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</si>
  <si>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</si>
  <si>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</si>
  <si>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</si>
  <si>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</si>
  <si>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</si>
  <si>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</si>
  <si>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</si>
  <si>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</si>
  <si>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</si>
  <si>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</si>
  <si>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</si>
  <si>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</si>
  <si>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</si>
  <si>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</si>
  <si>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</si>
  <si>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</si>
  <si>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</si>
  <si>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</si>
  <si>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</si>
  <si>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</si>
  <si>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</si>
  <si>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</si>
  <si>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</si>
  <si>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</si>
  <si>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</si>
  <si>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</si>
  <si>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</si>
  <si>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</si>
  <si>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</si>
  <si>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</si>
  <si>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</si>
  <si>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</si>
  <si>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</si>
  <si>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</si>
  <si>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</si>
  <si>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</si>
  <si>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</si>
  <si>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</si>
  <si>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</si>
  <si>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</si>
  <si>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</si>
  <si>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</si>
  <si>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</si>
  <si>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</si>
  <si>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</si>
  <si>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</si>
  <si>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</si>
  <si>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</si>
  <si>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</si>
  <si>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</si>
  <si>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</si>
  <si>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</si>
  <si>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</si>
  <si>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</si>
  <si>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</si>
  <si>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</si>
  <si>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</si>
  <si>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</si>
  <si>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</si>
  <si>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</si>
  <si>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</si>
  <si>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</si>
  <si>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</si>
  <si>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</si>
  <si>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</si>
  <si>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</si>
  <si>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</si>
  <si>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</si>
  <si>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</si>
  <si>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</si>
  <si>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</si>
  <si>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</si>
  <si>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</si>
  <si>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</si>
  <si>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</si>
  <si>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</si>
  <si>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</si>
  <si>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</si>
  <si>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</si>
  <si>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</si>
  <si>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</si>
  <si>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</si>
  <si>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</si>
  <si>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</si>
  <si>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</si>
  <si>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</si>
  <si>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</si>
  <si>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</si>
  <si>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</si>
  <si>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</si>
  <si>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</si>
  <si>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</si>
  <si>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</si>
  <si>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</si>
  <si>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</si>
  <si>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</si>
  <si>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</si>
  <si>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</si>
  <si>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</si>
  <si>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</si>
  <si>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</si>
  <si>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</si>
  <si>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</si>
  <si>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</si>
  <si>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</si>
  <si>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</si>
  <si>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</si>
  <si>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</si>
  <si>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</si>
  <si>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</si>
  <si>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</si>
  <si>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</si>
  <si>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</si>
  <si>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</si>
  <si>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</si>
  <si>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</si>
  <si>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</si>
  <si>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</si>
  <si>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</si>
  <si>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</si>
  <si>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</si>
  <si>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</si>
  <si>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</si>
  <si>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</si>
  <si>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</si>
  <si>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</si>
  <si>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</si>
  <si>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</si>
  <si>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</si>
  <si>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</si>
  <si>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</si>
  <si>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</si>
  <si>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</si>
  <si>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</si>
  <si>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</si>
  <si>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</si>
  <si>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</si>
  <si>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</si>
  <si>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</si>
  <si>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</si>
  <si>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</si>
  <si>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</si>
  <si>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</si>
  <si>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</si>
  <si>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</si>
  <si>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</si>
  <si>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</si>
  <si>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</si>
  <si>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</si>
  <si>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</si>
  <si>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</si>
  <si>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</si>
  <si>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</si>
  <si>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</si>
  <si>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</si>
  <si>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</si>
  <si>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</si>
  <si>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</si>
  <si>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</si>
  <si>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</si>
  <si>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</si>
  <si>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</si>
  <si>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</si>
  <si>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</si>
  <si>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</si>
  <si>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</si>
  <si>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</si>
  <si>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</si>
  <si>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</si>
  <si>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</si>
  <si>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</si>
  <si>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</si>
  <si>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</si>
  <si>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</si>
  <si>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</si>
  <si>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</si>
  <si>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</si>
  <si>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</si>
  <si>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</si>
  <si>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</si>
  <si>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</si>
  <si>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</si>
  <si>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</si>
  <si>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</si>
  <si>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</si>
  <si>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</si>
  <si>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</si>
  <si>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</si>
  <si>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</si>
  <si>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</si>
  <si>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</si>
  <si>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</si>
  <si>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</si>
  <si>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</si>
  <si>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</si>
  <si>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</si>
  <si>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</si>
  <si>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</si>
  <si>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</si>
  <si>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</si>
  <si>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</si>
  <si>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</si>
  <si>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</si>
  <si>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</si>
  <si>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</si>
  <si>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</si>
  <si>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</si>
  <si>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</si>
  <si>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</si>
  <si>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</si>
  <si>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</si>
  <si>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</si>
  <si>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</si>
  <si>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</si>
  <si>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</si>
  <si>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</si>
  <si>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</si>
  <si>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</si>
  <si>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</si>
  <si>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</si>
  <si>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</si>
  <si>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</si>
  <si>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</si>
  <si>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</si>
  <si>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</si>
  <si>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</si>
  <si>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</si>
  <si>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</si>
  <si>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</si>
  <si>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</si>
  <si>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</si>
  <si>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</si>
  <si>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</si>
  <si>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</si>
  <si>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</si>
  <si>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</si>
  <si>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</si>
  <si>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</si>
  <si>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</si>
  <si>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</si>
  <si>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</si>
  <si>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</si>
  <si>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</si>
  <si>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</si>
  <si>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</si>
  <si>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</si>
  <si>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</si>
  <si>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</si>
  <si>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</si>
  <si>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</si>
  <si>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</si>
  <si>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</si>
  <si>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</si>
  <si>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</si>
  <si>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</si>
  <si>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</si>
  <si>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</si>
  <si>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</si>
  <si>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</si>
  <si>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</si>
  <si>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</si>
  <si>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</si>
  <si>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</si>
  <si>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</si>
  <si>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</si>
  <si>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</si>
  <si>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</si>
  <si>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</si>
  <si>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</si>
  <si>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</si>
  <si>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</si>
  <si>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</si>
  <si>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</si>
  <si>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</si>
  <si>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</si>
  <si>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</si>
  <si>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</si>
  <si>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</si>
  <si>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</si>
  <si>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</si>
  <si>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</si>
  <si>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</si>
  <si>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</si>
  <si>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</si>
  <si>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</si>
  <si>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</si>
  <si>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</si>
  <si>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</si>
  <si>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</si>
  <si>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</si>
  <si>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</si>
  <si>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</si>
  <si>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</si>
  <si>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</si>
  <si>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</si>
  <si>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</si>
  <si>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</si>
  <si>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</si>
  <si>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</si>
  <si>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</si>
  <si>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</si>
  <si>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</si>
  <si>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</si>
  <si>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</si>
  <si>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</si>
  <si>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</si>
  <si>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</si>
  <si>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</si>
  <si>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</si>
  <si>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</si>
  <si>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</si>
  <si>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</si>
  <si>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</si>
  <si>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</si>
  <si>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</si>
  <si>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</si>
  <si>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</si>
  <si>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</si>
  <si>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</si>
  <si>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</si>
  <si>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</si>
  <si>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</si>
  <si>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</si>
  <si>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</si>
  <si>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</si>
  <si>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</si>
  <si>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</si>
  <si>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</si>
  <si>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</si>
  <si>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</si>
  <si>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23094</t>
  </si>
  <si>
    <t>ZAVENTEM</t>
  </si>
  <si>
    <t>Paarden&amp;pony's 200 - 600 kg</t>
  </si>
  <si>
    <t>Paarden&amp;pony's &lt; 200 kg</t>
  </si>
  <si>
    <t>referentietaak LNE (2017); Jaarverslag De Lijn (2014)</t>
  </si>
  <si>
    <t>op basis van VEA (maart 2018) en Inventaris Hernieuwbare Energiebronnen (juni 2018)</t>
  </si>
  <si>
    <t>VEA (maart 2016)</t>
  </si>
  <si>
    <t>VEA (juni 2018)</t>
  </si>
  <si>
    <t>d'Ieteren nv_St-Stevens-Woluwe</t>
  </si>
  <si>
    <t>Maliestraat 50 , 1050 Brussel</t>
  </si>
  <si>
    <t>WKK-0343 D'Ieteren Zaventem</t>
  </si>
  <si>
    <t>interne verbrandingsmotor</t>
  </si>
  <si>
    <t>WKK interne verbrandinsgmotor (gas)</t>
  </si>
  <si>
    <t>Leuvensesteenweg 326 , 1932 Sint-Stevens-Woluwe</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</si>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</sst>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206529.41608649417</c:v>
                </c:pt>
                <c:pt idx="1">
                  <c:v>337188.6882696292</c:v>
                </c:pt>
                <c:pt idx="2">
                  <c:v>2829.7689999999998</c:v>
                </c:pt>
                <c:pt idx="3">
                  <c:v>2640.8078759707337</c:v>
                </c:pt>
                <c:pt idx="4">
                  <c:v>85788.268424144131</c:v>
                </c:pt>
                <c:pt idx="5">
                  <c:v>531670.58723382931</c:v>
                </c:pt>
                <c:pt idx="6">
                  <c:v>9726.2898951792195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206529.41608649417</c:v>
                </c:pt>
                <c:pt idx="1">
                  <c:v>337188.6882696292</c:v>
                </c:pt>
                <c:pt idx="2">
                  <c:v>2829.7689999999998</c:v>
                </c:pt>
                <c:pt idx="3">
                  <c:v>2640.8078759707337</c:v>
                </c:pt>
                <c:pt idx="4">
                  <c:v>85788.268424144131</c:v>
                </c:pt>
                <c:pt idx="5">
                  <c:v>531670.58723382931</c:v>
                </c:pt>
                <c:pt idx="6">
                  <c:v>9726.2898951792195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41089.033122125009</c:v>
                </c:pt>
                <c:pt idx="2">
                  <c:v>71505.008076840313</c:v>
                </c:pt>
                <c:pt idx="3">
                  <c:v>614.50627067003052</c:v>
                </c:pt>
                <c:pt idx="4">
                  <c:v>669.07382186187647</c:v>
                </c:pt>
                <c:pt idx="5">
                  <c:v>18402.422386974245</c:v>
                </c:pt>
                <c:pt idx="6">
                  <c:v>133210.37588764081</c:v>
                </c:pt>
                <c:pt idx="7">
                  <c:v>2456.8144366894262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83264"/>
        <c:axId val="182313728"/>
      </c:barChart>
      <c:catAx>
        <c:axId val="182283264"/>
        <c:scaling>
          <c:orientation val="minMax"/>
        </c:scaling>
        <c:axPos val="b"/>
        <c:numFmt formatCode="General" sourceLinked="0"/>
        <c:tickLblPos val="nextTo"/>
        <c:crossAx val="182313728"/>
        <c:crosses val="autoZero"/>
        <c:auto val="1"/>
        <c:lblAlgn val="ctr"/>
        <c:lblOffset val="100"/>
      </c:catAx>
      <c:valAx>
        <c:axId val="182313728"/>
        <c:scaling>
          <c:orientation val="minMax"/>
        </c:scaling>
        <c:axPos val="l"/>
        <c:majorGridlines/>
        <c:numFmt formatCode="#,##0" sourceLinked="1"/>
        <c:tickLblPos val="nextTo"/>
        <c:crossAx val="18228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41089.033122125009</c:v>
                </c:pt>
                <c:pt idx="2">
                  <c:v>71505.008076840313</c:v>
                </c:pt>
                <c:pt idx="3">
                  <c:v>614.50627067003052</c:v>
                </c:pt>
                <c:pt idx="4">
                  <c:v>669.07382186187647</c:v>
                </c:pt>
                <c:pt idx="5">
                  <c:v>18402.422386974245</c:v>
                </c:pt>
                <c:pt idx="6">
                  <c:v>133210.37588764081</c:v>
                </c:pt>
                <c:pt idx="7">
                  <c:v>2456.8144366894262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23094</v>
      </c>
      <c r="B6" s="416"/>
      <c r="C6" s="417"/>
    </row>
    <row r="7" spans="1:7" s="414" customFormat="1" ht="15.75" customHeight="1">
      <c r="A7" s="418" t="str">
        <f>txtMunicipality</f>
        <v>ZAVENTEM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0.21715775056905018</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0.21715775056905018</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13440</v>
      </c>
      <c r="C9" s="342">
        <v>13822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734</v>
      </c>
    </row>
    <row r="15" spans="1:6">
      <c r="A15" s="348" t="s">
        <v>184</v>
      </c>
      <c r="B15" s="334">
        <v>0</v>
      </c>
    </row>
    <row r="16" spans="1:6">
      <c r="A16" s="348" t="s">
        <v>6</v>
      </c>
      <c r="B16" s="334">
        <v>0</v>
      </c>
    </row>
    <row r="17" spans="1:6">
      <c r="A17" s="348" t="s">
        <v>7</v>
      </c>
      <c r="B17" s="334">
        <v>6</v>
      </c>
    </row>
    <row r="18" spans="1:6">
      <c r="A18" s="348" t="s">
        <v>8</v>
      </c>
      <c r="B18" s="334">
        <v>6</v>
      </c>
    </row>
    <row r="19" spans="1:6">
      <c r="A19" s="348" t="s">
        <v>9</v>
      </c>
      <c r="B19" s="334">
        <v>4</v>
      </c>
    </row>
    <row r="20" spans="1:6">
      <c r="A20" s="348" t="s">
        <v>10</v>
      </c>
      <c r="B20" s="334">
        <v>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901</v>
      </c>
      <c r="B29" s="355">
        <v>24</v>
      </c>
      <c r="C29" s="356"/>
      <c r="D29" s="356"/>
      <c r="E29" s="356"/>
      <c r="F29" s="356"/>
    </row>
    <row r="30" spans="1:6">
      <c r="A30" s="341" t="s">
        <v>902</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16266.71</v>
      </c>
    </row>
    <row r="37" spans="1:6">
      <c r="A37" s="348" t="s">
        <v>25</v>
      </c>
      <c r="B37" s="348" t="s">
        <v>28</v>
      </c>
      <c r="C37" s="334">
        <v>0</v>
      </c>
      <c r="D37" s="334">
        <v>0</v>
      </c>
      <c r="E37" s="334">
        <v>0</v>
      </c>
      <c r="F37" s="334">
        <v>0</v>
      </c>
    </row>
    <row r="38" spans="1:6">
      <c r="A38" s="348" t="s">
        <v>25</v>
      </c>
      <c r="B38" s="348" t="s">
        <v>29</v>
      </c>
      <c r="C38" s="334">
        <v>0</v>
      </c>
      <c r="D38" s="334">
        <v>0</v>
      </c>
      <c r="E38" s="334">
        <v>5</v>
      </c>
      <c r="F38" s="334">
        <v>29710.76</v>
      </c>
    </row>
    <row r="39" spans="1:6">
      <c r="A39" s="348" t="s">
        <v>30</v>
      </c>
      <c r="B39" s="348" t="s">
        <v>31</v>
      </c>
      <c r="C39" s="334">
        <v>10549</v>
      </c>
      <c r="D39" s="334">
        <v>163009220.83879101</v>
      </c>
      <c r="E39" s="334">
        <v>13617</v>
      </c>
      <c r="F39" s="334">
        <v>48557096</v>
      </c>
    </row>
    <row r="40" spans="1:6">
      <c r="A40" s="348" t="s">
        <v>30</v>
      </c>
      <c r="B40" s="348" t="s">
        <v>29</v>
      </c>
      <c r="C40" s="334">
        <v>0</v>
      </c>
      <c r="D40" s="334">
        <v>0</v>
      </c>
      <c r="E40" s="334">
        <v>0</v>
      </c>
      <c r="F40" s="334">
        <v>0</v>
      </c>
    </row>
    <row r="41" spans="1:6">
      <c r="A41" s="348" t="s">
        <v>32</v>
      </c>
      <c r="B41" s="348" t="s">
        <v>33</v>
      </c>
      <c r="C41" s="334">
        <v>91</v>
      </c>
      <c r="D41" s="334">
        <v>8811190.8537284695</v>
      </c>
      <c r="E41" s="334">
        <v>178</v>
      </c>
      <c r="F41" s="334">
        <v>2196127</v>
      </c>
    </row>
    <row r="42" spans="1:6">
      <c r="A42" s="348" t="s">
        <v>32</v>
      </c>
      <c r="B42" s="348" t="s">
        <v>34</v>
      </c>
      <c r="C42" s="334">
        <v>0</v>
      </c>
      <c r="D42" s="334">
        <v>0</v>
      </c>
      <c r="E42" s="334">
        <v>5</v>
      </c>
      <c r="F42" s="334">
        <v>582122.30000000005</v>
      </c>
    </row>
    <row r="43" spans="1:6">
      <c r="A43" s="348" t="s">
        <v>32</v>
      </c>
      <c r="B43" s="348" t="s">
        <v>35</v>
      </c>
      <c r="C43" s="334">
        <v>0</v>
      </c>
      <c r="D43" s="334">
        <v>0</v>
      </c>
      <c r="E43" s="334">
        <v>0</v>
      </c>
      <c r="F43" s="334">
        <v>0</v>
      </c>
    </row>
    <row r="44" spans="1:6">
      <c r="A44" s="348" t="s">
        <v>32</v>
      </c>
      <c r="B44" s="348" t="s">
        <v>36</v>
      </c>
      <c r="C44" s="334">
        <v>9</v>
      </c>
      <c r="D44" s="334">
        <v>11852159.9896062</v>
      </c>
      <c r="E44" s="334">
        <v>22</v>
      </c>
      <c r="F44" s="334">
        <v>34146151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99414.782394000504</v>
      </c>
      <c r="E47" s="334">
        <v>4</v>
      </c>
      <c r="F47" s="334">
        <v>26886.080000000002</v>
      </c>
    </row>
    <row r="48" spans="1:6">
      <c r="A48" s="348" t="s">
        <v>32</v>
      </c>
      <c r="B48" s="348" t="s">
        <v>29</v>
      </c>
      <c r="C48" s="334">
        <v>64</v>
      </c>
      <c r="D48" s="334">
        <v>3937464.2201789701</v>
      </c>
      <c r="E48" s="334">
        <v>81</v>
      </c>
      <c r="F48" s="334">
        <v>5432937</v>
      </c>
    </row>
    <row r="49" spans="1:6">
      <c r="A49" s="348" t="s">
        <v>32</v>
      </c>
      <c r="B49" s="348" t="s">
        <v>40</v>
      </c>
      <c r="C49" s="334">
        <v>0</v>
      </c>
      <c r="D49" s="334">
        <v>0</v>
      </c>
      <c r="E49" s="334">
        <v>0</v>
      </c>
      <c r="F49" s="334">
        <v>0</v>
      </c>
    </row>
    <row r="50" spans="1:6">
      <c r="A50" s="348" t="s">
        <v>32</v>
      </c>
      <c r="B50" s="348" t="s">
        <v>41</v>
      </c>
      <c r="C50" s="334">
        <v>7</v>
      </c>
      <c r="D50" s="334">
        <v>1012311.21492322</v>
      </c>
      <c r="E50" s="334">
        <v>10</v>
      </c>
      <c r="F50" s="334">
        <v>626764.1</v>
      </c>
    </row>
    <row r="51" spans="1:6">
      <c r="A51" s="348" t="s">
        <v>42</v>
      </c>
      <c r="B51" s="348" t="s">
        <v>43</v>
      </c>
      <c r="C51" s="334">
        <v>3</v>
      </c>
      <c r="D51" s="334">
        <v>56683.795800175598</v>
      </c>
      <c r="E51" s="334">
        <v>14</v>
      </c>
      <c r="F51" s="334">
        <v>572441.4</v>
      </c>
    </row>
    <row r="52" spans="1:6">
      <c r="A52" s="348" t="s">
        <v>42</v>
      </c>
      <c r="B52" s="348" t="s">
        <v>29</v>
      </c>
      <c r="C52" s="334">
        <v>11</v>
      </c>
      <c r="D52" s="334">
        <v>138754.89060382301</v>
      </c>
      <c r="E52" s="334">
        <v>10</v>
      </c>
      <c r="F52" s="334">
        <v>93688.15</v>
      </c>
    </row>
    <row r="53" spans="1:6">
      <c r="A53" s="348" t="s">
        <v>44</v>
      </c>
      <c r="B53" s="348" t="s">
        <v>45</v>
      </c>
      <c r="C53" s="334">
        <v>379</v>
      </c>
      <c r="D53" s="334">
        <v>14144144.100027001</v>
      </c>
      <c r="E53" s="334">
        <v>807</v>
      </c>
      <c r="F53" s="334">
        <v>8310975</v>
      </c>
    </row>
    <row r="54" spans="1:6">
      <c r="A54" s="348" t="s">
        <v>46</v>
      </c>
      <c r="B54" s="348" t="s">
        <v>47</v>
      </c>
      <c r="C54" s="334">
        <v>0</v>
      </c>
      <c r="D54" s="334">
        <v>0</v>
      </c>
      <c r="E54" s="334">
        <v>2</v>
      </c>
      <c r="F54" s="334">
        <v>2829769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71</v>
      </c>
      <c r="D57" s="334">
        <v>4944428.0355305504</v>
      </c>
      <c r="E57" s="334">
        <v>93</v>
      </c>
      <c r="F57" s="334">
        <v>3151224</v>
      </c>
    </row>
    <row r="58" spans="1:6">
      <c r="A58" s="348" t="s">
        <v>49</v>
      </c>
      <c r="B58" s="348" t="s">
        <v>51</v>
      </c>
      <c r="C58" s="334">
        <v>28</v>
      </c>
      <c r="D58" s="334">
        <v>2200579.6262778998</v>
      </c>
      <c r="E58" s="334">
        <v>45</v>
      </c>
      <c r="F58" s="334">
        <v>1389750</v>
      </c>
    </row>
    <row r="59" spans="1:6">
      <c r="A59" s="348" t="s">
        <v>49</v>
      </c>
      <c r="B59" s="348" t="s">
        <v>52</v>
      </c>
      <c r="C59" s="334">
        <v>222</v>
      </c>
      <c r="D59" s="334">
        <v>24964574.932312701</v>
      </c>
      <c r="E59" s="334">
        <v>444</v>
      </c>
      <c r="F59" s="334">
        <v>40095266</v>
      </c>
    </row>
    <row r="60" spans="1:6">
      <c r="A60" s="348" t="s">
        <v>49</v>
      </c>
      <c r="B60" s="348" t="s">
        <v>53</v>
      </c>
      <c r="C60" s="334">
        <v>133</v>
      </c>
      <c r="D60" s="334">
        <v>5937347.7250049403</v>
      </c>
      <c r="E60" s="334">
        <v>151</v>
      </c>
      <c r="F60" s="334">
        <v>4151324</v>
      </c>
    </row>
    <row r="61" spans="1:6">
      <c r="A61" s="348" t="s">
        <v>49</v>
      </c>
      <c r="B61" s="348" t="s">
        <v>54</v>
      </c>
      <c r="C61" s="334">
        <v>520</v>
      </c>
      <c r="D61" s="334">
        <v>55671745.767630398</v>
      </c>
      <c r="E61" s="334">
        <v>1213</v>
      </c>
      <c r="F61" s="334">
        <v>115000000</v>
      </c>
    </row>
    <row r="62" spans="1:6">
      <c r="A62" s="348" t="s">
        <v>49</v>
      </c>
      <c r="B62" s="348" t="s">
        <v>55</v>
      </c>
      <c r="C62" s="334">
        <v>6</v>
      </c>
      <c r="D62" s="334">
        <v>1297005.3418600699</v>
      </c>
      <c r="E62" s="334">
        <v>11</v>
      </c>
      <c r="F62" s="334">
        <v>619674.30000000005</v>
      </c>
    </row>
    <row r="63" spans="1:6">
      <c r="A63" s="348" t="s">
        <v>49</v>
      </c>
      <c r="B63" s="348" t="s">
        <v>29</v>
      </c>
      <c r="C63" s="334">
        <v>220</v>
      </c>
      <c r="D63" s="334">
        <v>20156931.559630599</v>
      </c>
      <c r="E63" s="334">
        <v>246</v>
      </c>
      <c r="F63" s="334">
        <v>35746525</v>
      </c>
    </row>
    <row r="64" spans="1:6">
      <c r="A64" s="348" t="s">
        <v>56</v>
      </c>
      <c r="B64" s="348" t="s">
        <v>57</v>
      </c>
      <c r="C64" s="334">
        <v>0</v>
      </c>
      <c r="D64" s="334">
        <v>0</v>
      </c>
      <c r="E64" s="334">
        <v>0</v>
      </c>
      <c r="F64" s="334">
        <v>0</v>
      </c>
    </row>
    <row r="65" spans="1:6">
      <c r="A65" s="348" t="s">
        <v>56</v>
      </c>
      <c r="B65" s="348" t="s">
        <v>29</v>
      </c>
      <c r="C65" s="334">
        <v>10</v>
      </c>
      <c r="D65" s="334">
        <v>1222165.6434138401</v>
      </c>
      <c r="E65" s="334">
        <v>8</v>
      </c>
      <c r="F65" s="334">
        <v>54972.62</v>
      </c>
    </row>
    <row r="66" spans="1:6">
      <c r="A66" s="348" t="s">
        <v>56</v>
      </c>
      <c r="B66" s="348" t="s">
        <v>58</v>
      </c>
      <c r="C66" s="334">
        <v>0</v>
      </c>
      <c r="D66" s="334">
        <v>0</v>
      </c>
      <c r="E66" s="334">
        <v>28</v>
      </c>
      <c r="F66" s="334">
        <v>740409.7</v>
      </c>
    </row>
    <row r="67" spans="1:6">
      <c r="A67" s="355" t="s">
        <v>56</v>
      </c>
      <c r="B67" s="355" t="s">
        <v>59</v>
      </c>
      <c r="C67" s="334">
        <v>0</v>
      </c>
      <c r="D67" s="334">
        <v>0</v>
      </c>
      <c r="E67" s="334">
        <v>0</v>
      </c>
      <c r="F67" s="334">
        <v>0</v>
      </c>
    </row>
    <row r="68" spans="1:6">
      <c r="A68" s="341" t="s">
        <v>56</v>
      </c>
      <c r="B68" s="341" t="s">
        <v>60</v>
      </c>
      <c r="C68" s="334">
        <v>12</v>
      </c>
      <c r="D68" s="334">
        <v>271366.829036885</v>
      </c>
      <c r="E68" s="334">
        <v>21</v>
      </c>
      <c r="F68" s="334">
        <v>583941.6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108631368</v>
      </c>
      <c r="E73" s="476">
        <v>148053890.91572654</v>
      </c>
    </row>
    <row r="74" spans="1:6">
      <c r="A74" s="348" t="s">
        <v>64</v>
      </c>
      <c r="B74" s="348" t="s">
        <v>714</v>
      </c>
      <c r="C74" s="1311" t="s">
        <v>716</v>
      </c>
      <c r="D74" s="476">
        <v>3700646.5646188795</v>
      </c>
      <c r="E74" s="476">
        <v>5400772.2305160547</v>
      </c>
    </row>
    <row r="75" spans="1:6">
      <c r="A75" s="348" t="s">
        <v>65</v>
      </c>
      <c r="B75" s="348" t="s">
        <v>713</v>
      </c>
      <c r="C75" s="1311" t="s">
        <v>717</v>
      </c>
      <c r="D75" s="476">
        <v>37941069</v>
      </c>
      <c r="E75" s="476">
        <v>53565514.208524846</v>
      </c>
    </row>
    <row r="76" spans="1:6">
      <c r="A76" s="348" t="s">
        <v>65</v>
      </c>
      <c r="B76" s="348" t="s">
        <v>714</v>
      </c>
      <c r="C76" s="1311" t="s">
        <v>718</v>
      </c>
      <c r="D76" s="476">
        <v>123575.70000000001</v>
      </c>
      <c r="E76" s="476">
        <v>337222.62431334355</v>
      </c>
    </row>
    <row r="77" spans="1:6">
      <c r="A77" s="348" t="s">
        <v>66</v>
      </c>
      <c r="B77" s="348" t="s">
        <v>713</v>
      </c>
      <c r="C77" s="1311" t="s">
        <v>719</v>
      </c>
      <c r="D77" s="476">
        <v>470260948</v>
      </c>
      <c r="E77" s="476">
        <v>515307697.79307371</v>
      </c>
    </row>
    <row r="78" spans="1:6">
      <c r="A78" s="341" t="s">
        <v>66</v>
      </c>
      <c r="B78" s="341" t="s">
        <v>714</v>
      </c>
      <c r="C78" s="341" t="s">
        <v>720</v>
      </c>
      <c r="D78" s="1307">
        <v>40837166</v>
      </c>
      <c r="E78" s="1307">
        <v>42961522.127922006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2599096.8707622411</v>
      </c>
      <c r="C83" s="476">
        <v>2583561.0606130995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1756.0615259772687</v>
      </c>
    </row>
    <row r="92" spans="1:6">
      <c r="A92" s="341" t="s">
        <v>69</v>
      </c>
      <c r="B92" s="342">
        <v>3627.2734781859499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7180</v>
      </c>
    </row>
    <row r="98" spans="1:6">
      <c r="A98" s="348" t="s">
        <v>72</v>
      </c>
      <c r="B98" s="334">
        <v>4</v>
      </c>
    </row>
    <row r="99" spans="1:6">
      <c r="A99" s="348" t="s">
        <v>73</v>
      </c>
      <c r="B99" s="334">
        <v>38</v>
      </c>
    </row>
    <row r="100" spans="1:6">
      <c r="A100" s="348" t="s">
        <v>74</v>
      </c>
      <c r="B100" s="334">
        <v>729</v>
      </c>
    </row>
    <row r="101" spans="1:6">
      <c r="A101" s="348" t="s">
        <v>75</v>
      </c>
      <c r="B101" s="334">
        <v>33</v>
      </c>
    </row>
    <row r="102" spans="1:6">
      <c r="A102" s="348" t="s">
        <v>76</v>
      </c>
      <c r="B102" s="334">
        <v>215</v>
      </c>
    </row>
    <row r="103" spans="1:6">
      <c r="A103" s="348" t="s">
        <v>77</v>
      </c>
      <c r="B103" s="334">
        <v>81</v>
      </c>
    </row>
    <row r="104" spans="1:6">
      <c r="A104" s="348" t="s">
        <v>78</v>
      </c>
      <c r="B104" s="334">
        <v>2411</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51</v>
      </c>
    </row>
    <row r="130" spans="1:6">
      <c r="A130" s="348" t="s">
        <v>295</v>
      </c>
      <c r="B130" s="334">
        <v>1</v>
      </c>
    </row>
    <row r="131" spans="1:6">
      <c r="A131" s="348" t="s">
        <v>296</v>
      </c>
      <c r="B131" s="334">
        <v>3</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306170.3210433207</v>
      </c>
      <c r="C3" s="43" t="s">
        <v>170</v>
      </c>
      <c r="D3" s="43"/>
      <c r="E3" s="154"/>
      <c r="F3" s="43"/>
      <c r="G3" s="43"/>
      <c r="H3" s="43"/>
      <c r="I3" s="43"/>
      <c r="J3" s="43"/>
      <c r="K3" s="96"/>
    </row>
    <row r="4" spans="1:11">
      <c r="A4" s="384" t="s">
        <v>171</v>
      </c>
      <c r="B4" s="49">
        <f>IF(ISERROR('SEAP template'!B78+'SEAP template'!C78),0,'SEAP template'!B78+'SEAP template'!C78)</f>
        <v>6184.3350041632184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190.35529411764713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0.21715775056905018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271.93613445378156</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1144.2857142857142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2829.7689999999998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2829.7689999999998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0.21715775056905018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614.50627067003052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48557.095999999998</v>
      </c>
      <c r="C5" s="17">
        <f>IF(ISERROR('Eigen informatie GS &amp; warmtenet'!B57),0,'Eigen informatie GS &amp; warmtenet'!B57)</f>
        <v>0</v>
      </c>
      <c r="D5" s="30">
        <f>(SUM(HH_hh_gas_kWh,HH_rest_gas_kWh)/1000)*0.902</f>
        <v>147034.31719658952</v>
      </c>
      <c r="E5" s="17">
        <f>B46*B57</f>
        <v>2036.1627138608953</v>
      </c>
      <c r="F5" s="17">
        <f>B51*B62</f>
        <v>0</v>
      </c>
      <c r="G5" s="18"/>
      <c r="H5" s="17"/>
      <c r="I5" s="17"/>
      <c r="J5" s="17">
        <f>B50*B61+C50*C61</f>
        <v>0</v>
      </c>
      <c r="K5" s="17"/>
      <c r="L5" s="17"/>
      <c r="M5" s="17"/>
      <c r="N5" s="17">
        <f>B48*B59+C48*C59</f>
        <v>6705.6519833998127</v>
      </c>
      <c r="O5" s="17">
        <f>B69*B70*B71</f>
        <v>96.926666666666677</v>
      </c>
      <c r="P5" s="17">
        <f>B77*B78*B79/1000-B77*B78*B79/1000/B80</f>
        <v>343.2</v>
      </c>
    </row>
    <row r="6" spans="1:16">
      <c r="A6" s="16" t="s">
        <v>631</v>
      </c>
      <c r="B6" s="789">
        <f>kWh_PV_kleiner_dan_10kW</f>
        <v>1756.0615259772687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50313.157525977265</v>
      </c>
      <c r="C8" s="21">
        <f>C5</f>
        <v>0</v>
      </c>
      <c r="D8" s="21">
        <f>D5</f>
        <v>147034.31719658952</v>
      </c>
      <c r="E8" s="21">
        <f>E5</f>
        <v>2036.1627138608953</v>
      </c>
      <c r="F8" s="21">
        <f>F5</f>
        <v>0</v>
      </c>
      <c r="G8" s="21"/>
      <c r="H8" s="21"/>
      <c r="I8" s="21"/>
      <c r="J8" s="21">
        <f>J5</f>
        <v>0</v>
      </c>
      <c r="K8" s="21"/>
      <c r="L8" s="21">
        <f>L5</f>
        <v>0</v>
      </c>
      <c r="M8" s="21">
        <f>M5</f>
        <v>0</v>
      </c>
      <c r="N8" s="21">
        <f>N5</f>
        <v>6705.6519833998127</v>
      </c>
      <c r="O8" s="21">
        <f>O5</f>
        <v>96.926666666666677</v>
      </c>
      <c r="P8" s="21">
        <f>P5</f>
        <v>343.2</v>
      </c>
    </row>
    <row r="9" spans="1:16">
      <c r="B9" s="19"/>
      <c r="C9" s="19"/>
      <c r="D9" s="258"/>
      <c r="E9" s="19"/>
      <c r="F9" s="19"/>
      <c r="G9" s="19"/>
      <c r="H9" s="19"/>
      <c r="I9" s="19"/>
      <c r="J9" s="19"/>
      <c r="K9" s="19"/>
      <c r="L9" s="19"/>
      <c r="M9" s="19"/>
      <c r="N9" s="19"/>
      <c r="O9" s="19"/>
      <c r="P9" s="19"/>
    </row>
    <row r="10" spans="1:16">
      <c r="A10" s="24" t="s">
        <v>214</v>
      </c>
      <c r="B10" s="25">
        <f ca="1">'EF ele_warmte'!B12</f>
        <v>0.21715775056905018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10925.892112367501</v>
      </c>
      <c r="C12" s="23">
        <f ca="1">C10*C8</f>
        <v>0</v>
      </c>
      <c r="D12" s="23">
        <f>D8*D10</f>
        <v>29700.932073711083</v>
      </c>
      <c r="E12" s="23">
        <f>E10*E8</f>
        <v>462.20893604642328</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7180</v>
      </c>
      <c r="C18" s="166" t="s">
        <v>111</v>
      </c>
      <c r="D18" s="228"/>
      <c r="E18" s="15"/>
    </row>
    <row r="19" spans="1:7">
      <c r="A19" s="171" t="s">
        <v>72</v>
      </c>
      <c r="B19" s="37">
        <f>aantalw2001_ander</f>
        <v>4</v>
      </c>
      <c r="C19" s="166" t="s">
        <v>111</v>
      </c>
      <c r="D19" s="229"/>
      <c r="E19" s="15"/>
    </row>
    <row r="20" spans="1:7">
      <c r="A20" s="171" t="s">
        <v>73</v>
      </c>
      <c r="B20" s="37">
        <f>aantalw2001_propaan</f>
        <v>38</v>
      </c>
      <c r="C20" s="167">
        <f>IF(ISERROR(B20/SUM($B$20,$B$21,$B$22)*100),0,B20/SUM($B$20,$B$21,$B$22)*100)</f>
        <v>4.75</v>
      </c>
      <c r="D20" s="229"/>
      <c r="E20" s="15"/>
    </row>
    <row r="21" spans="1:7">
      <c r="A21" s="171" t="s">
        <v>74</v>
      </c>
      <c r="B21" s="37">
        <f>aantalw2001_elektriciteit</f>
        <v>729</v>
      </c>
      <c r="C21" s="167">
        <f>IF(ISERROR(B21/SUM($B$20,$B$21,$B$22)*100),0,B21/SUM($B$20,$B$21,$B$22)*100)</f>
        <v>91.125</v>
      </c>
      <c r="D21" s="229"/>
      <c r="E21" s="15"/>
    </row>
    <row r="22" spans="1:7">
      <c r="A22" s="171" t="s">
        <v>75</v>
      </c>
      <c r="B22" s="37">
        <f>aantalw2001_hout</f>
        <v>33</v>
      </c>
      <c r="C22" s="167">
        <f>IF(ISERROR(B22/SUM($B$20,$B$21,$B$22)*100),0,B22/SUM($B$20,$B$21,$B$22)*100)</f>
        <v>4.125</v>
      </c>
      <c r="D22" s="229"/>
      <c r="E22" s="15"/>
    </row>
    <row r="23" spans="1:7">
      <c r="A23" s="171" t="s">
        <v>76</v>
      </c>
      <c r="B23" s="37">
        <f>aantalw2001_niet_gespec</f>
        <v>215</v>
      </c>
      <c r="C23" s="166" t="s">
        <v>111</v>
      </c>
      <c r="D23" s="228"/>
      <c r="E23" s="15"/>
    </row>
    <row r="24" spans="1:7">
      <c r="A24" s="171" t="s">
        <v>77</v>
      </c>
      <c r="B24" s="37">
        <f>aantalw2001_steenkool</f>
        <v>81</v>
      </c>
      <c r="C24" s="166" t="s">
        <v>111</v>
      </c>
      <c r="D24" s="229"/>
      <c r="E24" s="15"/>
    </row>
    <row r="25" spans="1:7">
      <c r="A25" s="171" t="s">
        <v>78</v>
      </c>
      <c r="B25" s="37">
        <f>aantalw2001_stookolie</f>
        <v>2411</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13440</v>
      </c>
      <c r="C28" s="36"/>
      <c r="D28" s="228"/>
    </row>
    <row r="29" spans="1:7" s="15" customFormat="1">
      <c r="A29" s="230" t="s">
        <v>741</v>
      </c>
      <c r="B29" s="37">
        <f>SUM(HH_hh_gas_aantal,HH_rest_gas_aantal)</f>
        <v>10549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10549</v>
      </c>
      <c r="C32" s="167">
        <f>IF(ISERROR(B32/SUM($B$32,$B$34,$B$35,$B$36,$B$38,$B$39)*100),0,B32/SUM($B$32,$B$34,$B$35,$B$36,$B$38,$B$39)*100)</f>
        <v>78.594844285501424</v>
      </c>
      <c r="D32" s="233"/>
      <c r="G32" s="15"/>
    </row>
    <row r="33" spans="1:7">
      <c r="A33" s="171" t="s">
        <v>72</v>
      </c>
      <c r="B33" s="34" t="s">
        <v>111</v>
      </c>
      <c r="C33" s="167"/>
      <c r="D33" s="233"/>
      <c r="G33" s="15"/>
    </row>
    <row r="34" spans="1:7">
      <c r="A34" s="171" t="s">
        <v>73</v>
      </c>
      <c r="B34" s="33">
        <f>IF((($B$28-$B$32-$B$39-$B$77-$B$38)*C20/100)&lt;0,0,($B$28-$B$32-$B$39-$B$77-$B$38)*C20/100)</f>
        <v>136.4675</v>
      </c>
      <c r="C34" s="167">
        <f>IF(ISERROR(B34/SUM($B$32,$B$34,$B$35,$B$36,$B$38,$B$39)*100),0,B34/SUM($B$32,$B$34,$B$35,$B$36,$B$38,$B$39)*100)</f>
        <v>1.0167448964386827</v>
      </c>
      <c r="D34" s="233"/>
      <c r="G34" s="15"/>
    </row>
    <row r="35" spans="1:7">
      <c r="A35" s="171" t="s">
        <v>74</v>
      </c>
      <c r="B35" s="33">
        <f>IF((($B$28-$B$32-$B$39-$B$77-$B$38)*C21/100)&lt;0,0,($B$28-$B$32-$B$39-$B$77-$B$38)*C21/100)</f>
        <v>2618.0212499999998</v>
      </c>
      <c r="C35" s="167">
        <f>IF(ISERROR(B35/SUM($B$32,$B$34,$B$35,$B$36,$B$38,$B$39)*100),0,B35/SUM($B$32,$B$34,$B$35,$B$36,$B$38,$B$39)*100)</f>
        <v>19.505448144836834</v>
      </c>
      <c r="D35" s="233"/>
      <c r="G35" s="15"/>
    </row>
    <row r="36" spans="1:7">
      <c r="A36" s="171" t="s">
        <v>75</v>
      </c>
      <c r="B36" s="33">
        <f>IF((($B$28-$B$32-$B$39-$B$77-$B$38)*C22/100)&lt;0,0,($B$28-$B$32-$B$39-$B$77-$B$38)*C22/100)</f>
        <v>118.51125</v>
      </c>
      <c r="C36" s="167">
        <f>IF(ISERROR(B36/SUM($B$32,$B$34,$B$35,$B$36,$B$38,$B$39)*100),0,B36/SUM($B$32,$B$34,$B$35,$B$36,$B$38,$B$39)*100)</f>
        <v>0.88296267322306665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10549</v>
      </c>
      <c r="C44" s="34" t="s">
        <v>111</v>
      </c>
      <c r="D44" s="174"/>
    </row>
    <row r="45" spans="1:7">
      <c r="A45" s="171" t="s">
        <v>72</v>
      </c>
      <c r="B45" s="33" t="str">
        <f t="shared" si="0"/>
        <v>-</v>
      </c>
      <c r="C45" s="34" t="s">
        <v>111</v>
      </c>
      <c r="D45" s="174"/>
    </row>
    <row r="46" spans="1:7">
      <c r="A46" s="171" t="s">
        <v>73</v>
      </c>
      <c r="B46" s="33">
        <f t="shared" si="0"/>
        <v>136.4675</v>
      </c>
      <c r="C46" s="34" t="s">
        <v>111</v>
      </c>
      <c r="D46" s="174"/>
    </row>
    <row r="47" spans="1:7">
      <c r="A47" s="171" t="s">
        <v>74</v>
      </c>
      <c r="B47" s="33">
        <f t="shared" si="0"/>
        <v>2618.0212499999998</v>
      </c>
      <c r="C47" s="34" t="s">
        <v>111</v>
      </c>
      <c r="D47" s="174"/>
    </row>
    <row r="48" spans="1:7">
      <c r="A48" s="171" t="s">
        <v>75</v>
      </c>
      <c r="B48" s="33">
        <f t="shared" si="0"/>
        <v>118.51125</v>
      </c>
      <c r="C48" s="33">
        <f>B48*10</f>
        <v>1185.1125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200153.76329999999</v>
      </c>
      <c r="C5" s="17">
        <f>IF(ISERROR('Eigen informatie GS &amp; warmtenet'!B58),0,'Eigen informatie GS &amp; warmtenet'!B58)</f>
        <v>0</v>
      </c>
      <c r="D5" s="30">
        <f>SUM(D6:D12)</f>
        <v>103885.69691539895</v>
      </c>
      <c r="E5" s="17">
        <f>SUM(E6:E12)</f>
        <v>1273.6131924976785</v>
      </c>
      <c r="F5" s="17">
        <f>SUM(F6:F12)</f>
        <v>25402.464550511177</v>
      </c>
      <c r="G5" s="18"/>
      <c r="H5" s="17"/>
      <c r="I5" s="17"/>
      <c r="J5" s="17">
        <f>SUM(J6:J12)</f>
        <v>0</v>
      </c>
      <c r="K5" s="17"/>
      <c r="L5" s="17"/>
      <c r="M5" s="17"/>
      <c r="N5" s="17">
        <f>SUM(N6:N12)</f>
        <v>6757.6726921737391</v>
      </c>
      <c r="O5" s="17">
        <f>B38*B39*B40</f>
        <v>1.5633333333333335</v>
      </c>
      <c r="P5" s="17">
        <f>B46*B47*B48/1000-B46*B47*B48/1000/B49</f>
        <v>57.2</v>
      </c>
      <c r="R5" s="32"/>
    </row>
    <row r="6" spans="1:18">
      <c r="A6" s="32" t="s">
        <v>54</v>
      </c>
      <c r="B6" s="37">
        <f>B26</f>
        <v>115000</v>
      </c>
      <c r="C6" s="33"/>
      <c r="D6" s="37">
        <f>IF(ISERROR(TER_kantoor_gas_kWh/1000),0,TER_kantoor_gas_kWh/1000)*0.902</f>
        <v>50215.914682402617</v>
      </c>
      <c r="E6" s="33">
        <f>$C$26*'E Balans VL '!I12/100/3.6*1000000</f>
        <v>333.17187289245112</v>
      </c>
      <c r="F6" s="33">
        <f>$C$26*('E Balans VL '!L12+'E Balans VL '!N12)/100/3.6*1000000</f>
        <v>13015.466353560449</v>
      </c>
      <c r="G6" s="34"/>
      <c r="H6" s="33"/>
      <c r="I6" s="33"/>
      <c r="J6" s="33">
        <f>$C$26*('E Balans VL '!D12+'E Balans VL '!E12)/100/3.6*1000000</f>
        <v>0</v>
      </c>
      <c r="K6" s="33"/>
      <c r="L6" s="33"/>
      <c r="M6" s="33"/>
      <c r="N6" s="33">
        <f>$C$26*'E Balans VL '!Y12/100/3.6*1000000</f>
        <v>1151.0652642166515</v>
      </c>
      <c r="O6" s="33"/>
      <c r="P6" s="33"/>
      <c r="R6" s="32"/>
    </row>
    <row r="7" spans="1:18">
      <c r="A7" s="32" t="s">
        <v>53</v>
      </c>
      <c r="B7" s="37">
        <f t="shared" ref="B7:B12" si="0">B27</f>
        <v>4151.3239999999996</v>
      </c>
      <c r="C7" s="33"/>
      <c r="D7" s="37">
        <f>IF(ISERROR(TER_horeca_gas_kWh/1000),0,TER_horeca_gas_kWh/1000)*0.902</f>
        <v>5355.4876479544564</v>
      </c>
      <c r="E7" s="33">
        <f>$C$27*'E Balans VL '!I9/100/3.6*1000000</f>
        <v>174.26098294997618</v>
      </c>
      <c r="F7" s="33">
        <f>$C$27*('E Balans VL '!L9+'E Balans VL '!N9)/100/3.6*1000000</f>
        <v>891.99709231650058</v>
      </c>
      <c r="G7" s="34"/>
      <c r="H7" s="33"/>
      <c r="I7" s="33"/>
      <c r="J7" s="33">
        <f>$C$27*('E Balans VL '!D9+'E Balans VL '!E9)/100/3.6*1000000</f>
        <v>0</v>
      </c>
      <c r="K7" s="33"/>
      <c r="L7" s="33"/>
      <c r="M7" s="33"/>
      <c r="N7" s="33">
        <f>$C$27*'E Balans VL '!Y9/100/3.6*1000000</f>
        <v>1.0697598901545846</v>
      </c>
      <c r="O7" s="33"/>
      <c r="P7" s="33"/>
      <c r="R7" s="32"/>
    </row>
    <row r="8" spans="1:18">
      <c r="A8" s="6" t="s">
        <v>52</v>
      </c>
      <c r="B8" s="37">
        <f t="shared" si="0"/>
        <v>40095.266000000003</v>
      </c>
      <c r="C8" s="33"/>
      <c r="D8" s="37">
        <f>IF(ISERROR(TER_handel_gas_kWh/1000),0,TER_handel_gas_kWh/1000)*0.902</f>
        <v>22518.046588946057</v>
      </c>
      <c r="E8" s="33">
        <f>$C$28*'E Balans VL '!I13/100/3.6*1000000</f>
        <v>430.65652718128683</v>
      </c>
      <c r="F8" s="33">
        <f>$C$28*('E Balans VL '!L13+'E Balans VL '!N13)/100/3.6*1000000</f>
        <v>5190.6632835810742</v>
      </c>
      <c r="G8" s="34"/>
      <c r="H8" s="33"/>
      <c r="I8" s="33"/>
      <c r="J8" s="33">
        <f>$C$28*('E Balans VL '!D13+'E Balans VL '!E13)/100/3.6*1000000</f>
        <v>0</v>
      </c>
      <c r="K8" s="33"/>
      <c r="L8" s="33"/>
      <c r="M8" s="33"/>
      <c r="N8" s="33">
        <f>$C$28*'E Balans VL '!Y13/100/3.6*1000000</f>
        <v>325.25498708871328</v>
      </c>
      <c r="O8" s="33"/>
      <c r="P8" s="33"/>
      <c r="R8" s="32"/>
    </row>
    <row r="9" spans="1:18">
      <c r="A9" s="32" t="s">
        <v>51</v>
      </c>
      <c r="B9" s="37">
        <f t="shared" si="0"/>
        <v>1389.75</v>
      </c>
      <c r="C9" s="33"/>
      <c r="D9" s="37">
        <f>IF(ISERROR(TER_gezond_gas_kWh/1000),0,TER_gezond_gas_kWh/1000)*0.902</f>
        <v>1984.9228229026658</v>
      </c>
      <c r="E9" s="33">
        <f>$C$29*'E Balans VL '!I10/100/3.6*1000000</f>
        <v>1.1063308866218664</v>
      </c>
      <c r="F9" s="33">
        <f>$C$29*('E Balans VL '!L10+'E Balans VL '!N10)/100/3.6*1000000</f>
        <v>168.94419619644668</v>
      </c>
      <c r="G9" s="34"/>
      <c r="H9" s="33"/>
      <c r="I9" s="33"/>
      <c r="J9" s="33">
        <f>$C$29*('E Balans VL '!D10+'E Balans VL '!E10)/100/3.6*1000000</f>
        <v>0</v>
      </c>
      <c r="K9" s="33"/>
      <c r="L9" s="33"/>
      <c r="M9" s="33"/>
      <c r="N9" s="33">
        <f>$C$29*'E Balans VL '!Y10/100/3.6*1000000</f>
        <v>11.226032309928952</v>
      </c>
      <c r="O9" s="33"/>
      <c r="P9" s="33"/>
      <c r="R9" s="32"/>
    </row>
    <row r="10" spans="1:18">
      <c r="A10" s="32" t="s">
        <v>50</v>
      </c>
      <c r="B10" s="37">
        <f t="shared" si="0"/>
        <v>3151.2240000000002</v>
      </c>
      <c r="C10" s="33"/>
      <c r="D10" s="37">
        <f>IF(ISERROR(TER_ander_gas_kWh/1000),0,TER_ander_gas_kWh/1000)*0.902</f>
        <v>4459.8740880485566</v>
      </c>
      <c r="E10" s="33">
        <f>$C$30*'E Balans VL '!I14/100/3.6*1000000</f>
        <v>10.799410192088535</v>
      </c>
      <c r="F10" s="33">
        <f>$C$30*('E Balans VL '!L14+'E Balans VL '!N14)/100/3.6*1000000</f>
        <v>703.85539094055969</v>
      </c>
      <c r="G10" s="34"/>
      <c r="H10" s="33"/>
      <c r="I10" s="33"/>
      <c r="J10" s="33">
        <f>$C$30*('E Balans VL '!D14+'E Balans VL '!E14)/100/3.6*1000000</f>
        <v>0</v>
      </c>
      <c r="K10" s="33"/>
      <c r="L10" s="33"/>
      <c r="M10" s="33"/>
      <c r="N10" s="33">
        <f>$C$30*'E Balans VL '!Y14/100/3.6*1000000</f>
        <v>2219.7394004002094</v>
      </c>
      <c r="O10" s="33"/>
      <c r="P10" s="33"/>
      <c r="R10" s="32"/>
    </row>
    <row r="11" spans="1:18">
      <c r="A11" s="32" t="s">
        <v>55</v>
      </c>
      <c r="B11" s="37">
        <f t="shared" si="0"/>
        <v>619.67430000000002</v>
      </c>
      <c r="C11" s="33"/>
      <c r="D11" s="37">
        <f>IF(ISERROR(TER_onderwijs_gas_kWh/1000),0,TER_onderwijs_gas_kWh/1000)*0.902</f>
        <v>1169.8988183577831</v>
      </c>
      <c r="E11" s="33">
        <f>$C$31*'E Balans VL '!I11/100/3.6*1000000</f>
        <v>0.42836175912353114</v>
      </c>
      <c r="F11" s="33">
        <f>$C$31*('E Balans VL '!L11+'E Balans VL '!N11)/100/3.6*1000000</f>
        <v>162.21273142293583</v>
      </c>
      <c r="G11" s="34"/>
      <c r="H11" s="33"/>
      <c r="I11" s="33"/>
      <c r="J11" s="33">
        <f>$C$31*('E Balans VL '!D11+'E Balans VL '!E11)/100/3.6*1000000</f>
        <v>0</v>
      </c>
      <c r="K11" s="33"/>
      <c r="L11" s="33"/>
      <c r="M11" s="33"/>
      <c r="N11" s="33">
        <f>$C$31*'E Balans VL '!Y11/100/3.6*1000000</f>
        <v>0.61683298591038171</v>
      </c>
      <c r="O11" s="33"/>
      <c r="P11" s="33"/>
      <c r="R11" s="32"/>
    </row>
    <row r="12" spans="1:18">
      <c r="A12" s="32" t="s">
        <v>260</v>
      </c>
      <c r="B12" s="37">
        <f t="shared" si="0"/>
        <v>35746.525000000001</v>
      </c>
      <c r="C12" s="33"/>
      <c r="D12" s="37">
        <f>IF(ISERROR(TER_rest_gas_kWh/1000),0,TER_rest_gas_kWh/1000)*0.902</f>
        <v>18181.552266786803</v>
      </c>
      <c r="E12" s="33">
        <f>$C$32*'E Balans VL '!I8/100/3.6*1000000</f>
        <v>323.18970663613027</v>
      </c>
      <c r="F12" s="33">
        <f>$C$32*('E Balans VL '!L8+'E Balans VL '!N8)/100/3.6*1000000</f>
        <v>5269.3255024932096</v>
      </c>
      <c r="G12" s="34"/>
      <c r="H12" s="33"/>
      <c r="I12" s="33"/>
      <c r="J12" s="33">
        <f>$C$32*('E Balans VL '!D8+'E Balans VL '!E8)/100/3.6*1000000</f>
        <v>0</v>
      </c>
      <c r="K12" s="33"/>
      <c r="L12" s="33"/>
      <c r="M12" s="33"/>
      <c r="N12" s="33">
        <f>$C$32*'E Balans VL '!Y8/100/3.6*1000000</f>
        <v>3048.7004152821705</v>
      </c>
      <c r="O12" s="33"/>
      <c r="P12" s="33"/>
      <c r="R12" s="32"/>
    </row>
    <row r="13" spans="1:18">
      <c r="A13" s="16" t="s">
        <v>494</v>
      </c>
      <c r="B13" s="247">
        <f ca="1">'lokale energieproductie'!N91+'lokale energieproductie'!N60</f>
        <v>801</v>
      </c>
      <c r="C13" s="247">
        <f ca="1">'lokale energieproductie'!O91+'lokale energieproductie'!O60</f>
        <v>1144.2857142857142</v>
      </c>
      <c r="D13" s="310">
        <f ca="1">('lokale energieproductie'!P60+'lokale energieproductie'!P91)*(-1)</f>
        <v>-2288.5714285714289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200954.76329999999</v>
      </c>
      <c r="C16" s="21">
        <f t="shared" ca="1" si="1"/>
        <v>1144.2857142857142</v>
      </c>
      <c r="D16" s="21">
        <f t="shared" ca="1" si="1"/>
        <v>101597.12548682751</v>
      </c>
      <c r="E16" s="21">
        <f t="shared" si="1"/>
        <v>1273.6131924976785</v>
      </c>
      <c r="F16" s="21">
        <f t="shared" ca="1" si="1"/>
        <v>25402.464550511177</v>
      </c>
      <c r="G16" s="21">
        <f t="shared" si="1"/>
        <v>0</v>
      </c>
      <c r="H16" s="21">
        <f t="shared" si="1"/>
        <v>0</v>
      </c>
      <c r="I16" s="21">
        <f t="shared" si="1"/>
        <v>0</v>
      </c>
      <c r="J16" s="21">
        <f t="shared" si="1"/>
        <v>0</v>
      </c>
      <c r="K16" s="21">
        <f t="shared" si="1"/>
        <v>0</v>
      </c>
      <c r="L16" s="21">
        <f t="shared" ca="1" si="1"/>
        <v>0</v>
      </c>
      <c r="M16" s="21">
        <f t="shared" si="1"/>
        <v>0</v>
      </c>
      <c r="N16" s="21">
        <f t="shared" ca="1" si="1"/>
        <v>6757.6726921737391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0.21715775056905018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43638.884364363919</v>
      </c>
      <c r="C20" s="23">
        <f t="shared" ref="C20:P20" ca="1" si="2">C16*C18</f>
        <v>271.93613445378156</v>
      </c>
      <c r="D20" s="23">
        <f t="shared" ca="1" si="2"/>
        <v>20522.619348339158</v>
      </c>
      <c r="E20" s="23">
        <f t="shared" si="2"/>
        <v>289.11019469697305</v>
      </c>
      <c r="F20" s="23">
        <f t="shared" ca="1" si="2"/>
        <v>6782.4580349864846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115000</v>
      </c>
      <c r="C26" s="39">
        <f>IF(ISERROR(B26*3.6/1000000/'E Balans VL '!Z12*100),0,B26*3.6/1000000/'E Balans VL '!Z12*100)</f>
        <v>2.526107953313578</v>
      </c>
      <c r="D26" s="237" t="s">
        <v>692</v>
      </c>
      <c r="F26" s="6"/>
    </row>
    <row r="27" spans="1:18">
      <c r="A27" s="231" t="s">
        <v>53</v>
      </c>
      <c r="B27" s="33">
        <f>IF(ISERROR(TER_horeca_ele_kWh/1000),0,TER_horeca_ele_kWh/1000)</f>
        <v>4151.3239999999996</v>
      </c>
      <c r="C27" s="39">
        <f>IF(ISERROR(B27*3.6/1000000/'E Balans VL '!Z9*100),0,B27*3.6/1000000/'E Balans VL '!Z9*100)</f>
        <v>0.3336002642863849</v>
      </c>
      <c r="D27" s="237" t="s">
        <v>692</v>
      </c>
      <c r="F27" s="6"/>
    </row>
    <row r="28" spans="1:18">
      <c r="A28" s="171" t="s">
        <v>52</v>
      </c>
      <c r="B28" s="33">
        <f>IF(ISERROR(TER_handel_ele_kWh/1000),0,TER_handel_ele_kWh/1000)</f>
        <v>40095.266000000003</v>
      </c>
      <c r="C28" s="39">
        <f>IF(ISERROR(B28*3.6/1000000/'E Balans VL '!Z13*100),0,B28*3.6/1000000/'E Balans VL '!Z13*100)</f>
        <v>1.1855890044790347</v>
      </c>
      <c r="D28" s="237" t="s">
        <v>692</v>
      </c>
      <c r="F28" s="6"/>
    </row>
    <row r="29" spans="1:18">
      <c r="A29" s="231" t="s">
        <v>51</v>
      </c>
      <c r="B29" s="33">
        <f>IF(ISERROR(TER_gezond_ele_kWh/1000),0,TER_gezond_ele_kWh/1000)</f>
        <v>1389.75</v>
      </c>
      <c r="C29" s="39">
        <f>IF(ISERROR(B29*3.6/1000000/'E Balans VL '!Z10*100),0,B29*3.6/1000000/'E Balans VL '!Z10*100)</f>
        <v>0.15658894481784608</v>
      </c>
      <c r="D29" s="237" t="s">
        <v>692</v>
      </c>
      <c r="F29" s="6"/>
    </row>
    <row r="30" spans="1:18">
      <c r="A30" s="231" t="s">
        <v>50</v>
      </c>
      <c r="B30" s="33">
        <f>IF(ISERROR(TER_ander_ele_kWh/1000),0,TER_ander_ele_kWh/1000)</f>
        <v>3151.2240000000002</v>
      </c>
      <c r="C30" s="39">
        <f>IF(ISERROR(B30*3.6/1000000/'E Balans VL '!Z14*100),0,B30*3.6/1000000/'E Balans VL '!Z14*100)</f>
        <v>0.23832168434589296</v>
      </c>
      <c r="D30" s="237" t="s">
        <v>692</v>
      </c>
      <c r="F30" s="6"/>
    </row>
    <row r="31" spans="1:18">
      <c r="A31" s="231" t="s">
        <v>55</v>
      </c>
      <c r="B31" s="33">
        <f>IF(ISERROR(TER_onderwijs_ele_kWh/1000),0,TER_onderwijs_ele_kWh/1000)</f>
        <v>619.67430000000002</v>
      </c>
      <c r="C31" s="39">
        <f>IF(ISERROR(B31*3.6/1000000/'E Balans VL '!Z11*100),0,B31*3.6/1000000/'E Balans VL '!Z11*100)</f>
        <v>0.12862999955868484</v>
      </c>
      <c r="D31" s="237" t="s">
        <v>692</v>
      </c>
    </row>
    <row r="32" spans="1:18">
      <c r="A32" s="231" t="s">
        <v>260</v>
      </c>
      <c r="B32" s="33">
        <f>IF(ISERROR(TER_rest_ele_kWh/1000),0,TER_rest_ele_kWh/1000)</f>
        <v>35746.525000000001</v>
      </c>
      <c r="C32" s="39">
        <f>IF(ISERROR(B32*3.6/1000000/'E Balans VL '!Z8*100),0,B32*3.6/1000000/'E Balans VL '!Z8*100)</f>
        <v>0.30114344415648109</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43010.987479999996</v>
      </c>
      <c r="C5" s="17">
        <f>IF(ISERROR('Eigen informatie GS &amp; warmtenet'!B59),0,'Eigen informatie GS &amp; warmtenet'!B59)</f>
        <v>0</v>
      </c>
      <c r="D5" s="30">
        <f>SUM(D6:D15)</f>
        <v>23192.712036869438</v>
      </c>
      <c r="E5" s="17">
        <f>SUM(E6:E15)</f>
        <v>1743.4215745788513</v>
      </c>
      <c r="F5" s="17">
        <f>SUM(F6:F15)</f>
        <v>14862.133613588692</v>
      </c>
      <c r="G5" s="18"/>
      <c r="H5" s="17"/>
      <c r="I5" s="17"/>
      <c r="J5" s="17">
        <f>SUM(J6:J15)</f>
        <v>37.793481239156456</v>
      </c>
      <c r="K5" s="17"/>
      <c r="L5" s="17"/>
      <c r="M5" s="17"/>
      <c r="N5" s="17">
        <f>SUM(N6:N15)</f>
        <v>2941.2202378679722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34146.150999999998</v>
      </c>
      <c r="C8" s="33"/>
      <c r="D8" s="37">
        <f>IF( ISERROR(IND_metaal_Gas_kWH/1000),0,IND_metaal_Gas_kWH/1000)*0.902</f>
        <v>10690.648310624792</v>
      </c>
      <c r="E8" s="33">
        <f>C30*'E Balans VL '!I18/100/3.6*1000000</f>
        <v>854.55865056181256</v>
      </c>
      <c r="F8" s="33">
        <f>C30*'E Balans VL '!L18/100/3.6*1000000+C30*'E Balans VL '!N18/100/3.6*1000000</f>
        <v>10701.5735750902</v>
      </c>
      <c r="G8" s="34"/>
      <c r="H8" s="33"/>
      <c r="I8" s="33"/>
      <c r="J8" s="40">
        <f>C30*'E Balans VL '!D18/100/3.6*1000000+C30*'E Balans VL '!E18/100/3.6*1000000</f>
        <v>0</v>
      </c>
      <c r="K8" s="33"/>
      <c r="L8" s="33"/>
      <c r="M8" s="33"/>
      <c r="N8" s="33">
        <f>C30*'E Balans VL '!Y18/100/3.6*1000000</f>
        <v>857.83993010930624</v>
      </c>
      <c r="O8" s="33"/>
      <c r="P8" s="33"/>
      <c r="R8" s="32"/>
    </row>
    <row r="9" spans="1:18">
      <c r="A9" s="6" t="s">
        <v>33</v>
      </c>
      <c r="B9" s="37">
        <f t="shared" si="0"/>
        <v>2196.127</v>
      </c>
      <c r="C9" s="33"/>
      <c r="D9" s="37">
        <f>IF( ISERROR(IND_andere_gas_kWh/1000),0,IND_andere_gas_kWh/1000)*0.902</f>
        <v>7947.6941500630792</v>
      </c>
      <c r="E9" s="33">
        <f>C31*'E Balans VL '!I19/100/3.6*1000000</f>
        <v>603.84485072900304</v>
      </c>
      <c r="F9" s="33">
        <f>C31*'E Balans VL '!L19/100/3.6*1000000+C31*'E Balans VL '!N19/100/3.6*1000000</f>
        <v>1730.9302295358439</v>
      </c>
      <c r="G9" s="34"/>
      <c r="H9" s="33"/>
      <c r="I9" s="33"/>
      <c r="J9" s="40">
        <f>C31*'E Balans VL '!D19/100/3.6*1000000+C31*'E Balans VL '!E19/100/3.6*1000000</f>
        <v>0</v>
      </c>
      <c r="K9" s="33"/>
      <c r="L9" s="33"/>
      <c r="M9" s="33"/>
      <c r="N9" s="33">
        <f>C31*'E Balans VL '!Y19/100/3.6*1000000</f>
        <v>710.94427795247566</v>
      </c>
      <c r="O9" s="33"/>
      <c r="P9" s="33"/>
      <c r="R9" s="32"/>
    </row>
    <row r="10" spans="1:18">
      <c r="A10" s="6" t="s">
        <v>41</v>
      </c>
      <c r="B10" s="37">
        <f t="shared" si="0"/>
        <v>626.76409999999998</v>
      </c>
      <c r="C10" s="33"/>
      <c r="D10" s="37">
        <f>IF( ISERROR(IND_voed_gas_kWh/1000),0,IND_voed_gas_kWh/1000)*0.902</f>
        <v>913.10471586074436</v>
      </c>
      <c r="E10" s="33">
        <f>C32*'E Balans VL '!I20/100/3.6*1000000</f>
        <v>6.3895147131870971</v>
      </c>
      <c r="F10" s="33">
        <f>C32*'E Balans VL '!L20/100/3.6*1000000+C32*'E Balans VL '!N20/100/3.6*1000000</f>
        <v>1183.9534648689587</v>
      </c>
      <c r="G10" s="34"/>
      <c r="H10" s="33"/>
      <c r="I10" s="33"/>
      <c r="J10" s="40">
        <f>C32*'E Balans VL '!D20/100/3.6*1000000+C32*'E Balans VL '!E20/100/3.6*1000000</f>
        <v>15.000515694419901</v>
      </c>
      <c r="K10" s="33"/>
      <c r="L10" s="33"/>
      <c r="M10" s="33"/>
      <c r="N10" s="33">
        <f>C32*'E Balans VL '!Y20/100/3.6*1000000</f>
        <v>330.37687507158864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26.886080000000003</v>
      </c>
      <c r="C13" s="33"/>
      <c r="D13" s="37">
        <f>IF( ISERROR(IND_papier_gas_kWh/1000),0,IND_papier_gas_kWh/1000)*0.902</f>
        <v>89.672133719388455</v>
      </c>
      <c r="E13" s="33">
        <f>C35*'E Balans VL '!I23/100/3.6*1000000</f>
        <v>5.5682886446701191E-2</v>
      </c>
      <c r="F13" s="33">
        <f>C35*'E Balans VL '!L23/100/3.6*1000000+C35*'E Balans VL '!N23/100/3.6*1000000</f>
        <v>0.5332086055743136</v>
      </c>
      <c r="G13" s="34"/>
      <c r="H13" s="33"/>
      <c r="I13" s="33"/>
      <c r="J13" s="40">
        <f>C35*'E Balans VL '!D23/100/3.6*1000000+C35*'E Balans VL '!E23/100/3.6*1000000</f>
        <v>0</v>
      </c>
      <c r="K13" s="33"/>
      <c r="L13" s="33"/>
      <c r="M13" s="33"/>
      <c r="N13" s="33">
        <f>C35*'E Balans VL '!Y23/100/3.6*1000000</f>
        <v>11.352589979855425</v>
      </c>
      <c r="O13" s="33"/>
      <c r="P13" s="33"/>
      <c r="R13" s="32"/>
    </row>
    <row r="14" spans="1:18">
      <c r="A14" s="6" t="s">
        <v>34</v>
      </c>
      <c r="B14" s="37">
        <f t="shared" si="0"/>
        <v>582.1223</v>
      </c>
      <c r="C14" s="33"/>
      <c r="D14" s="37">
        <f>IF( ISERROR(IND_chemie_gas_kWh/1000),0,IND_chemie_gas_kWh/1000)*0.902</f>
        <v>0</v>
      </c>
      <c r="E14" s="33">
        <f>C36*'E Balans VL '!I24/100/3.6*1000000</f>
        <v>2.1824721705486132</v>
      </c>
      <c r="F14" s="33">
        <f>C36*'E Balans VL '!L24/100/3.6*1000000+C36*'E Balans VL '!N24/100/3.6*1000000</f>
        <v>6.7723831978907461</v>
      </c>
      <c r="G14" s="34"/>
      <c r="H14" s="33"/>
      <c r="I14" s="33"/>
      <c r="J14" s="40">
        <f>C36*'E Balans VL '!D24/100/3.6*1000000+C36*'E Balans VL '!E24/100/3.6*1000000</f>
        <v>0</v>
      </c>
      <c r="K14" s="33"/>
      <c r="L14" s="33"/>
      <c r="M14" s="33"/>
      <c r="N14" s="33">
        <f>C36*'E Balans VL '!Y24/100/3.6*1000000</f>
        <v>9.94528012365301</v>
      </c>
      <c r="O14" s="33"/>
      <c r="P14" s="33"/>
      <c r="R14" s="32"/>
    </row>
    <row r="15" spans="1:18">
      <c r="A15" s="6" t="s">
        <v>270</v>
      </c>
      <c r="B15" s="37">
        <f t="shared" si="0"/>
        <v>5432.9369999999999</v>
      </c>
      <c r="C15" s="33"/>
      <c r="D15" s="37">
        <f>IF( ISERROR(IND_rest_gas_kWh/1000),0,IND_rest_gas_kWh/1000)*0.902</f>
        <v>3551.5927266014314</v>
      </c>
      <c r="E15" s="33">
        <f>C37*'E Balans VL '!I15/100/3.6*1000000</f>
        <v>276.39040351785326</v>
      </c>
      <c r="F15" s="33">
        <f>C37*'E Balans VL '!L15/100/3.6*1000000+C37*'E Balans VL '!N15/100/3.6*1000000</f>
        <v>1238.3707522902228</v>
      </c>
      <c r="G15" s="34"/>
      <c r="H15" s="33"/>
      <c r="I15" s="33"/>
      <c r="J15" s="40">
        <f>C37*'E Balans VL '!D15/100/3.6*1000000+C37*'E Balans VL '!E15/100/3.6*1000000</f>
        <v>22.792965544736553</v>
      </c>
      <c r="K15" s="33"/>
      <c r="L15" s="33"/>
      <c r="M15" s="33"/>
      <c r="N15" s="33">
        <f>C37*'E Balans VL '!Y15/100/3.6*1000000</f>
        <v>1020.7612846310932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43010.987479999996</v>
      </c>
      <c r="C18" s="21">
        <f>C5+C16</f>
        <v>0</v>
      </c>
      <c r="D18" s="21">
        <f>MAX((D5+D16),0)</f>
        <v>23192.712036869438</v>
      </c>
      <c r="E18" s="21">
        <f>MAX((E5+E16),0)</f>
        <v>1743.4215745788513</v>
      </c>
      <c r="F18" s="21">
        <f>MAX((F5+F16),0)</f>
        <v>14862.133613588692</v>
      </c>
      <c r="G18" s="21"/>
      <c r="H18" s="21"/>
      <c r="I18" s="21"/>
      <c r="J18" s="21">
        <f>MAX((J5+J16),0)</f>
        <v>37.793481239156456</v>
      </c>
      <c r="K18" s="21"/>
      <c r="L18" s="21">
        <f>MAX((L5+L16),0)</f>
        <v>0</v>
      </c>
      <c r="M18" s="21"/>
      <c r="N18" s="21">
        <f>MAX((N5+N16),0)</f>
        <v>2941.2202378679722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0.21715775056905018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9340.1692909103785</v>
      </c>
      <c r="C22" s="23">
        <f ca="1">C18*C20</f>
        <v>0</v>
      </c>
      <c r="D22" s="23">
        <f>D18*D20</f>
        <v>4684.9278314476269</v>
      </c>
      <c r="E22" s="23">
        <f>E18*E20</f>
        <v>395.75669742939925</v>
      </c>
      <c r="F22" s="23">
        <f>F18*F20</f>
        <v>3968.1896748281811</v>
      </c>
      <c r="G22" s="23"/>
      <c r="H22" s="23"/>
      <c r="I22" s="23"/>
      <c r="J22" s="23">
        <f>J18*J20</f>
        <v>13.378892358661385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34146.150999999998</v>
      </c>
      <c r="C30" s="39">
        <f>IF(ISERROR(B30*3.6/1000000/'E Balans VL '!Z18*100),0,B30*3.6/1000000/'E Balans VL '!Z18*100)</f>
        <v>4.779323206946831</v>
      </c>
      <c r="D30" s="237" t="s">
        <v>692</v>
      </c>
    </row>
    <row r="31" spans="1:18">
      <c r="A31" s="6" t="s">
        <v>33</v>
      </c>
      <c r="B31" s="37">
        <f>IF( ISERROR(IND_ander_ele_kWh/1000),0,IND_ander_ele_kWh/1000)</f>
        <v>2196.127</v>
      </c>
      <c r="C31" s="39">
        <f>IF(ISERROR(B31*3.6/1000000/'E Balans VL '!Z19*100),0,B31*3.6/1000000/'E Balans VL '!Z19*100)</f>
        <v>9.6124122527584843E-2</v>
      </c>
      <c r="D31" s="237" t="s">
        <v>692</v>
      </c>
    </row>
    <row r="32" spans="1:18">
      <c r="A32" s="171" t="s">
        <v>41</v>
      </c>
      <c r="B32" s="37">
        <f>IF( ISERROR(IND_voed_ele_kWh/1000),0,IND_voed_ele_kWh/1000)</f>
        <v>626.76409999999998</v>
      </c>
      <c r="C32" s="39">
        <f>IF(ISERROR(B32*3.6/1000000/'E Balans VL '!Z20*100),0,B32*3.6/1000000/'E Balans VL '!Z20*100)</f>
        <v>0.15516597735089011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26.886080000000003</v>
      </c>
      <c r="C35" s="39">
        <f>IF(ISERROR(B35*3.6/1000000/'E Balans VL '!Z22*100),0,B35*3.6/1000000/'E Balans VL '!Z22*100)</f>
        <v>7.6291726108879241E-4</v>
      </c>
      <c r="D35" s="237" t="s">
        <v>692</v>
      </c>
    </row>
    <row r="36" spans="1:5">
      <c r="A36" s="171" t="s">
        <v>34</v>
      </c>
      <c r="B36" s="37">
        <f>IF( ISERROR(IND_chemie_ele_kWh/1000),0,IND_chemie_ele_kWh/1000)</f>
        <v>582.1223</v>
      </c>
      <c r="C36" s="39">
        <f>IF(ISERROR(B36*3.6/1000000/'E Balans VL '!Z24*100),0,B36*3.6/1000000/'E Balans VL '!Z24*100)</f>
        <v>1.4843230135242164E-2</v>
      </c>
      <c r="D36" s="237" t="s">
        <v>692</v>
      </c>
    </row>
    <row r="37" spans="1:5">
      <c r="A37" s="171" t="s">
        <v>270</v>
      </c>
      <c r="B37" s="37">
        <f>IF( ISERROR(IND_rest_ele_kWh/1000),0,IND_rest_ele_kWh/1000)</f>
        <v>5432.9369999999999</v>
      </c>
      <c r="C37" s="39">
        <f>IF(ISERROR(B37*3.6/1000000/'E Balans VL '!Z15*100),0,B37*3.6/1000000/'E Balans VL '!Z15*100)</f>
        <v>4.0284297696824609E-2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666.12954999999999</v>
      </c>
      <c r="C5" s="17">
        <f>'Eigen informatie GS &amp; warmtenet'!B60</f>
        <v>0</v>
      </c>
      <c r="D5" s="30">
        <f>IF(ISERROR(SUM(LB_lb_gas_kWh,LB_rest_gas_kWh)/1000),0,SUM(LB_lb_gas_kWh,LB_rest_gas_kWh)/1000)*0.902</f>
        <v>176.28569513640676</v>
      </c>
      <c r="E5" s="17">
        <f>B17*'E Balans VL '!I25/3.6*1000000/100</f>
        <v>6.169970892801822</v>
      </c>
      <c r="F5" s="17">
        <f>B17*('E Balans VL '!L25/3.6*1000000+'E Balans VL '!N25/3.6*1000000)/100</f>
        <v>1690.0975658990503</v>
      </c>
      <c r="G5" s="18"/>
      <c r="H5" s="17"/>
      <c r="I5" s="17"/>
      <c r="J5" s="17">
        <f>('E Balans VL '!D25+'E Balans VL '!E25)/3.6*1000000*landbouw!B17/100</f>
        <v>102.12509404247494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666.12954999999999</v>
      </c>
      <c r="C8" s="21">
        <f>C5+C6</f>
        <v>0</v>
      </c>
      <c r="D8" s="21">
        <f>MAX((D5+D6),0)</f>
        <v>176.28569513640676</v>
      </c>
      <c r="E8" s="21">
        <f>MAX((E5+E6),0)</f>
        <v>6.169970892801822</v>
      </c>
      <c r="F8" s="21">
        <f>MAX((F5+F6),0)</f>
        <v>1690.0975658990503</v>
      </c>
      <c r="G8" s="21"/>
      <c r="H8" s="21"/>
      <c r="I8" s="21"/>
      <c r="J8" s="21">
        <f>MAX((J5+J6),0)</f>
        <v>102.12509404247494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0.21715775056905018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144.65519466557365</v>
      </c>
      <c r="C12" s="23">
        <f ca="1">C8*C10</f>
        <v>0</v>
      </c>
      <c r="D12" s="23">
        <f>D8*D10</f>
        <v>35.609710417554169</v>
      </c>
      <c r="E12" s="23">
        <f>E8*E10</f>
        <v>1.4005833926660136</v>
      </c>
      <c r="F12" s="23">
        <f>F8*F10</f>
        <v>451.25605009504648</v>
      </c>
      <c r="G12" s="23"/>
      <c r="H12" s="23"/>
      <c r="I12" s="23"/>
      <c r="J12" s="23">
        <f>J8*J10</f>
        <v>36.152283291036127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9.4709497622152708E-2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1.4764842327263923</v>
      </c>
      <c r="C26" s="247">
        <f>B26*'GWP N2O_CH4'!B5</f>
        <v>31.006168887254237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0.10820938805608911</v>
      </c>
      <c r="C27" s="247">
        <f>B27*'GWP N2O_CH4'!B5</f>
        <v>2.2723971491778712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1.8759483160012944E-2</v>
      </c>
      <c r="C28" s="247">
        <f>B28*'GWP N2O_CH4'!B4</f>
        <v>5.8154397796040129</v>
      </c>
      <c r="D28" s="50"/>
    </row>
    <row r="29" spans="1:4">
      <c r="A29" s="41" t="s">
        <v>277</v>
      </c>
      <c r="B29" s="247">
        <f>B34*'ha_N2O bodem landbouw'!B4</f>
        <v>4.8589237663306042</v>
      </c>
      <c r="C29" s="247">
        <f>B29*'GWP N2O_CH4'!B4</f>
        <v>1506.2663675624874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1.0897709996199165E-3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3.0434107443639522E-4</v>
      </c>
      <c r="C5" s="464" t="s">
        <v>211</v>
      </c>
      <c r="D5" s="449">
        <f>SUM(D6:D11)</f>
        <v>7.632918602625355E-4</v>
      </c>
      <c r="E5" s="449">
        <f>SUM(E6:E11)</f>
        <v>5.8357515255826982E-3</v>
      </c>
      <c r="F5" s="462" t="s">
        <v>211</v>
      </c>
      <c r="G5" s="449">
        <f>SUM(G6:G11)</f>
        <v>1.5112722354941268</v>
      </c>
      <c r="H5" s="449">
        <f>SUM(H6:H11)</f>
        <v>0.29920753310588083</v>
      </c>
      <c r="I5" s="464" t="s">
        <v>211</v>
      </c>
      <c r="J5" s="464" t="s">
        <v>211</v>
      </c>
      <c r="K5" s="464" t="s">
        <v>211</v>
      </c>
      <c r="L5" s="464" t="s">
        <v>211</v>
      </c>
      <c r="M5" s="449">
        <f>SUM(M6:M11)</f>
        <v>9.6630960981496122E-2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5.3597921348915708E-5</v>
      </c>
      <c r="C6" s="450"/>
      <c r="D6" s="893">
        <f>vkm_2011_GW_PW*SUMIFS(TableVerdeelsleutelVkm[CNG],TableVerdeelsleutelVkm[Voertuigtype],"Lichte voertuigen")*SUMIFS(TableECFTransport[EnergieConsumptieFactor (PJ per km)],TableECFTransport[Index],CONCATENATE($A6,"_CNG_CNG"))</f>
        <v>1.2397789296674015E-4</v>
      </c>
      <c r="E6" s="893">
        <f>vkm_2011_GW_PW*SUMIFS(TableVerdeelsleutelVkm[LPG],TableVerdeelsleutelVkm[Voertuigtype],"Lichte voertuigen")*SUMIFS(TableECFTransport[EnergieConsumptieFactor (PJ per km)],TableECFTransport[Index],CONCATENATE($A6,"_LPG_LPG"))</f>
        <v>8.0726917084695778E-4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0.16770419784823817</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4.7272347662623691E-2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1.1156168288262477E-2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3.4522756238956509E-2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1.1806155671264482E-5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1.9973371322863924E-3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1.8719845562064395E-5</v>
      </c>
      <c r="C8" s="450"/>
      <c r="D8" s="452">
        <f>vkm_2011_NGW_PW*SUMIFS(TableVerdeelsleutelVkm[CNG],TableVerdeelsleutelVkm[Voertuigtype],"Lichte voertuigen")*SUMIFS(TableECFTransport[EnergieConsumptieFactor (PJ per km)],TableECFTransport[Index],CONCATENATE($A8,"_CNG_CNG"))</f>
        <v>7.6586927308311154E-5</v>
      </c>
      <c r="E8" s="452">
        <f>vkm_2011_NGW_PW*SUMIFS(TableVerdeelsleutelVkm[LPG],TableVerdeelsleutelVkm[Voertuigtype],"Lichte voertuigen")*SUMIFS(TableECFTransport[EnergieConsumptieFactor (PJ per km)],TableECFTransport[Index],CONCATENATE($A8,"_LPG_LPG"))</f>
        <v>4.6023697640609887E-4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8.9377344700249717E-2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2.8236596160495616E-2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6.0393183411280105E-3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1.4706933254028855E-3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4.7589922845749957E-7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8.5087112362782307E-5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2.3202330752541511E-4</v>
      </c>
      <c r="C10" s="450"/>
      <c r="D10" s="452">
        <f>vkm_2011_SW_PW*SUMIFS(TableVerdeelsleutelVkm[CNG],TableVerdeelsleutelVkm[Voertuigtype],"Lichte voertuigen")*SUMIFS(TableECFTransport[EnergieConsumptieFactor (PJ per km)],TableECFTransport[Index],CONCATENATE($A10,"_CNG_CNG"))</f>
        <v>5.627270399874842E-4</v>
      </c>
      <c r="E10" s="452">
        <f>vkm_2011_SW_PW*SUMIFS(TableVerdeelsleutelVkm[LPG],TableVerdeelsleutelVkm[Voertuigtype],"Lichte voertuigen")*SUMIFS(TableECFTransport[EnergieConsumptieFactor (PJ per km)],TableECFTransport[Index],CONCATENATE($A10,"_LPG_LPG"))</f>
        <v>4.5682453783296413E-3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0.85439305142412558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0.22355222273170475</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5.6304617770584285E-2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0.36380419195715386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1.3408449615705186E-4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2.1048432336872175E-2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84.539187343443103</v>
      </c>
      <c r="C14" s="21"/>
      <c r="D14" s="21">
        <f t="shared" ref="D14:M14" si="0">((D5)*10^9/3600)+D12</f>
        <v>212.0255167395932</v>
      </c>
      <c r="E14" s="21">
        <f t="shared" si="0"/>
        <v>1621.0420904396383</v>
      </c>
      <c r="F14" s="21"/>
      <c r="G14" s="21">
        <f t="shared" si="0"/>
        <v>419797.84319281299</v>
      </c>
      <c r="H14" s="21">
        <f t="shared" si="0"/>
        <v>83113.203640522464</v>
      </c>
      <c r="I14" s="21"/>
      <c r="J14" s="21"/>
      <c r="K14" s="21"/>
      <c r="L14" s="21"/>
      <c r="M14" s="21">
        <f t="shared" si="0"/>
        <v>26841.933605971146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0.21715775056905018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18.358339758437623</v>
      </c>
      <c r="C18" s="23"/>
      <c r="D18" s="23">
        <f t="shared" ref="D18:M18" si="1">D14*D16</f>
        <v>42.829154381397828</v>
      </c>
      <c r="E18" s="23">
        <f t="shared" si="1"/>
        <v>367.97655452979791</v>
      </c>
      <c r="F18" s="23"/>
      <c r="G18" s="23">
        <f t="shared" si="1"/>
        <v>112086.02413248108</v>
      </c>
      <c r="H18" s="23">
        <f t="shared" si="1"/>
        <v>20695.187706490095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3.3125587910419231E-2</v>
      </c>
      <c r="H50" s="321">
        <f t="shared" si="2"/>
        <v>0</v>
      </c>
      <c r="I50" s="321">
        <f t="shared" si="2"/>
        <v>0</v>
      </c>
      <c r="J50" s="321">
        <f t="shared" si="2"/>
        <v>0</v>
      </c>
      <c r="K50" s="321">
        <f t="shared" si="2"/>
        <v>0</v>
      </c>
      <c r="L50" s="321">
        <f t="shared" si="2"/>
        <v>0</v>
      </c>
      <c r="M50" s="321">
        <f t="shared" si="2"/>
        <v>1.8890557122259624E-3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3.3125587910419231E-2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1.8890557122259624E-3</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9201.5521973386749</v>
      </c>
      <c r="H54" s="21">
        <f t="shared" si="3"/>
        <v>0</v>
      </c>
      <c r="I54" s="21">
        <f t="shared" si="3"/>
        <v>0</v>
      </c>
      <c r="J54" s="21">
        <f t="shared" si="3"/>
        <v>0</v>
      </c>
      <c r="K54" s="21">
        <f t="shared" si="3"/>
        <v>0</v>
      </c>
      <c r="L54" s="21">
        <f t="shared" si="3"/>
        <v>0</v>
      </c>
      <c r="M54" s="21">
        <f t="shared" si="3"/>
        <v>524.73769784054514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0.21715775056905018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2456.8144366894262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203784.53229999999</v>
      </c>
      <c r="D10" s="1025">
        <f ca="1">tertiair!C16</f>
        <v>1144.2857142857142</v>
      </c>
      <c r="E10" s="1025">
        <f ca="1">tertiair!D16</f>
        <v>101597.12548682751</v>
      </c>
      <c r="F10" s="1025">
        <f>tertiair!E16</f>
        <v>1273.6131924976785</v>
      </c>
      <c r="G10" s="1025">
        <f ca="1">tertiair!F16</f>
        <v>25402.464550511177</v>
      </c>
      <c r="H10" s="1025">
        <f>tertiair!G16</f>
        <v>0</v>
      </c>
      <c r="I10" s="1025">
        <f>tertiair!H16</f>
        <v>0</v>
      </c>
      <c r="J10" s="1025">
        <f>tertiair!I16</f>
        <v>0</v>
      </c>
      <c r="K10" s="1025">
        <f>tertiair!J16</f>
        <v>0</v>
      </c>
      <c r="L10" s="1025">
        <f>tertiair!K16</f>
        <v>0</v>
      </c>
      <c r="M10" s="1025">
        <f ca="1">tertiair!L16</f>
        <v>0</v>
      </c>
      <c r="N10" s="1025">
        <f>tertiair!M16</f>
        <v>0</v>
      </c>
      <c r="O10" s="1025">
        <f ca="1">tertiair!N16</f>
        <v>6757.6726921737391</v>
      </c>
      <c r="P10" s="1025">
        <f>tertiair!O16</f>
        <v>1.5633333333333335</v>
      </c>
      <c r="Q10" s="1026">
        <f>tertiair!P16</f>
        <v>57.2</v>
      </c>
      <c r="R10" s="701">
        <f ca="1">SUM(C10:Q10)</f>
        <v>340018.45726962917</v>
      </c>
      <c r="S10" s="67"/>
    </row>
    <row r="11" spans="1:19" s="474" customFormat="1">
      <c r="A11" s="810" t="s">
        <v>225</v>
      </c>
      <c r="B11" s="815"/>
      <c r="C11" s="1025">
        <f>huishoudens!B8</f>
        <v>50313.157525977265</v>
      </c>
      <c r="D11" s="1025">
        <f>huishoudens!C8</f>
        <v>0</v>
      </c>
      <c r="E11" s="1025">
        <f>huishoudens!D8</f>
        <v>147034.31719658952</v>
      </c>
      <c r="F11" s="1025">
        <f>huishoudens!E8</f>
        <v>2036.1627138608953</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6705.6519833998127</v>
      </c>
      <c r="P11" s="1025">
        <f>huishoudens!O8</f>
        <v>96.926666666666677</v>
      </c>
      <c r="Q11" s="1026">
        <f>huishoudens!P8</f>
        <v>343.2</v>
      </c>
      <c r="R11" s="701">
        <f>SUM(C11:Q11)</f>
        <v>206529.41608649417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43010.987479999996</v>
      </c>
      <c r="D13" s="1025">
        <f>industrie!C18</f>
        <v>0</v>
      </c>
      <c r="E13" s="1025">
        <f>industrie!D18</f>
        <v>23192.712036869438</v>
      </c>
      <c r="F13" s="1025">
        <f>industrie!E18</f>
        <v>1743.4215745788513</v>
      </c>
      <c r="G13" s="1025">
        <f>industrie!F18</f>
        <v>14862.133613588692</v>
      </c>
      <c r="H13" s="1025">
        <f>industrie!G18</f>
        <v>0</v>
      </c>
      <c r="I13" s="1025">
        <f>industrie!H18</f>
        <v>0</v>
      </c>
      <c r="J13" s="1025">
        <f>industrie!I18</f>
        <v>0</v>
      </c>
      <c r="K13" s="1025">
        <f>industrie!J18</f>
        <v>37.793481239156456</v>
      </c>
      <c r="L13" s="1025">
        <f>industrie!K18</f>
        <v>0</v>
      </c>
      <c r="M13" s="1025">
        <f>industrie!L18</f>
        <v>0</v>
      </c>
      <c r="N13" s="1025">
        <f>industrie!M18</f>
        <v>0</v>
      </c>
      <c r="O13" s="1025">
        <f>industrie!N18</f>
        <v>2941.2202378679722</v>
      </c>
      <c r="P13" s="1025">
        <f>industrie!O18</f>
        <v>0</v>
      </c>
      <c r="Q13" s="1026">
        <f>industrie!P18</f>
        <v>0</v>
      </c>
      <c r="R13" s="701">
        <f>SUM(C13:Q13)</f>
        <v>85788.268424144131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297108.67730597727</v>
      </c>
      <c r="D16" s="733">
        <f t="shared" ref="D16:R16" ca="1" si="0">SUM(D9:D15)</f>
        <v>1144.2857142857142</v>
      </c>
      <c r="E16" s="733">
        <f t="shared" ca="1" si="0"/>
        <v>271824.15472028649</v>
      </c>
      <c r="F16" s="733">
        <f t="shared" si="0"/>
        <v>5053.1974809374251</v>
      </c>
      <c r="G16" s="733">
        <f t="shared" ca="1" si="0"/>
        <v>40264.598164099865</v>
      </c>
      <c r="H16" s="733">
        <f t="shared" si="0"/>
        <v>0</v>
      </c>
      <c r="I16" s="733">
        <f t="shared" si="0"/>
        <v>0</v>
      </c>
      <c r="J16" s="733">
        <f t="shared" si="0"/>
        <v>0</v>
      </c>
      <c r="K16" s="733">
        <f t="shared" si="0"/>
        <v>37.793481239156456</v>
      </c>
      <c r="L16" s="733">
        <f t="shared" si="0"/>
        <v>0</v>
      </c>
      <c r="M16" s="733">
        <f t="shared" ca="1" si="0"/>
        <v>0</v>
      </c>
      <c r="N16" s="733">
        <f t="shared" si="0"/>
        <v>0</v>
      </c>
      <c r="O16" s="733">
        <f t="shared" ca="1" si="0"/>
        <v>16404.544913441525</v>
      </c>
      <c r="P16" s="733">
        <f t="shared" si="0"/>
        <v>98.490000000000009</v>
      </c>
      <c r="Q16" s="733">
        <f t="shared" si="0"/>
        <v>400.4</v>
      </c>
      <c r="R16" s="733">
        <f t="shared" ca="1" si="0"/>
        <v>632336.14178026747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9201.5521973386749</v>
      </c>
      <c r="I19" s="1025">
        <f>transport!H54</f>
        <v>0</v>
      </c>
      <c r="J19" s="1025">
        <f>transport!I54</f>
        <v>0</v>
      </c>
      <c r="K19" s="1025">
        <f>transport!J54</f>
        <v>0</v>
      </c>
      <c r="L19" s="1025">
        <f>transport!K54</f>
        <v>0</v>
      </c>
      <c r="M19" s="1025">
        <f>transport!L54</f>
        <v>0</v>
      </c>
      <c r="N19" s="1025">
        <f>transport!M54</f>
        <v>524.73769784054514</v>
      </c>
      <c r="O19" s="1025">
        <f>transport!N54</f>
        <v>0</v>
      </c>
      <c r="P19" s="1025">
        <f>transport!O54</f>
        <v>0</v>
      </c>
      <c r="Q19" s="1026">
        <f>transport!P54</f>
        <v>0</v>
      </c>
      <c r="R19" s="701">
        <f>SUM(C19:Q19)</f>
        <v>9726.2898951792195</v>
      </c>
      <c r="S19" s="67"/>
    </row>
    <row r="20" spans="1:19" s="474" customFormat="1">
      <c r="A20" s="810" t="s">
        <v>307</v>
      </c>
      <c r="B20" s="815"/>
      <c r="C20" s="1025">
        <f>transport!B14</f>
        <v>84.539187343443103</v>
      </c>
      <c r="D20" s="1025">
        <f>transport!C14</f>
        <v>0</v>
      </c>
      <c r="E20" s="1025">
        <f>transport!D14</f>
        <v>212.0255167395932</v>
      </c>
      <c r="F20" s="1025">
        <f>transport!E14</f>
        <v>1621.0420904396383</v>
      </c>
      <c r="G20" s="1025">
        <f>transport!F14</f>
        <v>0</v>
      </c>
      <c r="H20" s="1025">
        <f>transport!G14</f>
        <v>419797.84319281299</v>
      </c>
      <c r="I20" s="1025">
        <f>transport!H14</f>
        <v>83113.203640522464</v>
      </c>
      <c r="J20" s="1025">
        <f>transport!I14</f>
        <v>0</v>
      </c>
      <c r="K20" s="1025">
        <f>transport!J14</f>
        <v>0</v>
      </c>
      <c r="L20" s="1025">
        <f>transport!K14</f>
        <v>0</v>
      </c>
      <c r="M20" s="1025">
        <f>transport!L14</f>
        <v>0</v>
      </c>
      <c r="N20" s="1025">
        <f>transport!M14</f>
        <v>26841.933605971146</v>
      </c>
      <c r="O20" s="1025">
        <f>transport!N14</f>
        <v>0</v>
      </c>
      <c r="P20" s="1025">
        <f>transport!O14</f>
        <v>0</v>
      </c>
      <c r="Q20" s="1026">
        <f>transport!P14</f>
        <v>0</v>
      </c>
      <c r="R20" s="701">
        <f>SUM(C20:Q20)</f>
        <v>531670.58723382931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84.539187343443103</v>
      </c>
      <c r="D22" s="813">
        <f t="shared" ref="D22:R22" si="1">SUM(D18:D21)</f>
        <v>0</v>
      </c>
      <c r="E22" s="813">
        <f t="shared" si="1"/>
        <v>212.0255167395932</v>
      </c>
      <c r="F22" s="813">
        <f t="shared" si="1"/>
        <v>1621.0420904396383</v>
      </c>
      <c r="G22" s="813">
        <f t="shared" si="1"/>
        <v>0</v>
      </c>
      <c r="H22" s="813">
        <f t="shared" si="1"/>
        <v>428999.39539015165</v>
      </c>
      <c r="I22" s="813">
        <f t="shared" si="1"/>
        <v>83113.203640522464</v>
      </c>
      <c r="J22" s="813">
        <f t="shared" si="1"/>
        <v>0</v>
      </c>
      <c r="K22" s="813">
        <f t="shared" si="1"/>
        <v>0</v>
      </c>
      <c r="L22" s="813">
        <f t="shared" si="1"/>
        <v>0</v>
      </c>
      <c r="M22" s="813">
        <f t="shared" si="1"/>
        <v>0</v>
      </c>
      <c r="N22" s="813">
        <f t="shared" si="1"/>
        <v>27366.67130381169</v>
      </c>
      <c r="O22" s="813">
        <f t="shared" si="1"/>
        <v>0</v>
      </c>
      <c r="P22" s="813">
        <f t="shared" si="1"/>
        <v>0</v>
      </c>
      <c r="Q22" s="813">
        <f t="shared" si="1"/>
        <v>0</v>
      </c>
      <c r="R22" s="813">
        <f t="shared" si="1"/>
        <v>541396.87712900853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666.12954999999999</v>
      </c>
      <c r="D24" s="1025">
        <f>+landbouw!C8</f>
        <v>0</v>
      </c>
      <c r="E24" s="1025">
        <f>+landbouw!D8</f>
        <v>176.28569513640676</v>
      </c>
      <c r="F24" s="1025">
        <f>+landbouw!E8</f>
        <v>6.169970892801822</v>
      </c>
      <c r="G24" s="1025">
        <f>+landbouw!F8</f>
        <v>1690.0975658990503</v>
      </c>
      <c r="H24" s="1025">
        <f>+landbouw!G8</f>
        <v>0</v>
      </c>
      <c r="I24" s="1025">
        <f>+landbouw!H8</f>
        <v>0</v>
      </c>
      <c r="J24" s="1025">
        <f>+landbouw!I8</f>
        <v>0</v>
      </c>
      <c r="K24" s="1025">
        <f>+landbouw!J8</f>
        <v>102.12509404247494</v>
      </c>
      <c r="L24" s="1025">
        <f>+landbouw!K8</f>
        <v>0</v>
      </c>
      <c r="M24" s="1025">
        <f>+landbouw!L8</f>
        <v>0</v>
      </c>
      <c r="N24" s="1025">
        <f>+landbouw!M8</f>
        <v>0</v>
      </c>
      <c r="O24" s="1025">
        <f>+landbouw!N8</f>
        <v>0</v>
      </c>
      <c r="P24" s="1025">
        <f>+landbouw!O8</f>
        <v>0</v>
      </c>
      <c r="Q24" s="1026">
        <f>+landbouw!P8</f>
        <v>0</v>
      </c>
      <c r="R24" s="701">
        <f>SUM(C24:Q24)</f>
        <v>2640.8078759707337</v>
      </c>
      <c r="S24" s="67"/>
    </row>
    <row r="25" spans="1:19" s="474" customFormat="1" ht="15" thickBot="1">
      <c r="A25" s="832" t="s">
        <v>864</v>
      </c>
      <c r="B25" s="1028"/>
      <c r="C25" s="1029">
        <f>IF(Onbekend_ele_kWh="---",0,Onbekend_ele_kWh)/1000+IF(REST_rest_ele_kWh="---",0,REST_rest_ele_kWh)/1000</f>
        <v>8310.9750000000004</v>
      </c>
      <c r="D25" s="1029"/>
      <c r="E25" s="1029">
        <f>IF(onbekend_gas_kWh="---",0,onbekend_gas_kWh)/1000+IF(REST_rest_gas_kWh="---",0,REST_rest_gas_kWh)/1000</f>
        <v>14144.144100027001</v>
      </c>
      <c r="F25" s="1029"/>
      <c r="G25" s="1029"/>
      <c r="H25" s="1029"/>
      <c r="I25" s="1029"/>
      <c r="J25" s="1029"/>
      <c r="K25" s="1029"/>
      <c r="L25" s="1029"/>
      <c r="M25" s="1029"/>
      <c r="N25" s="1029"/>
      <c r="O25" s="1029"/>
      <c r="P25" s="1029"/>
      <c r="Q25" s="1030"/>
      <c r="R25" s="701">
        <f>SUM(C25:Q25)</f>
        <v>22455.119100027001</v>
      </c>
      <c r="S25" s="67"/>
    </row>
    <row r="26" spans="1:19" s="474" customFormat="1" ht="15.75" thickBot="1">
      <c r="A26" s="706" t="s">
        <v>865</v>
      </c>
      <c r="B26" s="818"/>
      <c r="C26" s="813">
        <f>SUM(C24:C25)</f>
        <v>8977.10455</v>
      </c>
      <c r="D26" s="813">
        <f t="shared" ref="D26:R26" si="2">SUM(D24:D25)</f>
        <v>0</v>
      </c>
      <c r="E26" s="813">
        <f t="shared" si="2"/>
        <v>14320.429795163407</v>
      </c>
      <c r="F26" s="813">
        <f t="shared" si="2"/>
        <v>6.169970892801822</v>
      </c>
      <c r="G26" s="813">
        <f t="shared" si="2"/>
        <v>1690.0975658990503</v>
      </c>
      <c r="H26" s="813">
        <f t="shared" si="2"/>
        <v>0</v>
      </c>
      <c r="I26" s="813">
        <f t="shared" si="2"/>
        <v>0</v>
      </c>
      <c r="J26" s="813">
        <f t="shared" si="2"/>
        <v>0</v>
      </c>
      <c r="K26" s="813">
        <f t="shared" si="2"/>
        <v>102.12509404247494</v>
      </c>
      <c r="L26" s="813">
        <f t="shared" si="2"/>
        <v>0</v>
      </c>
      <c r="M26" s="813">
        <f t="shared" si="2"/>
        <v>0</v>
      </c>
      <c r="N26" s="813">
        <f t="shared" si="2"/>
        <v>0</v>
      </c>
      <c r="O26" s="813">
        <f t="shared" si="2"/>
        <v>0</v>
      </c>
      <c r="P26" s="813">
        <f t="shared" si="2"/>
        <v>0</v>
      </c>
      <c r="Q26" s="813">
        <f t="shared" si="2"/>
        <v>0</v>
      </c>
      <c r="R26" s="813">
        <f t="shared" si="2"/>
        <v>25095.926975997736</v>
      </c>
      <c r="S26" s="67"/>
    </row>
    <row r="27" spans="1:19" s="474" customFormat="1" ht="17.25" thickTop="1" thickBot="1">
      <c r="A27" s="707" t="s">
        <v>116</v>
      </c>
      <c r="B27" s="806"/>
      <c r="C27" s="708">
        <f ca="1">C22+C16+C26</f>
        <v>306170.3210433207</v>
      </c>
      <c r="D27" s="708">
        <f t="shared" ref="D27:R27" ca="1" si="3">D22+D16+D26</f>
        <v>1144.2857142857142</v>
      </c>
      <c r="E27" s="708">
        <f t="shared" ca="1" si="3"/>
        <v>286356.61003218946</v>
      </c>
      <c r="F27" s="708">
        <f t="shared" si="3"/>
        <v>6680.4095422698656</v>
      </c>
      <c r="G27" s="708">
        <f t="shared" ca="1" si="3"/>
        <v>41954.695729998915</v>
      </c>
      <c r="H27" s="708">
        <f t="shared" si="3"/>
        <v>428999.39539015165</v>
      </c>
      <c r="I27" s="708">
        <f t="shared" si="3"/>
        <v>83113.203640522464</v>
      </c>
      <c r="J27" s="708">
        <f t="shared" si="3"/>
        <v>0</v>
      </c>
      <c r="K27" s="708">
        <f t="shared" si="3"/>
        <v>139.91857528163141</v>
      </c>
      <c r="L27" s="708">
        <f t="shared" si="3"/>
        <v>0</v>
      </c>
      <c r="M27" s="708">
        <f t="shared" ca="1" si="3"/>
        <v>0</v>
      </c>
      <c r="N27" s="708">
        <f t="shared" si="3"/>
        <v>27366.67130381169</v>
      </c>
      <c r="O27" s="708">
        <f t="shared" ca="1" si="3"/>
        <v>16404.544913441525</v>
      </c>
      <c r="P27" s="708">
        <f t="shared" si="3"/>
        <v>98.490000000000009</v>
      </c>
      <c r="Q27" s="708">
        <f t="shared" si="3"/>
        <v>400.4</v>
      </c>
      <c r="R27" s="708">
        <f t="shared" ca="1" si="3"/>
        <v>1198828.9458852736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44253.390635033953</v>
      </c>
      <c r="D40" s="1025">
        <f ca="1">tertiair!C20</f>
        <v>271.93613445378156</v>
      </c>
      <c r="E40" s="1025">
        <f ca="1">tertiair!D20</f>
        <v>20522.619348339158</v>
      </c>
      <c r="F40" s="1025">
        <f>tertiair!E20</f>
        <v>289.11019469697305</v>
      </c>
      <c r="G40" s="1025">
        <f ca="1">tertiair!F20</f>
        <v>6782.4580349864846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72119.514347510354</v>
      </c>
    </row>
    <row r="41" spans="1:18">
      <c r="A41" s="823" t="s">
        <v>225</v>
      </c>
      <c r="B41" s="830"/>
      <c r="C41" s="1025">
        <f ca="1">huishoudens!B12</f>
        <v>10925.892112367501</v>
      </c>
      <c r="D41" s="1025">
        <f ca="1">huishoudens!C12</f>
        <v>0</v>
      </c>
      <c r="E41" s="1025">
        <f>huishoudens!D12</f>
        <v>29700.932073711083</v>
      </c>
      <c r="F41" s="1025">
        <f>huishoudens!E12</f>
        <v>462.20893604642328</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41089.033122125009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9340.1692909103785</v>
      </c>
      <c r="D43" s="1025">
        <f ca="1">industrie!C22</f>
        <v>0</v>
      </c>
      <c r="E43" s="1025">
        <f>industrie!D22</f>
        <v>4684.9278314476269</v>
      </c>
      <c r="F43" s="1025">
        <f>industrie!E22</f>
        <v>395.75669742939925</v>
      </c>
      <c r="G43" s="1025">
        <f>industrie!F22</f>
        <v>3968.1896748281811</v>
      </c>
      <c r="H43" s="1025">
        <f>industrie!G22</f>
        <v>0</v>
      </c>
      <c r="I43" s="1025">
        <f>industrie!H22</f>
        <v>0</v>
      </c>
      <c r="J43" s="1025">
        <f>industrie!I22</f>
        <v>0</v>
      </c>
      <c r="K43" s="1025">
        <f>industrie!J22</f>
        <v>13.378892358661385</v>
      </c>
      <c r="L43" s="1025">
        <f>industrie!K22</f>
        <v>0</v>
      </c>
      <c r="M43" s="1025">
        <f>industrie!L22</f>
        <v>0</v>
      </c>
      <c r="N43" s="1025">
        <f>industrie!M22</f>
        <v>0</v>
      </c>
      <c r="O43" s="1025">
        <f>industrie!N22</f>
        <v>0</v>
      </c>
      <c r="P43" s="1025">
        <f>industrie!O22</f>
        <v>0</v>
      </c>
      <c r="Q43" s="775">
        <f>industrie!P22</f>
        <v>0</v>
      </c>
      <c r="R43" s="850">
        <f t="shared" ca="1" si="4"/>
        <v>18402.422386974245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64519.452038311836</v>
      </c>
      <c r="D46" s="733">
        <f t="shared" ref="D46:Q46" ca="1" si="5">SUM(D39:D45)</f>
        <v>271.93613445378156</v>
      </c>
      <c r="E46" s="733">
        <f t="shared" ca="1" si="5"/>
        <v>54908.479253497862</v>
      </c>
      <c r="F46" s="733">
        <f t="shared" si="5"/>
        <v>1147.0758281727956</v>
      </c>
      <c r="G46" s="733">
        <f t="shared" ca="1" si="5"/>
        <v>10750.647709814666</v>
      </c>
      <c r="H46" s="733">
        <f t="shared" si="5"/>
        <v>0</v>
      </c>
      <c r="I46" s="733">
        <f t="shared" si="5"/>
        <v>0</v>
      </c>
      <c r="J46" s="733">
        <f t="shared" si="5"/>
        <v>0</v>
      </c>
      <c r="K46" s="733">
        <f t="shared" si="5"/>
        <v>13.378892358661385</v>
      </c>
      <c r="L46" s="733">
        <f t="shared" si="5"/>
        <v>0</v>
      </c>
      <c r="M46" s="733">
        <f t="shared" ca="1" si="5"/>
        <v>0</v>
      </c>
      <c r="N46" s="733">
        <f t="shared" si="5"/>
        <v>0</v>
      </c>
      <c r="O46" s="733">
        <f t="shared" ca="1" si="5"/>
        <v>0</v>
      </c>
      <c r="P46" s="733">
        <f t="shared" si="5"/>
        <v>0</v>
      </c>
      <c r="Q46" s="733">
        <f t="shared" si="5"/>
        <v>0</v>
      </c>
      <c r="R46" s="733">
        <f ca="1">SUM(R39:R45)</f>
        <v>131610.96985660962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2456.8144366894262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2456.8144366894262</v>
      </c>
    </row>
    <row r="50" spans="1:18">
      <c r="A50" s="826" t="s">
        <v>307</v>
      </c>
      <c r="B50" s="836"/>
      <c r="C50" s="704">
        <f ca="1">transport!B18</f>
        <v>18.358339758437623</v>
      </c>
      <c r="D50" s="704">
        <f>transport!C18</f>
        <v>0</v>
      </c>
      <c r="E50" s="704">
        <f>transport!D18</f>
        <v>42.829154381397828</v>
      </c>
      <c r="F50" s="704">
        <f>transport!E18</f>
        <v>367.97655452979791</v>
      </c>
      <c r="G50" s="704">
        <f>transport!F18</f>
        <v>0</v>
      </c>
      <c r="H50" s="704">
        <f>transport!G18</f>
        <v>112086.02413248108</v>
      </c>
      <c r="I50" s="704">
        <f>transport!H18</f>
        <v>20695.187706490095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133210.37588764081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18.358339758437623</v>
      </c>
      <c r="D52" s="733">
        <f t="shared" ref="D52:Q52" ca="1" si="6">SUM(D48:D51)</f>
        <v>0</v>
      </c>
      <c r="E52" s="733">
        <f t="shared" si="6"/>
        <v>42.829154381397828</v>
      </c>
      <c r="F52" s="733">
        <f t="shared" si="6"/>
        <v>367.97655452979791</v>
      </c>
      <c r="G52" s="733">
        <f t="shared" si="6"/>
        <v>0</v>
      </c>
      <c r="H52" s="733">
        <f t="shared" si="6"/>
        <v>114542.8385691705</v>
      </c>
      <c r="I52" s="733">
        <f t="shared" si="6"/>
        <v>20695.187706490095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135667.19032433024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144.65519466557365</v>
      </c>
      <c r="D54" s="704">
        <f ca="1">+landbouw!C12</f>
        <v>0</v>
      </c>
      <c r="E54" s="704">
        <f>+landbouw!D12</f>
        <v>35.609710417554169</v>
      </c>
      <c r="F54" s="704">
        <f>+landbouw!E12</f>
        <v>1.4005833926660136</v>
      </c>
      <c r="G54" s="704">
        <f>+landbouw!F12</f>
        <v>451.25605009504648</v>
      </c>
      <c r="H54" s="704">
        <f>+landbouw!G12</f>
        <v>0</v>
      </c>
      <c r="I54" s="704">
        <f>+landbouw!H12</f>
        <v>0</v>
      </c>
      <c r="J54" s="704">
        <f>+landbouw!I12</f>
        <v>0</v>
      </c>
      <c r="K54" s="704">
        <f>+landbouw!J12</f>
        <v>36.152283291036127</v>
      </c>
      <c r="L54" s="704">
        <f>+landbouw!K12</f>
        <v>0</v>
      </c>
      <c r="M54" s="704">
        <f>+landbouw!L12</f>
        <v>0</v>
      </c>
      <c r="N54" s="704">
        <f>+landbouw!M12</f>
        <v>0</v>
      </c>
      <c r="O54" s="704">
        <f>+landbouw!N12</f>
        <v>0</v>
      </c>
      <c r="P54" s="704">
        <f>+landbouw!O12</f>
        <v>0</v>
      </c>
      <c r="Q54" s="705">
        <f>+landbouw!P12</f>
        <v>0</v>
      </c>
      <c r="R54" s="732">
        <f ca="1">SUM(C54:Q54)</f>
        <v>669.07382186187647</v>
      </c>
    </row>
    <row r="55" spans="1:18" ht="15" thickBot="1">
      <c r="A55" s="826" t="s">
        <v>864</v>
      </c>
      <c r="B55" s="836"/>
      <c r="C55" s="704">
        <f ca="1">C25*'EF ele_warmte'!B12</f>
        <v>1804.7926360356118</v>
      </c>
      <c r="D55" s="704"/>
      <c r="E55" s="704">
        <f>E25*EF_CO2_aardgas</f>
        <v>2857.1171082054543</v>
      </c>
      <c r="F55" s="704"/>
      <c r="G55" s="704"/>
      <c r="H55" s="704"/>
      <c r="I55" s="704"/>
      <c r="J55" s="704"/>
      <c r="K55" s="704"/>
      <c r="L55" s="704"/>
      <c r="M55" s="704"/>
      <c r="N55" s="704"/>
      <c r="O55" s="704"/>
      <c r="P55" s="704"/>
      <c r="Q55" s="705"/>
      <c r="R55" s="732">
        <f ca="1">SUM(C55:Q55)</f>
        <v>4661.9097442410657</v>
      </c>
    </row>
    <row r="56" spans="1:18" ht="15.75" thickBot="1">
      <c r="A56" s="824" t="s">
        <v>865</v>
      </c>
      <c r="B56" s="837"/>
      <c r="C56" s="733">
        <f ca="1">SUM(C54:C55)</f>
        <v>1949.4478307011855</v>
      </c>
      <c r="D56" s="733">
        <f t="shared" ref="D56:Q56" ca="1" si="7">SUM(D54:D55)</f>
        <v>0</v>
      </c>
      <c r="E56" s="733">
        <f t="shared" si="7"/>
        <v>2892.7268186230085</v>
      </c>
      <c r="F56" s="733">
        <f t="shared" si="7"/>
        <v>1.4005833926660136</v>
      </c>
      <c r="G56" s="733">
        <f t="shared" si="7"/>
        <v>451.25605009504648</v>
      </c>
      <c r="H56" s="733">
        <f t="shared" si="7"/>
        <v>0</v>
      </c>
      <c r="I56" s="733">
        <f t="shared" si="7"/>
        <v>0</v>
      </c>
      <c r="J56" s="733">
        <f t="shared" si="7"/>
        <v>0</v>
      </c>
      <c r="K56" s="733">
        <f t="shared" si="7"/>
        <v>36.152283291036127</v>
      </c>
      <c r="L56" s="733">
        <f t="shared" si="7"/>
        <v>0</v>
      </c>
      <c r="M56" s="733">
        <f t="shared" si="7"/>
        <v>0</v>
      </c>
      <c r="N56" s="733">
        <f t="shared" si="7"/>
        <v>0</v>
      </c>
      <c r="O56" s="733">
        <f t="shared" si="7"/>
        <v>0</v>
      </c>
      <c r="P56" s="733">
        <f t="shared" si="7"/>
        <v>0</v>
      </c>
      <c r="Q56" s="734">
        <f t="shared" si="7"/>
        <v>0</v>
      </c>
      <c r="R56" s="735">
        <f ca="1">SUM(R54:R55)</f>
        <v>5330.9835661029419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66487.258208771455</v>
      </c>
      <c r="D61" s="741">
        <f t="shared" ref="D61:Q61" ca="1" si="8">D46+D52+D56</f>
        <v>271.93613445378156</v>
      </c>
      <c r="E61" s="741">
        <f t="shared" ca="1" si="8"/>
        <v>57844.035226502267</v>
      </c>
      <c r="F61" s="741">
        <f t="shared" si="8"/>
        <v>1516.4529660952596</v>
      </c>
      <c r="G61" s="741">
        <f t="shared" ca="1" si="8"/>
        <v>11201.903759909712</v>
      </c>
      <c r="H61" s="741">
        <f t="shared" si="8"/>
        <v>114542.8385691705</v>
      </c>
      <c r="I61" s="741">
        <f t="shared" si="8"/>
        <v>20695.187706490095</v>
      </c>
      <c r="J61" s="741">
        <f t="shared" si="8"/>
        <v>0</v>
      </c>
      <c r="K61" s="741">
        <f t="shared" si="8"/>
        <v>49.531175649697516</v>
      </c>
      <c r="L61" s="741">
        <f t="shared" si="8"/>
        <v>0</v>
      </c>
      <c r="M61" s="741">
        <f t="shared" ca="1" si="8"/>
        <v>0</v>
      </c>
      <c r="N61" s="741">
        <f t="shared" si="8"/>
        <v>0</v>
      </c>
      <c r="O61" s="741">
        <f t="shared" ca="1" si="8"/>
        <v>0</v>
      </c>
      <c r="P61" s="741">
        <f t="shared" si="8"/>
        <v>0</v>
      </c>
      <c r="Q61" s="741">
        <f t="shared" si="8"/>
        <v>0</v>
      </c>
      <c r="R61" s="741">
        <f ca="1">R46+R52+R56</f>
        <v>272609.14374704275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0.21715775056905018</v>
      </c>
      <c r="D63" s="782">
        <f t="shared" ca="1" si="9"/>
        <v>0.23764705882352946</v>
      </c>
      <c r="E63" s="1036">
        <f t="shared" ca="1" si="9"/>
        <v>0.20199999999999999</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5383.3350041632184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801</v>
      </c>
      <c r="D76" s="1046">
        <f>'lokale energieproductie'!C8</f>
        <v>942.35294117647084</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190.35529411764713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5383.3350041632184</v>
      </c>
      <c r="C78" s="756">
        <f>SUM(C72:C77)</f>
        <v>801</v>
      </c>
      <c r="D78" s="757">
        <f t="shared" ref="D78:H78" si="10">SUM(D76:D77)</f>
        <v>942.35294117647084</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190.35529411764713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1144.2857142857142</v>
      </c>
      <c r="D87" s="778">
        <f>'lokale energieproductie'!C17</f>
        <v>1346.2184873949582</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271.93613445378156</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1144.2857142857142</v>
      </c>
      <c r="D90" s="756">
        <f t="shared" ref="D90:H90" si="12">SUM(D87:D89)</f>
        <v>1346.2184873949582</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271.93613445378156</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5383.3350041632184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801</v>
      </c>
      <c r="C8" s="571">
        <f>B101</f>
        <v>942.35294117647084</v>
      </c>
      <c r="D8" s="1056"/>
      <c r="E8" s="1056">
        <f>E101</f>
        <v>0</v>
      </c>
      <c r="F8" s="1057"/>
      <c r="G8" s="572"/>
      <c r="H8" s="1056">
        <f>I101</f>
        <v>0</v>
      </c>
      <c r="I8" s="1056">
        <f>G101+F101</f>
        <v>0</v>
      </c>
      <c r="J8" s="1056">
        <f>H101+D101+C101</f>
        <v>0</v>
      </c>
      <c r="K8" s="1056"/>
      <c r="L8" s="1056"/>
      <c r="M8" s="1056"/>
      <c r="N8" s="573"/>
      <c r="O8" s="574">
        <f>C8*$C$12+D8*$D$12+E8*$E$12+F8*$F$12+G8*$G$12+H8*$H$12+I8*$I$12+J8*$J$12</f>
        <v>190.35529411764713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6184.3350041632184</v>
      </c>
      <c r="C10" s="584">
        <f t="shared" ref="C10:L10" si="0">SUM(C8:C9)</f>
        <v>942.35294117647084</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190.35529411764713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1144.2857142857142</v>
      </c>
      <c r="C17" s="596">
        <f>B102</f>
        <v>1346.2184873949582</v>
      </c>
      <c r="D17" s="597"/>
      <c r="E17" s="597">
        <f>E102</f>
        <v>0</v>
      </c>
      <c r="F17" s="1062"/>
      <c r="G17" s="598"/>
      <c r="H17" s="596">
        <f>I102</f>
        <v>0</v>
      </c>
      <c r="I17" s="597">
        <f>G102+F102</f>
        <v>0</v>
      </c>
      <c r="J17" s="597">
        <f>H102+D102+C102</f>
        <v>0</v>
      </c>
      <c r="K17" s="597"/>
      <c r="L17" s="597"/>
      <c r="M17" s="597"/>
      <c r="N17" s="1063"/>
      <c r="O17" s="599">
        <f>C17*$C$22+E17*$E$22+H17*$H$22+I17*$I$22+J17*$J$22+D17*$D$22+F17*$F$22+G17*$G$22+K17*$K$22+L17*$L$22</f>
        <v>271.93613445378156</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1144.2857142857142</v>
      </c>
      <c r="C20" s="583">
        <f>SUM(C17:C19)</f>
        <v>1346.2184873949582</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271.93613445378156</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23094</v>
      </c>
      <c r="C28" s="797">
        <v>1932</v>
      </c>
      <c r="D28" s="654" t="s">
        <v>907</v>
      </c>
      <c r="E28" s="653" t="s">
        <v>908</v>
      </c>
      <c r="F28" s="653" t="s">
        <v>909</v>
      </c>
      <c r="G28" s="653" t="s">
        <v>910</v>
      </c>
      <c r="H28" s="653" t="s">
        <v>911</v>
      </c>
      <c r="I28" s="653" t="s">
        <v>912</v>
      </c>
      <c r="J28" s="796">
        <v>40584</v>
      </c>
      <c r="K28" s="796">
        <v>40756</v>
      </c>
      <c r="L28" s="653" t="s">
        <v>913</v>
      </c>
      <c r="M28" s="653">
        <v>178</v>
      </c>
      <c r="N28" s="653">
        <v>801</v>
      </c>
      <c r="O28" s="653">
        <v>1144.2857142857142</v>
      </c>
      <c r="P28" s="653">
        <v>2288.5714285714289</v>
      </c>
      <c r="Q28" s="653">
        <v>0</v>
      </c>
      <c r="R28" s="653">
        <v>0</v>
      </c>
      <c r="S28" s="653">
        <v>0</v>
      </c>
      <c r="T28" s="653">
        <v>0</v>
      </c>
      <c r="U28" s="653">
        <v>0</v>
      </c>
      <c r="V28" s="653">
        <v>0</v>
      </c>
      <c r="W28" s="653">
        <v>0</v>
      </c>
      <c r="X28" s="653">
        <v>1100</v>
      </c>
      <c r="Y28" s="653" t="s">
        <v>52</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178</v>
      </c>
      <c r="N58" s="611">
        <f>SUM(N28:N57)</f>
        <v>801</v>
      </c>
      <c r="O58" s="611">
        <f t="shared" ref="O58:W58" si="2">SUM(O28:O57)</f>
        <v>1144.2857142857142</v>
      </c>
      <c r="P58" s="611">
        <f t="shared" si="2"/>
        <v>2288.5714285714289</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178</v>
      </c>
      <c r="N60" s="611">
        <f ca="1">SUMIF($Z$28:AD57,"tertiair",N28:N57)</f>
        <v>801</v>
      </c>
      <c r="O60" s="611">
        <f ca="1">SUMIF($Z$28:AE57,"tertiair",O28:O57)</f>
        <v>1144.2857142857142</v>
      </c>
      <c r="P60" s="611">
        <f ca="1">SUMIF($Z$28:AF57,"tertiair",P28:P57)</f>
        <v>2288.5714285714289</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942.35294117647084</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1346.2184873949582</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50313.157525977265</v>
      </c>
      <c r="C4" s="478">
        <f>huishoudens!C8</f>
        <v>0</v>
      </c>
      <c r="D4" s="478">
        <f>huishoudens!D8</f>
        <v>147034.31719658952</v>
      </c>
      <c r="E4" s="478">
        <f>huishoudens!E8</f>
        <v>2036.1627138608953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6705.6519833998127</v>
      </c>
      <c r="O4" s="478">
        <f>huishoudens!O8</f>
        <v>96.926666666666677</v>
      </c>
      <c r="P4" s="479">
        <f>huishoudens!P8</f>
        <v>343.2</v>
      </c>
      <c r="Q4" s="480">
        <f>SUM(B4:P4)</f>
        <v>206529.41608649417</v>
      </c>
    </row>
    <row r="5" spans="1:17">
      <c r="A5" s="477" t="s">
        <v>156</v>
      </c>
      <c r="B5" s="478">
        <f ca="1">tertiair!B16</f>
        <v>200954.76329999999</v>
      </c>
      <c r="C5" s="478">
        <f ca="1">tertiair!C16</f>
        <v>1144.2857142857142</v>
      </c>
      <c r="D5" s="478">
        <f ca="1">tertiair!D16</f>
        <v>101597.12548682751</v>
      </c>
      <c r="E5" s="478">
        <f>tertiair!E16</f>
        <v>1273.6131924976785</v>
      </c>
      <c r="F5" s="478">
        <f ca="1">tertiair!F16</f>
        <v>25402.464550511177</v>
      </c>
      <c r="G5" s="478">
        <f>tertiair!G16</f>
        <v>0</v>
      </c>
      <c r="H5" s="478">
        <f>tertiair!H16</f>
        <v>0</v>
      </c>
      <c r="I5" s="478">
        <f>tertiair!I16</f>
        <v>0</v>
      </c>
      <c r="J5" s="478">
        <f>tertiair!J16</f>
        <v>0</v>
      </c>
      <c r="K5" s="478">
        <f>tertiair!K16</f>
        <v>0</v>
      </c>
      <c r="L5" s="478">
        <f ca="1">tertiair!L16</f>
        <v>0</v>
      </c>
      <c r="M5" s="478">
        <f>tertiair!M16</f>
        <v>0</v>
      </c>
      <c r="N5" s="478">
        <f ca="1">tertiair!N16</f>
        <v>6757.6726921737391</v>
      </c>
      <c r="O5" s="478">
        <f>tertiair!O16</f>
        <v>1.5633333333333335</v>
      </c>
      <c r="P5" s="479">
        <f>tertiair!P16</f>
        <v>57.2</v>
      </c>
      <c r="Q5" s="477">
        <f t="shared" ref="Q5:Q14" ca="1" si="0">SUM(B5:P5)</f>
        <v>337188.6882696292</v>
      </c>
    </row>
    <row r="6" spans="1:17">
      <c r="A6" s="477" t="s">
        <v>194</v>
      </c>
      <c r="B6" s="478">
        <f>'openbare verlichting'!B8</f>
        <v>2829.7689999999998</v>
      </c>
      <c r="C6" s="478"/>
      <c r="D6" s="478"/>
      <c r="E6" s="478"/>
      <c r="F6" s="478"/>
      <c r="G6" s="478"/>
      <c r="H6" s="478"/>
      <c r="I6" s="478"/>
      <c r="J6" s="478"/>
      <c r="K6" s="478"/>
      <c r="L6" s="478"/>
      <c r="M6" s="478"/>
      <c r="N6" s="478"/>
      <c r="O6" s="478"/>
      <c r="P6" s="479"/>
      <c r="Q6" s="477">
        <f t="shared" si="0"/>
        <v>2829.7689999999998</v>
      </c>
    </row>
    <row r="7" spans="1:17">
      <c r="A7" s="477" t="s">
        <v>112</v>
      </c>
      <c r="B7" s="478">
        <f>landbouw!B8</f>
        <v>666.12954999999999</v>
      </c>
      <c r="C7" s="478">
        <f>landbouw!C8</f>
        <v>0</v>
      </c>
      <c r="D7" s="478">
        <f>landbouw!D8</f>
        <v>176.28569513640676</v>
      </c>
      <c r="E7" s="478">
        <f>landbouw!E8</f>
        <v>6.169970892801822</v>
      </c>
      <c r="F7" s="478">
        <f>landbouw!F8</f>
        <v>1690.0975658990503</v>
      </c>
      <c r="G7" s="478">
        <f>landbouw!G8</f>
        <v>0</v>
      </c>
      <c r="H7" s="478">
        <f>landbouw!H8</f>
        <v>0</v>
      </c>
      <c r="I7" s="478">
        <f>landbouw!I8</f>
        <v>0</v>
      </c>
      <c r="J7" s="478">
        <f>landbouw!J8</f>
        <v>102.12509404247494</v>
      </c>
      <c r="K7" s="478">
        <f>landbouw!K8</f>
        <v>0</v>
      </c>
      <c r="L7" s="478">
        <f>landbouw!L8</f>
        <v>0</v>
      </c>
      <c r="M7" s="478">
        <f>landbouw!M8</f>
        <v>0</v>
      </c>
      <c r="N7" s="478">
        <f>landbouw!N8</f>
        <v>0</v>
      </c>
      <c r="O7" s="478">
        <f>landbouw!O8</f>
        <v>0</v>
      </c>
      <c r="P7" s="479">
        <f>landbouw!P8</f>
        <v>0</v>
      </c>
      <c r="Q7" s="477">
        <f t="shared" si="0"/>
        <v>2640.8078759707337</v>
      </c>
    </row>
    <row r="8" spans="1:17">
      <c r="A8" s="477" t="s">
        <v>650</v>
      </c>
      <c r="B8" s="478">
        <f>industrie!B18</f>
        <v>43010.987479999996</v>
      </c>
      <c r="C8" s="478">
        <f>industrie!C18</f>
        <v>0</v>
      </c>
      <c r="D8" s="478">
        <f>industrie!D18</f>
        <v>23192.712036869438</v>
      </c>
      <c r="E8" s="478">
        <f>industrie!E18</f>
        <v>1743.4215745788513</v>
      </c>
      <c r="F8" s="478">
        <f>industrie!F18</f>
        <v>14862.133613588692</v>
      </c>
      <c r="G8" s="478">
        <f>industrie!G18</f>
        <v>0</v>
      </c>
      <c r="H8" s="478">
        <f>industrie!H18</f>
        <v>0</v>
      </c>
      <c r="I8" s="478">
        <f>industrie!I18</f>
        <v>0</v>
      </c>
      <c r="J8" s="478">
        <f>industrie!J18</f>
        <v>37.793481239156456</v>
      </c>
      <c r="K8" s="478">
        <f>industrie!K18</f>
        <v>0</v>
      </c>
      <c r="L8" s="478">
        <f>industrie!L18</f>
        <v>0</v>
      </c>
      <c r="M8" s="478">
        <f>industrie!M18</f>
        <v>0</v>
      </c>
      <c r="N8" s="478">
        <f>industrie!N18</f>
        <v>2941.2202378679722</v>
      </c>
      <c r="O8" s="478">
        <f>industrie!O18</f>
        <v>0</v>
      </c>
      <c r="P8" s="479">
        <f>industrie!P18</f>
        <v>0</v>
      </c>
      <c r="Q8" s="477">
        <f t="shared" si="0"/>
        <v>85788.268424144131</v>
      </c>
    </row>
    <row r="9" spans="1:17" s="483" customFormat="1">
      <c r="A9" s="481" t="s">
        <v>571</v>
      </c>
      <c r="B9" s="482">
        <f>transport!B14</f>
        <v>84.539187343443103</v>
      </c>
      <c r="C9" s="482">
        <f>transport!C14</f>
        <v>0</v>
      </c>
      <c r="D9" s="482">
        <f>transport!D14</f>
        <v>212.0255167395932</v>
      </c>
      <c r="E9" s="482">
        <f>transport!E14</f>
        <v>1621.0420904396383</v>
      </c>
      <c r="F9" s="482">
        <f>transport!F14</f>
        <v>0</v>
      </c>
      <c r="G9" s="482">
        <f>transport!G14</f>
        <v>419797.84319281299</v>
      </c>
      <c r="H9" s="482">
        <f>transport!H14</f>
        <v>83113.203640522464</v>
      </c>
      <c r="I9" s="482">
        <f>transport!I14</f>
        <v>0</v>
      </c>
      <c r="J9" s="482">
        <f>transport!J14</f>
        <v>0</v>
      </c>
      <c r="K9" s="482">
        <f>transport!K14</f>
        <v>0</v>
      </c>
      <c r="L9" s="482">
        <f>transport!L14</f>
        <v>0</v>
      </c>
      <c r="M9" s="482">
        <f>transport!M14</f>
        <v>26841.933605971146</v>
      </c>
      <c r="N9" s="482">
        <f>transport!N14</f>
        <v>0</v>
      </c>
      <c r="O9" s="482">
        <f>transport!O14</f>
        <v>0</v>
      </c>
      <c r="P9" s="482">
        <f>transport!P14</f>
        <v>0</v>
      </c>
      <c r="Q9" s="481">
        <f>SUM(B9:P9)</f>
        <v>531670.58723382931</v>
      </c>
    </row>
    <row r="10" spans="1:17">
      <c r="A10" s="477" t="s">
        <v>561</v>
      </c>
      <c r="B10" s="478">
        <f>transport!B54</f>
        <v>0</v>
      </c>
      <c r="C10" s="478">
        <f>transport!C54</f>
        <v>0</v>
      </c>
      <c r="D10" s="478">
        <f>transport!D54</f>
        <v>0</v>
      </c>
      <c r="E10" s="478">
        <f>transport!E54</f>
        <v>0</v>
      </c>
      <c r="F10" s="478">
        <f>transport!F54</f>
        <v>0</v>
      </c>
      <c r="G10" s="478">
        <f>transport!G54</f>
        <v>9201.5521973386749</v>
      </c>
      <c r="H10" s="478">
        <f>transport!H54</f>
        <v>0</v>
      </c>
      <c r="I10" s="478">
        <f>transport!I54</f>
        <v>0</v>
      </c>
      <c r="J10" s="478">
        <f>transport!J54</f>
        <v>0</v>
      </c>
      <c r="K10" s="478">
        <f>transport!K54</f>
        <v>0</v>
      </c>
      <c r="L10" s="478">
        <f>transport!L54</f>
        <v>0</v>
      </c>
      <c r="M10" s="478">
        <f>transport!M54</f>
        <v>524.73769784054514</v>
      </c>
      <c r="N10" s="478">
        <f>transport!N54</f>
        <v>0</v>
      </c>
      <c r="O10" s="478">
        <f>transport!O54</f>
        <v>0</v>
      </c>
      <c r="P10" s="479">
        <f>transport!P54</f>
        <v>0</v>
      </c>
      <c r="Q10" s="477">
        <f t="shared" si="0"/>
        <v>9726.2898951792195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8310.9750000000004</v>
      </c>
      <c r="C14" s="485"/>
      <c r="D14" s="485">
        <f>'SEAP template'!E25</f>
        <v>14144.144100027001</v>
      </c>
      <c r="E14" s="485"/>
      <c r="F14" s="485"/>
      <c r="G14" s="485"/>
      <c r="H14" s="485"/>
      <c r="I14" s="485"/>
      <c r="J14" s="485"/>
      <c r="K14" s="485"/>
      <c r="L14" s="485"/>
      <c r="M14" s="485"/>
      <c r="N14" s="485"/>
      <c r="O14" s="485"/>
      <c r="P14" s="486"/>
      <c r="Q14" s="477">
        <f t="shared" si="0"/>
        <v>22455.119100027001</v>
      </c>
    </row>
    <row r="15" spans="1:17" s="487" customFormat="1">
      <c r="A15" s="1051" t="s">
        <v>565</v>
      </c>
      <c r="B15" s="991">
        <f ca="1">SUM(B4:B14)</f>
        <v>306170.3210433207</v>
      </c>
      <c r="C15" s="991">
        <f t="shared" ref="C15:Q15" ca="1" si="1">SUM(C4:C14)</f>
        <v>1144.2857142857142</v>
      </c>
      <c r="D15" s="991">
        <f t="shared" ca="1" si="1"/>
        <v>286356.61003218946</v>
      </c>
      <c r="E15" s="991">
        <f t="shared" si="1"/>
        <v>6680.4095422698647</v>
      </c>
      <c r="F15" s="991">
        <f t="shared" ca="1" si="1"/>
        <v>41954.695729998915</v>
      </c>
      <c r="G15" s="991">
        <f t="shared" si="1"/>
        <v>428999.39539015165</v>
      </c>
      <c r="H15" s="991">
        <f t="shared" si="1"/>
        <v>83113.203640522464</v>
      </c>
      <c r="I15" s="991">
        <f t="shared" si="1"/>
        <v>0</v>
      </c>
      <c r="J15" s="991">
        <f t="shared" si="1"/>
        <v>139.91857528163141</v>
      </c>
      <c r="K15" s="991">
        <f t="shared" si="1"/>
        <v>0</v>
      </c>
      <c r="L15" s="991">
        <f t="shared" ca="1" si="1"/>
        <v>0</v>
      </c>
      <c r="M15" s="991">
        <f t="shared" si="1"/>
        <v>27366.67130381169</v>
      </c>
      <c r="N15" s="991">
        <f t="shared" ca="1" si="1"/>
        <v>16404.544913441525</v>
      </c>
      <c r="O15" s="991">
        <f t="shared" si="1"/>
        <v>98.490000000000009</v>
      </c>
      <c r="P15" s="991">
        <f t="shared" si="1"/>
        <v>400.4</v>
      </c>
      <c r="Q15" s="991">
        <f t="shared" ca="1" si="1"/>
        <v>1198828.9458852739</v>
      </c>
    </row>
    <row r="17" spans="1:17">
      <c r="A17" s="488" t="s">
        <v>566</v>
      </c>
      <c r="B17" s="787">
        <f ca="1">huishoudens!B10</f>
        <v>0.21715775056905018</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10925.892112367501</v>
      </c>
      <c r="C22" s="478">
        <f t="shared" ref="C22:C32" ca="1" si="3">C4*$C$17</f>
        <v>0</v>
      </c>
      <c r="D22" s="478">
        <f t="shared" ref="D22:D32" si="4">D4*$D$17</f>
        <v>29700.932073711083</v>
      </c>
      <c r="E22" s="478">
        <f t="shared" ref="E22:E32" si="5">E4*$E$17</f>
        <v>462.20893604642328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41089.033122125009</v>
      </c>
    </row>
    <row r="23" spans="1:17">
      <c r="A23" s="477" t="s">
        <v>156</v>
      </c>
      <c r="B23" s="478">
        <f t="shared" ca="1" si="2"/>
        <v>43638.884364363919</v>
      </c>
      <c r="C23" s="478">
        <f t="shared" ca="1" si="3"/>
        <v>271.93613445378156</v>
      </c>
      <c r="D23" s="478">
        <f t="shared" ca="1" si="4"/>
        <v>20522.619348339158</v>
      </c>
      <c r="E23" s="478">
        <f t="shared" si="5"/>
        <v>289.11019469697305</v>
      </c>
      <c r="F23" s="478">
        <f t="shared" ca="1" si="6"/>
        <v>6782.4580349864846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71505.008076840313</v>
      </c>
    </row>
    <row r="24" spans="1:17">
      <c r="A24" s="477" t="s">
        <v>194</v>
      </c>
      <c r="B24" s="478">
        <f t="shared" ca="1" si="2"/>
        <v>614.50627067003052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614.50627067003052</v>
      </c>
    </row>
    <row r="25" spans="1:17">
      <c r="A25" s="477" t="s">
        <v>112</v>
      </c>
      <c r="B25" s="478">
        <f t="shared" ca="1" si="2"/>
        <v>144.65519466557365</v>
      </c>
      <c r="C25" s="478">
        <f t="shared" ca="1" si="3"/>
        <v>0</v>
      </c>
      <c r="D25" s="478">
        <f t="shared" si="4"/>
        <v>35.609710417554169</v>
      </c>
      <c r="E25" s="478">
        <f t="shared" si="5"/>
        <v>1.4005833926660136</v>
      </c>
      <c r="F25" s="478">
        <f t="shared" si="6"/>
        <v>451.25605009504648</v>
      </c>
      <c r="G25" s="478">
        <f t="shared" si="7"/>
        <v>0</v>
      </c>
      <c r="H25" s="478">
        <f t="shared" si="8"/>
        <v>0</v>
      </c>
      <c r="I25" s="478">
        <f t="shared" si="9"/>
        <v>0</v>
      </c>
      <c r="J25" s="478">
        <f t="shared" si="10"/>
        <v>36.152283291036127</v>
      </c>
      <c r="K25" s="478">
        <f t="shared" si="11"/>
        <v>0</v>
      </c>
      <c r="L25" s="478">
        <f t="shared" si="12"/>
        <v>0</v>
      </c>
      <c r="M25" s="478">
        <f t="shared" si="13"/>
        <v>0</v>
      </c>
      <c r="N25" s="478">
        <f t="shared" si="14"/>
        <v>0</v>
      </c>
      <c r="O25" s="478">
        <f t="shared" si="15"/>
        <v>0</v>
      </c>
      <c r="P25" s="479">
        <f t="shared" si="16"/>
        <v>0</v>
      </c>
      <c r="Q25" s="477">
        <f t="shared" ca="1" si="17"/>
        <v>669.07382186187647</v>
      </c>
    </row>
    <row r="26" spans="1:17">
      <c r="A26" s="477" t="s">
        <v>650</v>
      </c>
      <c r="B26" s="478">
        <f t="shared" ca="1" si="2"/>
        <v>9340.1692909103785</v>
      </c>
      <c r="C26" s="478">
        <f t="shared" ca="1" si="3"/>
        <v>0</v>
      </c>
      <c r="D26" s="478">
        <f t="shared" si="4"/>
        <v>4684.9278314476269</v>
      </c>
      <c r="E26" s="478">
        <f t="shared" si="5"/>
        <v>395.75669742939925</v>
      </c>
      <c r="F26" s="478">
        <f t="shared" si="6"/>
        <v>3968.1896748281811</v>
      </c>
      <c r="G26" s="478">
        <f t="shared" si="7"/>
        <v>0</v>
      </c>
      <c r="H26" s="478">
        <f t="shared" si="8"/>
        <v>0</v>
      </c>
      <c r="I26" s="478">
        <f t="shared" si="9"/>
        <v>0</v>
      </c>
      <c r="J26" s="478">
        <f t="shared" si="10"/>
        <v>13.378892358661385</v>
      </c>
      <c r="K26" s="478">
        <f t="shared" si="11"/>
        <v>0</v>
      </c>
      <c r="L26" s="478">
        <f t="shared" si="12"/>
        <v>0</v>
      </c>
      <c r="M26" s="478">
        <f t="shared" si="13"/>
        <v>0</v>
      </c>
      <c r="N26" s="478">
        <f t="shared" si="14"/>
        <v>0</v>
      </c>
      <c r="O26" s="478">
        <f t="shared" si="15"/>
        <v>0</v>
      </c>
      <c r="P26" s="479">
        <f t="shared" si="16"/>
        <v>0</v>
      </c>
      <c r="Q26" s="477">
        <f t="shared" ca="1" si="17"/>
        <v>18402.422386974245</v>
      </c>
    </row>
    <row r="27" spans="1:17" s="483" customFormat="1">
      <c r="A27" s="481" t="s">
        <v>571</v>
      </c>
      <c r="B27" s="781">
        <f t="shared" ca="1" si="2"/>
        <v>18.358339758437623</v>
      </c>
      <c r="C27" s="482">
        <f t="shared" ca="1" si="3"/>
        <v>0</v>
      </c>
      <c r="D27" s="482">
        <f t="shared" si="4"/>
        <v>42.829154381397828</v>
      </c>
      <c r="E27" s="482">
        <f t="shared" si="5"/>
        <v>367.97655452979791</v>
      </c>
      <c r="F27" s="482">
        <f t="shared" si="6"/>
        <v>0</v>
      </c>
      <c r="G27" s="482">
        <f t="shared" si="7"/>
        <v>112086.02413248108</v>
      </c>
      <c r="H27" s="482">
        <f t="shared" si="8"/>
        <v>20695.187706490095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133210.37588764081</v>
      </c>
    </row>
    <row r="28" spans="1:17">
      <c r="A28" s="477" t="s">
        <v>561</v>
      </c>
      <c r="B28" s="478">
        <f t="shared" ca="1" si="2"/>
        <v>0</v>
      </c>
      <c r="C28" s="478">
        <f t="shared" ca="1" si="3"/>
        <v>0</v>
      </c>
      <c r="D28" s="478">
        <f t="shared" si="4"/>
        <v>0</v>
      </c>
      <c r="E28" s="478">
        <f t="shared" si="5"/>
        <v>0</v>
      </c>
      <c r="F28" s="478">
        <f t="shared" si="6"/>
        <v>0</v>
      </c>
      <c r="G28" s="478">
        <f t="shared" si="7"/>
        <v>2456.8144366894262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2456.8144366894262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1804.7926360356118</v>
      </c>
      <c r="C32" s="478">
        <f t="shared" ca="1" si="3"/>
        <v>0</v>
      </c>
      <c r="D32" s="478">
        <f t="shared" si="4"/>
        <v>2857.1171082054543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4661.9097442410657</v>
      </c>
    </row>
    <row r="33" spans="1:17" s="487" customFormat="1">
      <c r="A33" s="1051" t="s">
        <v>565</v>
      </c>
      <c r="B33" s="991">
        <f ca="1">SUM(B22:B32)</f>
        <v>66487.258208771455</v>
      </c>
      <c r="C33" s="991">
        <f t="shared" ref="C33:Q33" ca="1" si="18">SUM(C22:C32)</f>
        <v>271.93613445378156</v>
      </c>
      <c r="D33" s="991">
        <f t="shared" ca="1" si="18"/>
        <v>57844.035226502274</v>
      </c>
      <c r="E33" s="991">
        <f t="shared" si="18"/>
        <v>1516.4529660952594</v>
      </c>
      <c r="F33" s="991">
        <f t="shared" ca="1" si="18"/>
        <v>11201.903759909712</v>
      </c>
      <c r="G33" s="991">
        <f t="shared" si="18"/>
        <v>114542.8385691705</v>
      </c>
      <c r="H33" s="991">
        <f t="shared" si="18"/>
        <v>20695.187706490095</v>
      </c>
      <c r="I33" s="991">
        <f t="shared" si="18"/>
        <v>0</v>
      </c>
      <c r="J33" s="991">
        <f t="shared" si="18"/>
        <v>49.531175649697516</v>
      </c>
      <c r="K33" s="991">
        <f t="shared" si="18"/>
        <v>0</v>
      </c>
      <c r="L33" s="991">
        <f t="shared" ca="1" si="18"/>
        <v>0</v>
      </c>
      <c r="M33" s="991">
        <f t="shared" si="18"/>
        <v>0</v>
      </c>
      <c r="N33" s="991">
        <f t="shared" ca="1" si="18"/>
        <v>0</v>
      </c>
      <c r="O33" s="991">
        <f t="shared" si="18"/>
        <v>0</v>
      </c>
      <c r="P33" s="991">
        <f t="shared" si="18"/>
        <v>0</v>
      </c>
      <c r="Q33" s="991">
        <f t="shared" ca="1" si="18"/>
        <v>272609.14374704275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5383.3350041632184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801</v>
      </c>
      <c r="D8" s="1068">
        <f>'SEAP template'!D76</f>
        <v>942.35294117647084</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190.35529411764713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5383.3350041632184</v>
      </c>
      <c r="C10" s="1072">
        <f>SUM(C4:C9)</f>
        <v>801</v>
      </c>
      <c r="D10" s="1072">
        <f t="shared" ref="D10:H10" si="0">SUM(D8:D9)</f>
        <v>942.35294117647084</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190.35529411764713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0.21715775056905018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1144.2857142857142</v>
      </c>
      <c r="D17" s="1069">
        <f>'SEAP template'!D87</f>
        <v>1346.2184873949582</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271.93613445378156</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1144.2857142857142</v>
      </c>
      <c r="D20" s="1072">
        <f t="shared" ref="D20:H20" si="2">SUM(D17:D19)</f>
        <v>1346.2184873949582</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271.93613445378156</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0.21715775056905018</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2019-08-12T08:07:38Z</dcterms:modified>
</cp:coreProperties>
</file>