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<sst xmlns="http://schemas.openxmlformats.org/spreadsheetml/2006/main" count="2428" uniqueCount="914">
  <si>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</si>
  <si>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</si>
  <si>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</si>
  <si>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</si>
  <si>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</si>
  <si>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</si>
  <si>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</si>
  <si>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</si>
  <si>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</si>
  <si>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</si>
  <si>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</si>
  <si>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</si>
  <si>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</si>
  <si>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</si>
  <si>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</si>
  <si>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</si>
  <si>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</si>
  <si>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</si>
  <si>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</si>
  <si>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</si>
  <si>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</si>
  <si>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</si>
  <si>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</si>
  <si>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</si>
  <si>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</si>
  <si>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</si>
  <si>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</si>
  <si>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</si>
  <si>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</si>
  <si>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</si>
  <si>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</si>
  <si>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</si>
  <si>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</si>
  <si>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</si>
  <si>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</si>
  <si>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</si>
  <si>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</si>
  <si>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</si>
  <si>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</si>
  <si>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</si>
  <si>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</si>
  <si>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</si>
  <si>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</si>
  <si>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</si>
  <si>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</si>
  <si>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</si>
  <si>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</si>
  <si>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</si>
  <si>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</si>
  <si>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</si>
  <si>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</si>
  <si>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</si>
  <si>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</si>
  <si>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</si>
  <si>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</si>
  <si>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</si>
  <si>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</si>
  <si>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</si>
  <si>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</si>
  <si>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</si>
  <si>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</si>
  <si>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</si>
  <si>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</si>
  <si>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</si>
  <si>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</si>
  <si>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</si>
  <si>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</si>
  <si>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</si>
  <si>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</si>
  <si>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</si>
  <si>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</si>
  <si>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</si>
  <si>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</si>
  <si>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</si>
  <si>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</si>
  <si>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</si>
  <si>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</si>
  <si>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</si>
  <si>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</si>
  <si>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</si>
  <si>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</si>
  <si>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</si>
  <si>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</si>
  <si>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</si>
  <si>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</si>
  <si>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</si>
  <si>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</si>
  <si>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</si>
  <si>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</si>
  <si>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</si>
  <si>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</si>
  <si>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</si>
  <si>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</si>
  <si>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</si>
  <si>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</si>
  <si>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</si>
  <si>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</si>
  <si>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</si>
  <si>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</si>
  <si>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</si>
  <si>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</si>
  <si>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</si>
  <si>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</si>
  <si>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</si>
  <si>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</si>
  <si>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</si>
  <si>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</si>
  <si>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</si>
  <si>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</si>
  <si>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</si>
  <si>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</si>
  <si>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</si>
  <si>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</si>
  <si>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</si>
  <si>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</si>
  <si>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</si>
  <si>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</si>
  <si>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</si>
  <si>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</si>
  <si>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</si>
  <si>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</si>
  <si>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</si>
  <si>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</si>
  <si>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</si>
  <si>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</si>
  <si>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</si>
  <si>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</si>
  <si>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</si>
  <si>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</si>
  <si>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</si>
  <si>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</si>
  <si>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</si>
  <si>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</si>
  <si>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</si>
  <si>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</si>
  <si>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</si>
  <si>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</si>
  <si>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</si>
  <si>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</si>
  <si>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</si>
  <si>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</si>
  <si>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</si>
  <si>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</si>
  <si>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</si>
  <si>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</si>
  <si>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</si>
  <si>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</si>
  <si>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</si>
  <si>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</si>
  <si>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</si>
  <si>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</si>
  <si>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</si>
  <si>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</si>
  <si>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</si>
  <si>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</si>
  <si>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</si>
  <si>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</si>
  <si>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</si>
  <si>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</si>
  <si>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</si>
  <si>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</si>
  <si>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</si>
  <si>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</si>
  <si>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</si>
  <si>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</si>
  <si>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</si>
  <si>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</si>
  <si>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</si>
  <si>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</si>
  <si>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</si>
  <si>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</si>
  <si>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</si>
  <si>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</si>
  <si>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</si>
  <si>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</si>
  <si>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</si>
  <si>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</si>
  <si>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</si>
  <si>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</si>
  <si>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</si>
  <si>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</si>
  <si>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</si>
  <si>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</si>
  <si>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</si>
  <si>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</si>
  <si>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</si>
  <si>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</si>
  <si>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</si>
  <si>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</si>
  <si>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</si>
  <si>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</si>
  <si>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</si>
  <si>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</si>
  <si>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</si>
  <si>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</si>
  <si>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</si>
  <si>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</si>
  <si>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</si>
  <si>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</si>
  <si>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</si>
  <si>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</si>
  <si>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</si>
  <si>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</si>
  <si>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</si>
  <si>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</si>
  <si>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</si>
  <si>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</si>
  <si>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</si>
  <si>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</si>
  <si>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</si>
  <si>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</si>
  <si>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</si>
  <si>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</si>
  <si>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</si>
  <si>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</si>
  <si>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</si>
  <si>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</si>
  <si>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</si>
  <si>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</si>
  <si>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</si>
  <si>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</si>
  <si>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</si>
  <si>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</si>
  <si>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</si>
  <si>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</si>
  <si>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</si>
  <si>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</si>
  <si>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</si>
  <si>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</si>
  <si>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</si>
  <si>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</si>
  <si>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</si>
  <si>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</si>
  <si>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</si>
  <si>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</si>
  <si>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</si>
  <si>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</si>
  <si>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</si>
  <si>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</si>
  <si>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</si>
  <si>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</si>
  <si>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</si>
  <si>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</si>
  <si>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</si>
  <si>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</si>
  <si>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</si>
  <si>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</si>
  <si>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</si>
  <si>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</si>
  <si>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</si>
  <si>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</si>
  <si>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</si>
  <si>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</si>
  <si>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</si>
  <si>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</si>
  <si>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</si>
  <si>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</si>
  <si>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</si>
  <si>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</si>
  <si>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</si>
  <si>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</si>
  <si>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</si>
  <si>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</si>
  <si>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</si>
  <si>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</si>
  <si>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</si>
  <si>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</si>
  <si>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</si>
  <si>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</si>
  <si>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</si>
  <si>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</si>
  <si>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</si>
  <si>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</si>
  <si>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</si>
  <si>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</si>
  <si>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</si>
  <si>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</si>
  <si>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</si>
  <si>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</si>
  <si>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</si>
  <si>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</si>
  <si>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</si>
  <si>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</si>
  <si>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</si>
  <si>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</si>
  <si>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</si>
  <si>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</si>
  <si>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</si>
  <si>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</si>
  <si>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</si>
  <si>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</si>
  <si>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</si>
  <si>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</si>
  <si>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</si>
  <si>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</si>
  <si>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</si>
  <si>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</si>
  <si>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</si>
  <si>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</si>
  <si>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</si>
  <si>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</si>
  <si>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</si>
  <si>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</si>
  <si>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</si>
  <si>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</si>
  <si>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</si>
  <si>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</si>
  <si>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</si>
  <si>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</si>
  <si>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</si>
  <si>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</si>
  <si>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</si>
  <si>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</si>
  <si>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</si>
  <si>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</si>
  <si>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</si>
  <si>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</si>
  <si>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</si>
  <si>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</si>
  <si>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</si>
  <si>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</si>
  <si>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</si>
  <si>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</si>
  <si>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</si>
  <si>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</si>
  <si>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</si>
  <si>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</si>
  <si>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</si>
  <si>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</si>
  <si>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</si>
  <si>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</si>
  <si>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</si>
  <si>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</si>
  <si>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</si>
  <si>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</si>
  <si>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</si>
  <si>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</si>
  <si>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</si>
  <si>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</si>
  <si>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</si>
  <si>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</si>
  <si>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</si>
  <si>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</si>
  <si>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</si>
  <si>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</si>
  <si>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</si>
  <si>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</si>
  <si>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</si>
  <si>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</si>
  <si>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</si>
  <si>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</si>
  <si>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</si>
  <si>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</si>
  <si>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</si>
  <si>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</si>
  <si>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</si>
  <si>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</si>
  <si>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</si>
  <si>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</si>
  <si>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</si>
  <si>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</si>
  <si>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</si>
  <si>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</si>
  <si>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</si>
  <si>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</si>
  <si>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</si>
  <si>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</si>
  <si>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</si>
  <si>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</si>
  <si>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</si>
  <si>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</si>
  <si>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</si>
  <si>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</si>
  <si>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</si>
  <si>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</si>
  <si>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</si>
  <si>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</si>
  <si>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</si>
  <si>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</si>
  <si>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</si>
  <si>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</si>
  <si>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</si>
  <si>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</si>
  <si>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</si>
  <si>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</si>
  <si>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</si>
  <si>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</si>
  <si>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</si>
  <si>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</si>
  <si>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</si>
  <si>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</si>
  <si>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</si>
  <si>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</si>
  <si>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</si>
  <si>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</si>
  <si>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</si>
  <si>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</si>
  <si>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</si>
  <si>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</si>
  <si>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</si>
  <si>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</si>
  <si>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</si>
  <si>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</si>
  <si>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</si>
  <si>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</si>
  <si>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</si>
  <si>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</si>
  <si>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</si>
  <si>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</si>
  <si>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</si>
  <si>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</si>
  <si>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</si>
  <si>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</si>
  <si>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</si>
  <si>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</si>
  <si>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</si>
  <si>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</si>
  <si>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</si>
  <si>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</si>
  <si>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</si>
  <si>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</si>
  <si>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</si>
  <si>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</si>
  <si>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</si>
  <si>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</si>
  <si>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</si>
  <si>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</si>
  <si>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</si>
  <si>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</si>
  <si>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</si>
  <si>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</si>
  <si>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</si>
  <si>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</si>
  <si>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</si>
  <si>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</si>
  <si>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</si>
  <si>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</si>
  <si>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</si>
  <si>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</si>
  <si>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</si>
  <si>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</si>
  <si>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</si>
  <si>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</si>
  <si>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</si>
  <si>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</si>
  <si>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</si>
  <si>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</si>
  <si>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</si>
  <si>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</si>
  <si>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</si>
  <si>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</si>
  <si>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</si>
  <si>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</si>
  <si>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</si>
  <si>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</si>
  <si>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</si>
  <si>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</si>
  <si>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</si>
  <si>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</si>
  <si>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</si>
  <si>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</si>
  <si>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</si>
  <si>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</si>
  <si>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</si>
  <si>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</si>
  <si>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</si>
  <si>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</si>
  <si>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</si>
  <si>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</si>
  <si>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</si>
  <si>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</si>
  <si>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</si>
  <si>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</si>
  <si>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</si>
  <si>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</si>
  <si>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</si>
  <si>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</si>
  <si>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</si>
  <si>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</si>
  <si>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</si>
  <si>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</si>
  <si>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</si>
  <si>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</si>
  <si>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</si>
  <si>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</si>
  <si>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</si>
  <si>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</si>
  <si>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</si>
  <si>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</si>
  <si>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</si>
  <si>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</si>
  <si>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</si>
  <si>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</si>
  <si>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</si>
  <si>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</si>
  <si>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</si>
  <si>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</si>
  <si>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</si>
  <si>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</si>
  <si>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</si>
  <si>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</si>
  <si>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</si>
  <si>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</si>
  <si>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</si>
  <si>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</si>
  <si>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</si>
  <si>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</si>
  <si>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</si>
  <si>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</si>
  <si>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</si>
  <si>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</si>
  <si>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</si>
  <si>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</si>
  <si>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</si>
  <si>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</si>
  <si>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</si>
  <si>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</si>
  <si>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</si>
  <si>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</si>
  <si>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</si>
  <si>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</si>
  <si>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</si>
  <si>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</si>
  <si>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</si>
  <si>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</si>
  <si>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</si>
  <si>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</si>
  <si>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</si>
  <si>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</si>
  <si>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</si>
  <si>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</si>
  <si>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</si>
  <si>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</si>
  <si>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</si>
  <si>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</si>
  <si>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</si>
  <si>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</si>
  <si>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</si>
  <si>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</si>
  <si>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</si>
  <si>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</si>
  <si>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</si>
  <si>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</si>
  <si>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</si>
  <si>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</si>
  <si>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</si>
  <si>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</si>
  <si>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</si>
  <si>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</si>
  <si>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</si>
  <si>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</si>
  <si>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</si>
  <si>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</si>
  <si>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</si>
  <si>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</si>
  <si>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</si>
  <si>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</si>
  <si>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</si>
  <si>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</si>
  <si>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</si>
  <si>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</si>
  <si>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</si>
  <si>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</si>
  <si>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</si>
  <si>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</si>
  <si>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</si>
  <si>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</si>
  <si>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</si>
  <si>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</si>
  <si>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</si>
  <si>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</si>
  <si>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</si>
  <si>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</si>
  <si>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</si>
  <si>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</si>
  <si>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</si>
  <si>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</si>
  <si>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</si>
  <si>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</si>
  <si>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</si>
  <si>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</si>
  <si>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</si>
  <si>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</si>
  <si>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</si>
  <si>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</si>
  <si>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</si>
  <si>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</si>
  <si>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</si>
  <si>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</si>
  <si>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</si>
  <si>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</si>
  <si>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</si>
  <si>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</si>
  <si>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</si>
  <si>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</si>
  <si>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</si>
  <si>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</si>
  <si>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</si>
  <si>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</si>
  <si>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</si>
  <si>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</si>
  <si>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</si>
  <si>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</si>
  <si>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</si>
  <si>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</si>
  <si>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</si>
  <si>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</si>
  <si>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</si>
  <si>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</si>
  <si>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</si>
  <si>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</si>
  <si>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</si>
  <si>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</si>
  <si>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</si>
  <si>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</si>
  <si>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</si>
  <si>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</si>
  <si>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</si>
  <si>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</si>
  <si>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</si>
  <si>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</si>
  <si>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</si>
  <si>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</si>
  <si>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</si>
  <si>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</si>
  <si>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</si>
  <si>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</si>
  <si>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</si>
  <si>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</si>
  <si>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</si>
  <si>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</si>
  <si>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</si>
  <si>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</si>
  <si>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</si>
  <si>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</si>
  <si>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</si>
  <si>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</si>
  <si>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</si>
  <si>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</si>
  <si>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</si>
  <si>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</si>
  <si>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</si>
  <si>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</si>
  <si>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</si>
  <si>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</si>
  <si>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</si>
  <si>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</si>
  <si>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</si>
  <si>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</si>
  <si>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</si>
  <si>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</si>
  <si>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</si>
  <si>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</si>
  <si>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</si>
  <si>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</si>
  <si>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</si>
  <si>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</si>
  <si>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</si>
  <si>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</si>
  <si>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</si>
  <si>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</si>
  <si>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</si>
  <si>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</si>
  <si>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</si>
  <si>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</si>
  <si>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</si>
  <si>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</si>
  <si>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</si>
  <si>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</si>
  <si>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</si>
  <si>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</si>
  <si>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</si>
  <si>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</si>
  <si>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</si>
  <si>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</si>
  <si>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</si>
  <si>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</si>
  <si>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</si>
  <si>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</si>
  <si>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</si>
  <si>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</si>
  <si>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</si>
  <si>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</si>
  <si>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</si>
  <si>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</si>
  <si>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</si>
  <si>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</si>
  <si>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</si>
  <si>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</si>
  <si>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</si>
  <si>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</si>
  <si>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</si>
  <si>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</si>
  <si>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</si>
  <si>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</si>
  <si>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</si>
  <si>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</si>
  <si>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</si>
  <si>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</si>
  <si>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</si>
  <si>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</si>
  <si>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</si>
  <si>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</si>
  <si>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</si>
  <si>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</si>
  <si>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</si>
  <si>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</si>
  <si>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</si>
  <si>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</si>
  <si>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</si>
  <si>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</si>
  <si>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</si>
  <si>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</si>
  <si>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</si>
  <si>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</si>
  <si>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</si>
  <si>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</si>
  <si>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</si>
  <si>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</si>
  <si>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</si>
  <si>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</si>
  <si>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</si>
  <si>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</si>
  <si>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</si>
  <si>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</si>
  <si>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</si>
  <si>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</si>
  <si>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</si>
  <si>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</si>
  <si>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</si>
  <si>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</si>
  <si>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</si>
  <si>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</si>
  <si>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</si>
  <si>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</si>
  <si>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</si>
  <si>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</si>
  <si>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</si>
  <si>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</si>
  <si>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</si>
  <si>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</si>
  <si>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</si>
  <si>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</si>
  <si>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</si>
  <si>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</si>
  <si>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</si>
  <si>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</si>
  <si>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</si>
  <si>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</si>
  <si>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</si>
  <si>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</si>
  <si>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</si>
  <si>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</si>
  <si>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</si>
  <si>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</si>
  <si>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</si>
  <si>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</si>
  <si>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</si>
  <si>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</si>
  <si>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</si>
  <si>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</si>
  <si>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</si>
  <si>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</si>
  <si>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</si>
  <si>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</si>
  <si>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</si>
  <si>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</si>
  <si>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</si>
  <si>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</si>
  <si>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</si>
  <si>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</si>
  <si>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</si>
  <si>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</si>
  <si>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</si>
  <si>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</si>
  <si>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</si>
  <si>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</si>
  <si>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</si>
  <si>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</si>
  <si>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</si>
  <si>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</si>
  <si>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</si>
  <si>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</si>
  <si>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</si>
  <si>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</si>
  <si>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</si>
  <si>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</si>
  <si>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</si>
  <si>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</si>
  <si>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</si>
  <si>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</si>
  <si>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</si>
  <si>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</si>
  <si>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</si>
  <si>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</si>
  <si>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</si>
  <si>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</si>
  <si>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</si>
  <si>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</si>
  <si>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</si>
  <si>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</si>
  <si>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</si>
  <si>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</si>
  <si>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</si>
  <si>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</si>
  <si>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</si>
  <si>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</si>
  <si>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</si>
  <si>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</si>
  <si>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</si>
  <si>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</si>
  <si>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</si>
  <si>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</si>
  <si>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</si>
  <si>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</si>
  <si>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</si>
  <si>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</si>
  <si>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</si>
  <si>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</si>
  <si>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</si>
  <si>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</si>
  <si>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</si>
  <si>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</si>
  <si>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</si>
  <si>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</si>
  <si>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</si>
  <si>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</si>
  <si>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</si>
  <si>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</si>
  <si>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</si>
  <si>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</si>
  <si>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</si>
  <si>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</si>
  <si>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</si>
  <si>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</si>
  <si>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</si>
  <si>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</si>
  <si>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</si>
  <si>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</si>
  <si>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</si>
  <si>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</si>
  <si>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</si>
  <si>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</si>
  <si>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</si>
  <si>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</si>
  <si>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</si>
  <si>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</si>
  <si>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</si>
  <si>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</si>
  <si>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</si>
  <si>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</si>
  <si>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</si>
  <si>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</si>
  <si>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</si>
  <si>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</si>
  <si>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</si>
  <si>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</si>
  <si>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</si>
  <si>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</si>
  <si>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</si>
  <si>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</si>
  <si>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</si>
  <si>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</si>
  <si>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</si>
  <si>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</si>
  <si>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</si>
  <si>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</si>
  <si>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</si>
  <si>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</si>
  <si>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</si>
  <si>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</si>
  <si>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</si>
  <si>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</si>
  <si>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</si>
  <si>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</si>
  <si>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</si>
  <si>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</si>
  <si>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</si>
  <si>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</si>
  <si>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</si>
  <si>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</si>
  <si>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</si>
  <si>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</si>
  <si>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</si>
  <si>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</si>
  <si>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</si>
  <si>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</si>
  <si>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</si>
  <si>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</si>
  <si>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</si>
  <si>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</si>
  <si>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</si>
  <si>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</si>
  <si>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</si>
  <si>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</si>
  <si>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</si>
  <si>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</si>
  <si>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</si>
  <si>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</si>
  <si>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23052</t>
  </si>
  <si>
    <t>MERCHTEM</t>
  </si>
  <si>
    <t>Paarden&amp;pony's 200 - 600 kg</t>
  </si>
  <si>
    <t>Paarden&amp;pony's &lt; 200 kg</t>
  </si>
  <si>
    <t>referentietaak LNE (2017); Jaarverslag De Lijn (2014)</t>
  </si>
  <si>
    <t>op basis van VEA (maart 2018) en Inventaris Hernieuwbare Energiebronnen (juni 2018)</t>
  </si>
  <si>
    <t>VEA (maart 2016)</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</si>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</sst>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116151.42119492144</c:v>
                </c:pt>
                <c:pt idx="1">
                  <c:v>34283.886638682692</c:v>
                </c:pt>
                <c:pt idx="2">
                  <c:v>830.95799999999997</c:v>
                </c:pt>
                <c:pt idx="3">
                  <c:v>10516.624994556447</c:v>
                </c:pt>
                <c:pt idx="4">
                  <c:v>9769.8707580655446</c:v>
                </c:pt>
                <c:pt idx="5">
                  <c:v>75123.517361089005</c:v>
                </c:pt>
                <c:pt idx="6">
                  <c:v>1580.3820092830588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116151.42119492144</c:v>
                </c:pt>
                <c:pt idx="1">
                  <c:v>34283.886638682692</c:v>
                </c:pt>
                <c:pt idx="2">
                  <c:v>830.95799999999997</c:v>
                </c:pt>
                <c:pt idx="3">
                  <c:v>10516.624994556447</c:v>
                </c:pt>
                <c:pt idx="4">
                  <c:v>9769.8707580655446</c:v>
                </c:pt>
                <c:pt idx="5">
                  <c:v>75123.517361089005</c:v>
                </c:pt>
                <c:pt idx="6">
                  <c:v>1580.3820092830588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24524.568156563371</c:v>
                </c:pt>
                <c:pt idx="2">
                  <c:v>6805.8885297054812</c:v>
                </c:pt>
                <c:pt idx="3">
                  <c:v>170.88728760177105</c:v>
                </c:pt>
                <c:pt idx="4">
                  <c:v>2637.5685428951647</c:v>
                </c:pt>
                <c:pt idx="5">
                  <c:v>1911.7697476026131</c:v>
                </c:pt>
                <c:pt idx="6">
                  <c:v>18788.838551378871</c:v>
                </c:pt>
                <c:pt idx="7">
                  <c:v>399.1969577027827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13728"/>
      </c:barChart>
      <c:catAx>
        <c:axId val="18228326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24524.568156563371</c:v>
                </c:pt>
                <c:pt idx="2">
                  <c:v>6805.8885297054812</c:v>
                </c:pt>
                <c:pt idx="3">
                  <c:v>170.88728760177105</c:v>
                </c:pt>
                <c:pt idx="4">
                  <c:v>2637.5685428951647</c:v>
                </c:pt>
                <c:pt idx="5">
                  <c:v>1911.7697476026131</c:v>
                </c:pt>
                <c:pt idx="6">
                  <c:v>18788.838551378871</c:v>
                </c:pt>
                <c:pt idx="7">
                  <c:v>399.1969577027827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23052</v>
      </c>
      <c r="B6" s="416"/>
      <c r="C6" s="417"/>
    </row>
    <row r="7" spans="1:7" s="414" customFormat="1" ht="15.75" customHeight="1">
      <c r="A7" s="418" t="str">
        <f>txtMunicipality</f>
        <v>MERCHTEM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0.20565093254023797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0.20565093254023797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6681</v>
      </c>
      <c r="C9" s="342">
        <v>6941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2239</v>
      </c>
    </row>
    <row r="15" spans="1:6">
      <c r="A15" s="348" t="s">
        <v>184</v>
      </c>
      <c r="B15" s="334">
        <v>29</v>
      </c>
    </row>
    <row r="16" spans="1:6">
      <c r="A16" s="348" t="s">
        <v>6</v>
      </c>
      <c r="B16" s="334">
        <v>1200</v>
      </c>
    </row>
    <row r="17" spans="1:6">
      <c r="A17" s="348" t="s">
        <v>7</v>
      </c>
      <c r="B17" s="334">
        <v>547</v>
      </c>
    </row>
    <row r="18" spans="1:6">
      <c r="A18" s="348" t="s">
        <v>8</v>
      </c>
      <c r="B18" s="334">
        <v>1010</v>
      </c>
    </row>
    <row r="19" spans="1:6">
      <c r="A19" s="348" t="s">
        <v>9</v>
      </c>
      <c r="B19" s="334">
        <v>946</v>
      </c>
    </row>
    <row r="20" spans="1:6">
      <c r="A20" s="348" t="s">
        <v>10</v>
      </c>
      <c r="B20" s="334">
        <v>642</v>
      </c>
    </row>
    <row r="21" spans="1:6">
      <c r="A21" s="348" t="s">
        <v>11</v>
      </c>
      <c r="B21" s="334">
        <v>283</v>
      </c>
    </row>
    <row r="22" spans="1:6">
      <c r="A22" s="348" t="s">
        <v>12</v>
      </c>
      <c r="B22" s="334">
        <v>2055</v>
      </c>
    </row>
    <row r="23" spans="1:6">
      <c r="A23" s="348" t="s">
        <v>13</v>
      </c>
      <c r="B23" s="334">
        <v>12</v>
      </c>
    </row>
    <row r="24" spans="1:6">
      <c r="A24" s="348" t="s">
        <v>14</v>
      </c>
      <c r="B24" s="334">
        <v>0</v>
      </c>
    </row>
    <row r="25" spans="1:6">
      <c r="A25" s="348" t="s">
        <v>15</v>
      </c>
      <c r="B25" s="334">
        <v>0</v>
      </c>
    </row>
    <row r="26" spans="1:6">
      <c r="A26" s="348" t="s">
        <v>16</v>
      </c>
      <c r="B26" s="334">
        <v>257</v>
      </c>
    </row>
    <row r="27" spans="1:6">
      <c r="A27" s="348" t="s">
        <v>17</v>
      </c>
      <c r="B27" s="334">
        <v>6</v>
      </c>
    </row>
    <row r="28" spans="1:6" s="356" customFormat="1">
      <c r="A28" s="355" t="s">
        <v>18</v>
      </c>
      <c r="B28" s="355">
        <v>107146</v>
      </c>
    </row>
    <row r="29" spans="1:6">
      <c r="A29" s="355" t="s">
        <v>901</v>
      </c>
      <c r="B29" s="355">
        <v>71</v>
      </c>
      <c r="C29" s="356"/>
      <c r="D29" s="356"/>
      <c r="E29" s="356"/>
      <c r="F29" s="356"/>
    </row>
    <row r="30" spans="1:6">
      <c r="A30" s="341" t="s">
        <v>902</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2315</v>
      </c>
    </row>
    <row r="37" spans="1:6">
      <c r="A37" s="348" t="s">
        <v>25</v>
      </c>
      <c r="B37" s="348" t="s">
        <v>28</v>
      </c>
      <c r="C37" s="334">
        <v>0</v>
      </c>
      <c r="D37" s="334">
        <v>0</v>
      </c>
      <c r="E37" s="334">
        <v>0</v>
      </c>
      <c r="F37" s="334">
        <v>0</v>
      </c>
    </row>
    <row r="38" spans="1:6">
      <c r="A38" s="348" t="s">
        <v>25</v>
      </c>
      <c r="B38" s="348" t="s">
        <v>29</v>
      </c>
      <c r="C38" s="334">
        <v>0</v>
      </c>
      <c r="D38" s="334">
        <v>0</v>
      </c>
      <c r="E38" s="334">
        <v>1</v>
      </c>
      <c r="F38" s="334">
        <v>8757.607</v>
      </c>
    </row>
    <row r="39" spans="1:6">
      <c r="A39" s="348" t="s">
        <v>30</v>
      </c>
      <c r="B39" s="348" t="s">
        <v>31</v>
      </c>
      <c r="C39" s="334">
        <v>3314</v>
      </c>
      <c r="D39" s="334">
        <v>46295660.306433797</v>
      </c>
      <c r="E39" s="334">
        <v>6550</v>
      </c>
      <c r="F39" s="334">
        <v>29497990</v>
      </c>
    </row>
    <row r="40" spans="1:6">
      <c r="A40" s="348" t="s">
        <v>30</v>
      </c>
      <c r="B40" s="348" t="s">
        <v>29</v>
      </c>
      <c r="C40" s="334">
        <v>0</v>
      </c>
      <c r="D40" s="334">
        <v>0</v>
      </c>
      <c r="E40" s="334">
        <v>0</v>
      </c>
      <c r="F40" s="334">
        <v>0</v>
      </c>
    </row>
    <row r="41" spans="1:6">
      <c r="A41" s="348" t="s">
        <v>32</v>
      </c>
      <c r="B41" s="348" t="s">
        <v>33</v>
      </c>
      <c r="C41" s="334">
        <v>36</v>
      </c>
      <c r="D41" s="334">
        <v>640609.49575551401</v>
      </c>
      <c r="E41" s="334">
        <v>117</v>
      </c>
      <c r="F41" s="334">
        <v>707655.5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31967.74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460953.9</v>
      </c>
    </row>
    <row r="48" spans="1:6">
      <c r="A48" s="348" t="s">
        <v>32</v>
      </c>
      <c r="B48" s="348" t="s">
        <v>29</v>
      </c>
      <c r="C48" s="334">
        <v>24</v>
      </c>
      <c r="D48" s="334">
        <v>938963.66628937901</v>
      </c>
      <c r="E48" s="334">
        <v>42</v>
      </c>
      <c r="F48" s="334">
        <v>2151269</v>
      </c>
    </row>
    <row r="49" spans="1:6">
      <c r="A49" s="348" t="s">
        <v>32</v>
      </c>
      <c r="B49" s="348" t="s">
        <v>40</v>
      </c>
      <c r="C49" s="334">
        <v>0</v>
      </c>
      <c r="D49" s="334">
        <v>0</v>
      </c>
      <c r="E49" s="334">
        <v>0</v>
      </c>
      <c r="F49" s="334">
        <v>0</v>
      </c>
    </row>
    <row r="50" spans="1:6">
      <c r="A50" s="348" t="s">
        <v>32</v>
      </c>
      <c r="B50" s="348" t="s">
        <v>41</v>
      </c>
      <c r="C50" s="334">
        <v>11</v>
      </c>
      <c r="D50" s="334">
        <v>674305.25051876099</v>
      </c>
      <c r="E50" s="334">
        <v>16</v>
      </c>
      <c r="F50" s="334">
        <v>630171.69999999995</v>
      </c>
    </row>
    <row r="51" spans="1:6">
      <c r="A51" s="348" t="s">
        <v>42</v>
      </c>
      <c r="B51" s="348" t="s">
        <v>43</v>
      </c>
      <c r="C51" s="334">
        <v>6</v>
      </c>
      <c r="D51" s="334">
        <v>102188.28632945</v>
      </c>
      <c r="E51" s="334">
        <v>98</v>
      </c>
      <c r="F51" s="334">
        <v>2612702</v>
      </c>
    </row>
    <row r="52" spans="1:6">
      <c r="A52" s="348" t="s">
        <v>42</v>
      </c>
      <c r="B52" s="348" t="s">
        <v>29</v>
      </c>
      <c r="C52" s="334">
        <v>6</v>
      </c>
      <c r="D52" s="334">
        <v>261034.89880850501</v>
      </c>
      <c r="E52" s="334">
        <v>10</v>
      </c>
      <c r="F52" s="334">
        <v>124402.4</v>
      </c>
    </row>
    <row r="53" spans="1:6">
      <c r="A53" s="348" t="s">
        <v>44</v>
      </c>
      <c r="B53" s="348" t="s">
        <v>45</v>
      </c>
      <c r="C53" s="334">
        <v>93</v>
      </c>
      <c r="D53" s="334">
        <v>1755238.1349998</v>
      </c>
      <c r="E53" s="334">
        <v>293</v>
      </c>
      <c r="F53" s="334">
        <v>1235626</v>
      </c>
    </row>
    <row r="54" spans="1:6">
      <c r="A54" s="348" t="s">
        <v>46</v>
      </c>
      <c r="B54" s="348" t="s">
        <v>47</v>
      </c>
      <c r="C54" s="334">
        <v>0</v>
      </c>
      <c r="D54" s="334">
        <v>0</v>
      </c>
      <c r="E54" s="334">
        <v>1</v>
      </c>
      <c r="F54" s="334">
        <v>830958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1443361.56298125</v>
      </c>
      <c r="E57" s="334">
        <v>72</v>
      </c>
      <c r="F57" s="334">
        <v>1836791</v>
      </c>
    </row>
    <row r="58" spans="1:6">
      <c r="A58" s="348" t="s">
        <v>49</v>
      </c>
      <c r="B58" s="348" t="s">
        <v>51</v>
      </c>
      <c r="C58" s="334">
        <v>16</v>
      </c>
      <c r="D58" s="334">
        <v>370968.49674950697</v>
      </c>
      <c r="E58" s="334">
        <v>37</v>
      </c>
      <c r="F58" s="334">
        <v>264125.7</v>
      </c>
    </row>
    <row r="59" spans="1:6">
      <c r="A59" s="348" t="s">
        <v>49</v>
      </c>
      <c r="B59" s="348" t="s">
        <v>52</v>
      </c>
      <c r="C59" s="334">
        <v>83</v>
      </c>
      <c r="D59" s="334">
        <v>3982230.6841529598</v>
      </c>
      <c r="E59" s="334">
        <v>226</v>
      </c>
      <c r="F59" s="334">
        <v>5491825</v>
      </c>
    </row>
    <row r="60" spans="1:6">
      <c r="A60" s="348" t="s">
        <v>49</v>
      </c>
      <c r="B60" s="348" t="s">
        <v>53</v>
      </c>
      <c r="C60" s="334">
        <v>36</v>
      </c>
      <c r="D60" s="334">
        <v>1184490.54700613</v>
      </c>
      <c r="E60" s="334">
        <v>64</v>
      </c>
      <c r="F60" s="334">
        <v>1165661</v>
      </c>
    </row>
    <row r="61" spans="1:6">
      <c r="A61" s="348" t="s">
        <v>49</v>
      </c>
      <c r="B61" s="348" t="s">
        <v>54</v>
      </c>
      <c r="C61" s="334">
        <v>111</v>
      </c>
      <c r="D61" s="334">
        <v>5328250.1904893899</v>
      </c>
      <c r="E61" s="334">
        <v>291</v>
      </c>
      <c r="F61" s="334">
        <v>3647275</v>
      </c>
    </row>
    <row r="62" spans="1:6">
      <c r="A62" s="348" t="s">
        <v>49</v>
      </c>
      <c r="B62" s="348" t="s">
        <v>55</v>
      </c>
      <c r="C62" s="334">
        <v>7</v>
      </c>
      <c r="D62" s="334">
        <v>953735.25573809701</v>
      </c>
      <c r="E62" s="334">
        <v>7</v>
      </c>
      <c r="F62" s="334">
        <v>210085.5</v>
      </c>
    </row>
    <row r="63" spans="1:6">
      <c r="A63" s="348" t="s">
        <v>49</v>
      </c>
      <c r="B63" s="348" t="s">
        <v>29</v>
      </c>
      <c r="C63" s="334">
        <v>74</v>
      </c>
      <c r="D63" s="334">
        <v>4236352.7138123196</v>
      </c>
      <c r="E63" s="334">
        <v>82</v>
      </c>
      <c r="F63" s="334">
        <v>2003014</v>
      </c>
    </row>
    <row r="64" spans="1:6">
      <c r="A64" s="348" t="s">
        <v>56</v>
      </c>
      <c r="B64" s="348" t="s">
        <v>57</v>
      </c>
      <c r="C64" s="334">
        <v>0</v>
      </c>
      <c r="D64" s="334">
        <v>0</v>
      </c>
      <c r="E64" s="334">
        <v>0</v>
      </c>
      <c r="F64" s="334">
        <v>0</v>
      </c>
    </row>
    <row r="65" spans="1:6">
      <c r="A65" s="348" t="s">
        <v>56</v>
      </c>
      <c r="B65" s="348" t="s">
        <v>29</v>
      </c>
      <c r="C65" s="334">
        <v>4</v>
      </c>
      <c r="D65" s="334">
        <v>46886.070553548503</v>
      </c>
      <c r="E65" s="334">
        <v>3</v>
      </c>
      <c r="F65" s="334">
        <v>9925.5490000000009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129099.02845206299</v>
      </c>
      <c r="E68" s="334">
        <v>19</v>
      </c>
      <c r="F68" s="334">
        <v>127848.7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32268807</v>
      </c>
      <c r="E73" s="476">
        <v>33174790.890996203</v>
      </c>
    </row>
    <row r="74" spans="1:6">
      <c r="A74" s="348" t="s">
        <v>64</v>
      </c>
      <c r="B74" s="348" t="s">
        <v>714</v>
      </c>
      <c r="C74" s="1311" t="s">
        <v>716</v>
      </c>
      <c r="D74" s="476">
        <v>900976.09810708847</v>
      </c>
      <c r="E74" s="476">
        <v>934304.69039676501</v>
      </c>
    </row>
    <row r="75" spans="1:6">
      <c r="A75" s="348" t="s">
        <v>65</v>
      </c>
      <c r="B75" s="348" t="s">
        <v>713</v>
      </c>
      <c r="C75" s="1311" t="s">
        <v>717</v>
      </c>
      <c r="D75" s="476">
        <v>51992860</v>
      </c>
      <c r="E75" s="476">
        <v>53387899.553643674</v>
      </c>
    </row>
    <row r="76" spans="1:6">
      <c r="A76" s="348" t="s">
        <v>65</v>
      </c>
      <c r="B76" s="348" t="s">
        <v>714</v>
      </c>
      <c r="C76" s="1311" t="s">
        <v>718</v>
      </c>
      <c r="D76" s="476">
        <v>1895804.0981070884</v>
      </c>
      <c r="E76" s="476">
        <v>1959140.312412197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422315.80378582305</v>
      </c>
      <c r="C83" s="476">
        <v>419791.45841631992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2776.8176993255424</v>
      </c>
    </row>
    <row r="92" spans="1:6">
      <c r="A92" s="341" t="s">
        <v>69</v>
      </c>
      <c r="B92" s="342">
        <v>1047.4167003921903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1490</v>
      </c>
    </row>
    <row r="98" spans="1:6">
      <c r="A98" s="348" t="s">
        <v>72</v>
      </c>
      <c r="B98" s="334">
        <v>2</v>
      </c>
    </row>
    <row r="99" spans="1:6">
      <c r="A99" s="348" t="s">
        <v>73</v>
      </c>
      <c r="B99" s="334">
        <v>41</v>
      </c>
    </row>
    <row r="100" spans="1:6">
      <c r="A100" s="348" t="s">
        <v>74</v>
      </c>
      <c r="B100" s="334">
        <v>697</v>
      </c>
    </row>
    <row r="101" spans="1:6">
      <c r="A101" s="348" t="s">
        <v>75</v>
      </c>
      <c r="B101" s="334">
        <v>39</v>
      </c>
    </row>
    <row r="102" spans="1:6">
      <c r="A102" s="348" t="s">
        <v>76</v>
      </c>
      <c r="B102" s="334">
        <v>62</v>
      </c>
    </row>
    <row r="103" spans="1:6">
      <c r="A103" s="348" t="s">
        <v>77</v>
      </c>
      <c r="B103" s="334">
        <v>137</v>
      </c>
    </row>
    <row r="104" spans="1:6">
      <c r="A104" s="348" t="s">
        <v>78</v>
      </c>
      <c r="B104" s="334">
        <v>3027</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2</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55690.839497481262</v>
      </c>
      <c r="C3" s="43" t="s">
        <v>170</v>
      </c>
      <c r="D3" s="43"/>
      <c r="E3" s="154"/>
      <c r="F3" s="43"/>
      <c r="G3" s="43"/>
      <c r="H3" s="43"/>
      <c r="I3" s="43"/>
      <c r="J3" s="43"/>
      <c r="K3" s="96"/>
    </row>
    <row r="4" spans="1:11">
      <c r="A4" s="384" t="s">
        <v>171</v>
      </c>
      <c r="B4" s="49">
        <f>IF(ISERROR('SEAP template'!B78+'SEAP template'!C78),0,'SEAP template'!B78+'SEAP template'!C78)</f>
        <v>3867.8843997177328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0.20565093254023797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830.95799999999997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830.95799999999997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0.20565093254023797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170.88728760177105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29497.99</v>
      </c>
      <c r="C5" s="17">
        <f>IF(ISERROR('Eigen informatie GS &amp; warmtenet'!B57),0,'Eigen informatie GS &amp; warmtenet'!B57)</f>
        <v>0</v>
      </c>
      <c r="D5" s="30">
        <f>(SUM(HH_hh_gas_kWh,HH_rest_gas_kWh)/1000)*0.902</f>
        <v>41758.685596403287</v>
      </c>
      <c r="E5" s="17">
        <f>B46*B57</f>
        <v>1525.4929626061535</v>
      </c>
      <c r="F5" s="17">
        <f>B51*B62</f>
        <v>34103.679635412584</v>
      </c>
      <c r="G5" s="18"/>
      <c r="H5" s="17"/>
      <c r="I5" s="17"/>
      <c r="J5" s="17">
        <f>B50*B61+C50*C61</f>
        <v>0</v>
      </c>
      <c r="K5" s="17"/>
      <c r="L5" s="17"/>
      <c r="M5" s="17"/>
      <c r="N5" s="17">
        <f>B48*B59+C48*C59</f>
        <v>5502.8686345071892</v>
      </c>
      <c r="O5" s="17">
        <f>B69*B70*B71</f>
        <v>146.95333333333335</v>
      </c>
      <c r="P5" s="17">
        <f>B77*B78*B79/1000-B77*B78*B79/1000/B80</f>
        <v>838.93333333333339</v>
      </c>
    </row>
    <row r="6" spans="1:16">
      <c r="A6" s="16" t="s">
        <v>631</v>
      </c>
      <c r="B6" s="789">
        <f>kWh_PV_kleiner_dan_10kW</f>
        <v>2776.8176993255424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32274.807699325545</v>
      </c>
      <c r="C8" s="21">
        <f>C5</f>
        <v>0</v>
      </c>
      <c r="D8" s="21">
        <f>D5</f>
        <v>41758.685596403287</v>
      </c>
      <c r="E8" s="21">
        <f>E5</f>
        <v>1525.4929626061535</v>
      </c>
      <c r="F8" s="21">
        <f>F5</f>
        <v>34103.679635412584</v>
      </c>
      <c r="G8" s="21"/>
      <c r="H8" s="21"/>
      <c r="I8" s="21"/>
      <c r="J8" s="21">
        <f>J5</f>
        <v>0</v>
      </c>
      <c r="K8" s="21"/>
      <c r="L8" s="21">
        <f>L5</f>
        <v>0</v>
      </c>
      <c r="M8" s="21">
        <f>M5</f>
        <v>0</v>
      </c>
      <c r="N8" s="21">
        <f>N5</f>
        <v>5502.8686345071892</v>
      </c>
      <c r="O8" s="21">
        <f>O5</f>
        <v>146.95333333333335</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0.20565093254023797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6637.3443009231505</v>
      </c>
      <c r="C12" s="23">
        <f ca="1">C10*C8</f>
        <v>0</v>
      </c>
      <c r="D12" s="23">
        <f>D8*D10</f>
        <v>8435.2544904734641</v>
      </c>
      <c r="E12" s="23">
        <f>E10*E8</f>
        <v>346.28690251159685</v>
      </c>
      <c r="F12" s="23">
        <f>F10*F8</f>
        <v>9105.6824626551606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1490</v>
      </c>
      <c r="C18" s="166" t="s">
        <v>111</v>
      </c>
      <c r="D18" s="228"/>
      <c r="E18" s="15"/>
    </row>
    <row r="19" spans="1:7">
      <c r="A19" s="171" t="s">
        <v>72</v>
      </c>
      <c r="B19" s="37">
        <f>aantalw2001_ander</f>
        <v>2</v>
      </c>
      <c r="C19" s="166" t="s">
        <v>111</v>
      </c>
      <c r="D19" s="229"/>
      <c r="E19" s="15"/>
    </row>
    <row r="20" spans="1:7">
      <c r="A20" s="171" t="s">
        <v>73</v>
      </c>
      <c r="B20" s="37">
        <f>aantalw2001_propaan</f>
        <v>41</v>
      </c>
      <c r="C20" s="167">
        <f>IF(ISERROR(B20/SUM($B$20,$B$21,$B$22)*100),0,B20/SUM($B$20,$B$21,$B$22)*100)</f>
        <v>5.2767052767052771</v>
      </c>
      <c r="D20" s="229"/>
      <c r="E20" s="15"/>
    </row>
    <row r="21" spans="1:7">
      <c r="A21" s="171" t="s">
        <v>74</v>
      </c>
      <c r="B21" s="37">
        <f>aantalw2001_elektriciteit</f>
        <v>697</v>
      </c>
      <c r="C21" s="167">
        <f>IF(ISERROR(B21/SUM($B$20,$B$21,$B$22)*100),0,B21/SUM($B$20,$B$21,$B$22)*100)</f>
        <v>89.703989703989706</v>
      </c>
      <c r="D21" s="229"/>
      <c r="E21" s="15"/>
    </row>
    <row r="22" spans="1:7">
      <c r="A22" s="171" t="s">
        <v>75</v>
      </c>
      <c r="B22" s="37">
        <f>aantalw2001_hout</f>
        <v>39</v>
      </c>
      <c r="C22" s="167">
        <f>IF(ISERROR(B22/SUM($B$20,$B$21,$B$22)*100),0,B22/SUM($B$20,$B$21,$B$22)*100)</f>
        <v>5.019305019305019</v>
      </c>
      <c r="D22" s="229"/>
      <c r="E22" s="15"/>
    </row>
    <row r="23" spans="1:7">
      <c r="A23" s="171" t="s">
        <v>76</v>
      </c>
      <c r="B23" s="37">
        <f>aantalw2001_niet_gespec</f>
        <v>62</v>
      </c>
      <c r="C23" s="166" t="s">
        <v>111</v>
      </c>
      <c r="D23" s="228"/>
      <c r="E23" s="15"/>
    </row>
    <row r="24" spans="1:7">
      <c r="A24" s="171" t="s">
        <v>77</v>
      </c>
      <c r="B24" s="37">
        <f>aantalw2001_steenkool</f>
        <v>137</v>
      </c>
      <c r="C24" s="166" t="s">
        <v>111</v>
      </c>
      <c r="D24" s="229"/>
      <c r="E24" s="15"/>
    </row>
    <row r="25" spans="1:7">
      <c r="A25" s="171" t="s">
        <v>78</v>
      </c>
      <c r="B25" s="37">
        <f>aantalw2001_stookolie</f>
        <v>3027</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6681</v>
      </c>
      <c r="C28" s="36"/>
      <c r="D28" s="228"/>
    </row>
    <row r="29" spans="1:7" s="15" customFormat="1">
      <c r="A29" s="230" t="s">
        <v>741</v>
      </c>
      <c r="B29" s="37">
        <f>SUM(HH_hh_gas_aantal,HH_rest_gas_aantal)</f>
        <v>3314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3314</v>
      </c>
      <c r="C32" s="167">
        <f>IF(ISERROR(B32/SUM($B$32,$B$34,$B$35,$B$36,$B$38,$B$39)*100),0,B32/SUM($B$32,$B$34,$B$35,$B$36,$B$38,$B$39)*100)</f>
        <v>49.932198282356488</v>
      </c>
      <c r="D32" s="233"/>
      <c r="G32" s="15"/>
    </row>
    <row r="33" spans="1:7">
      <c r="A33" s="171" t="s">
        <v>72</v>
      </c>
      <c r="B33" s="34" t="s">
        <v>111</v>
      </c>
      <c r="C33" s="167"/>
      <c r="D33" s="233"/>
      <c r="G33" s="15"/>
    </row>
    <row r="34" spans="1:7">
      <c r="A34" s="171" t="s">
        <v>73</v>
      </c>
      <c r="B34" s="33">
        <f>IF((($B$28-$B$32-$B$39-$B$77-$B$38)*C20/100)&lt;0,0,($B$28-$B$32-$B$39-$B$77-$B$38)*C20/100)</f>
        <v>102.24144144144145</v>
      </c>
      <c r="C34" s="167">
        <f>IF(ISERROR(B34/SUM($B$32,$B$34,$B$35,$B$36,$B$38,$B$39)*100),0,B34/SUM($B$32,$B$34,$B$35,$B$36,$B$38,$B$39)*100)</f>
        <v>1.5404767431285438</v>
      </c>
      <c r="D34" s="233"/>
      <c r="G34" s="15"/>
    </row>
    <row r="35" spans="1:7">
      <c r="A35" s="171" t="s">
        <v>74</v>
      </c>
      <c r="B35" s="33">
        <f>IF((($B$28-$B$32-$B$39-$B$77-$B$38)*C21/100)&lt;0,0,($B$28-$B$32-$B$39-$B$77-$B$38)*C21/100)</f>
        <v>1738.1045045045048</v>
      </c>
      <c r="C35" s="167">
        <f>IF(ISERROR(B35/SUM($B$32,$B$34,$B$35,$B$36,$B$38,$B$39)*100),0,B35/SUM($B$32,$B$34,$B$35,$B$36,$B$38,$B$39)*100)</f>
        <v>26.188104633185244</v>
      </c>
      <c r="D35" s="233"/>
      <c r="G35" s="15"/>
    </row>
    <row r="36" spans="1:7">
      <c r="A36" s="171" t="s">
        <v>75</v>
      </c>
      <c r="B36" s="33">
        <f>IF((($B$28-$B$32-$B$39-$B$77-$B$38)*C22/100)&lt;0,0,($B$28-$B$32-$B$39-$B$77-$B$38)*C22/100)</f>
        <v>97.254054054054052</v>
      </c>
      <c r="C36" s="167">
        <f>IF(ISERROR(B36/SUM($B$32,$B$34,$B$35,$B$36,$B$38,$B$39)*100),0,B36/SUM($B$32,$B$34,$B$35,$B$36,$B$38,$B$39)*100)</f>
        <v>1.4653315361466634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1385.3999999999999</v>
      </c>
      <c r="C39" s="167">
        <f>IF(ISERROR(B39/SUM($B$32,$B$34,$B$35,$B$36,$B$38,$B$39)*100),0,B39/SUM($B$32,$B$34,$B$35,$B$36,$B$38,$B$39)*100)</f>
        <v>20.873888805183064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3314</v>
      </c>
      <c r="C44" s="34" t="s">
        <v>111</v>
      </c>
      <c r="D44" s="174"/>
    </row>
    <row r="45" spans="1:7">
      <c r="A45" s="171" t="s">
        <v>72</v>
      </c>
      <c r="B45" s="33" t="str">
        <f t="shared" si="0"/>
        <v>-</v>
      </c>
      <c r="C45" s="34" t="s">
        <v>111</v>
      </c>
      <c r="D45" s="174"/>
    </row>
    <row r="46" spans="1:7">
      <c r="A46" s="171" t="s">
        <v>73</v>
      </c>
      <c r="B46" s="33">
        <f t="shared" si="0"/>
        <v>102.24144144144145</v>
      </c>
      <c r="C46" s="34" t="s">
        <v>111</v>
      </c>
      <c r="D46" s="174"/>
    </row>
    <row r="47" spans="1:7">
      <c r="A47" s="171" t="s">
        <v>74</v>
      </c>
      <c r="B47" s="33">
        <f t="shared" si="0"/>
        <v>1738.1045045045048</v>
      </c>
      <c r="C47" s="34" t="s">
        <v>111</v>
      </c>
      <c r="D47" s="174"/>
    </row>
    <row r="48" spans="1:7">
      <c r="A48" s="171" t="s">
        <v>75</v>
      </c>
      <c r="B48" s="33">
        <f t="shared" si="0"/>
        <v>97.254054054054052</v>
      </c>
      <c r="C48" s="33">
        <f>B48*10</f>
        <v>972.54054054054052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1385.3999999999999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14618.777199999997</v>
      </c>
      <c r="C5" s="17">
        <f>IF(ISERROR('Eigen informatie GS &amp; warmtenet'!B58),0,'Eigen informatie GS &amp; warmtenet'!B58)</f>
        <v>0</v>
      </c>
      <c r="D5" s="30">
        <f>SUM(D6:D12)</f>
        <v>15784.449284738548</v>
      </c>
      <c r="E5" s="17">
        <f>SUM(E6:E12)</f>
        <v>143.24447074164252</v>
      </c>
      <c r="F5" s="17">
        <f>SUM(F6:F12)</f>
        <v>2166.8468747264933</v>
      </c>
      <c r="G5" s="18"/>
      <c r="H5" s="17"/>
      <c r="I5" s="17"/>
      <c r="J5" s="17">
        <f>SUM(J6:J12)</f>
        <v>0</v>
      </c>
      <c r="K5" s="17"/>
      <c r="L5" s="17"/>
      <c r="M5" s="17"/>
      <c r="N5" s="17">
        <f>SUM(N6:N12)</f>
        <v>1548.3754751426795</v>
      </c>
      <c r="O5" s="17">
        <f>B38*B39*B40</f>
        <v>3.1266666666666669</v>
      </c>
      <c r="P5" s="17">
        <f>B46*B47*B48/1000-B46*B47*B48/1000/B49</f>
        <v>19.066666666666666</v>
      </c>
      <c r="R5" s="32"/>
    </row>
    <row r="6" spans="1:18">
      <c r="A6" s="32" t="s">
        <v>54</v>
      </c>
      <c r="B6" s="37">
        <f>B26</f>
        <v>3647.2750000000001</v>
      </c>
      <c r="C6" s="33"/>
      <c r="D6" s="37">
        <f>IF(ISERROR(TER_kantoor_gas_kWh/1000),0,TER_kantoor_gas_kWh/1000)*0.902</f>
        <v>4806.0816718214301</v>
      </c>
      <c r="E6" s="33">
        <f>$C$26*'E Balans VL '!I12/100/3.6*1000000</f>
        <v>10.566690806120132</v>
      </c>
      <c r="F6" s="33">
        <f>$C$26*('E Balans VL '!L12+'E Balans VL '!N12)/100/3.6*1000000</f>
        <v>412.79117430158436</v>
      </c>
      <c r="G6" s="34"/>
      <c r="H6" s="33"/>
      <c r="I6" s="33"/>
      <c r="J6" s="33">
        <f>$C$26*('E Balans VL '!D12+'E Balans VL '!E12)/100/3.6*1000000</f>
        <v>0</v>
      </c>
      <c r="K6" s="33"/>
      <c r="L6" s="33"/>
      <c r="M6" s="33"/>
      <c r="N6" s="33">
        <f>$C$26*'E Balans VL '!Y12/100/3.6*1000000</f>
        <v>36.506535317789464</v>
      </c>
      <c r="O6" s="33"/>
      <c r="P6" s="33"/>
      <c r="R6" s="32"/>
    </row>
    <row r="7" spans="1:18">
      <c r="A7" s="32" t="s">
        <v>53</v>
      </c>
      <c r="B7" s="37">
        <f t="shared" ref="B7:B12" si="0">B27</f>
        <v>1165.6610000000001</v>
      </c>
      <c r="C7" s="33"/>
      <c r="D7" s="37">
        <f>IF(ISERROR(TER_horeca_gas_kWh/1000),0,TER_horeca_gas_kWh/1000)*0.902</f>
        <v>1068.4104733995291</v>
      </c>
      <c r="E7" s="33">
        <f>$C$27*'E Balans VL '!I9/100/3.6*1000000</f>
        <v>48.931191987532699</v>
      </c>
      <c r="F7" s="33">
        <f>$C$27*('E Balans VL '!L9+'E Balans VL '!N9)/100/3.6*1000000</f>
        <v>250.46616998016643</v>
      </c>
      <c r="G7" s="34"/>
      <c r="H7" s="33"/>
      <c r="I7" s="33"/>
      <c r="J7" s="33">
        <f>$C$27*('E Balans VL '!D9+'E Balans VL '!E9)/100/3.6*1000000</f>
        <v>0</v>
      </c>
      <c r="K7" s="33"/>
      <c r="L7" s="33"/>
      <c r="M7" s="33"/>
      <c r="N7" s="33">
        <f>$C$27*'E Balans VL '!Y9/100/3.6*1000000</f>
        <v>0.30038064562474132</v>
      </c>
      <c r="O7" s="33"/>
      <c r="P7" s="33"/>
      <c r="R7" s="32"/>
    </row>
    <row r="8" spans="1:18">
      <c r="A8" s="6" t="s">
        <v>52</v>
      </c>
      <c r="B8" s="37">
        <f t="shared" si="0"/>
        <v>5491.8249999999998</v>
      </c>
      <c r="C8" s="33"/>
      <c r="D8" s="37">
        <f>IF(ISERROR(TER_handel_gas_kWh/1000),0,TER_handel_gas_kWh/1000)*0.902</f>
        <v>3591.9720771059697</v>
      </c>
      <c r="E8" s="33">
        <f>$C$28*'E Balans VL '!I13/100/3.6*1000000</f>
        <v>58.98677121601763</v>
      </c>
      <c r="F8" s="33">
        <f>$C$28*('E Balans VL '!L13+'E Balans VL '!N13)/100/3.6*1000000</f>
        <v>710.9620968059578</v>
      </c>
      <c r="G8" s="34"/>
      <c r="H8" s="33"/>
      <c r="I8" s="33"/>
      <c r="J8" s="33">
        <f>$C$28*('E Balans VL '!D13+'E Balans VL '!E13)/100/3.6*1000000</f>
        <v>0</v>
      </c>
      <c r="K8" s="33"/>
      <c r="L8" s="33"/>
      <c r="M8" s="33"/>
      <c r="N8" s="33">
        <f>$C$28*'E Balans VL '!Y13/100/3.6*1000000</f>
        <v>44.549984266683069</v>
      </c>
      <c r="O8" s="33"/>
      <c r="P8" s="33"/>
      <c r="R8" s="32"/>
    </row>
    <row r="9" spans="1:18">
      <c r="A9" s="32" t="s">
        <v>51</v>
      </c>
      <c r="B9" s="37">
        <f t="shared" si="0"/>
        <v>264.12569999999999</v>
      </c>
      <c r="C9" s="33"/>
      <c r="D9" s="37">
        <f>IF(ISERROR(TER_gezond_gas_kWh/1000),0,TER_gezond_gas_kWh/1000)*0.902</f>
        <v>334.61358406805533</v>
      </c>
      <c r="E9" s="33">
        <f>$C$29*'E Balans VL '!I10/100/3.6*1000000</f>
        <v>0.21026114039260371</v>
      </c>
      <c r="F9" s="33">
        <f>$C$29*('E Balans VL '!L10+'E Balans VL '!N10)/100/3.6*1000000</f>
        <v>32.108295795160146</v>
      </c>
      <c r="G9" s="34"/>
      <c r="H9" s="33"/>
      <c r="I9" s="33"/>
      <c r="J9" s="33">
        <f>$C$29*('E Balans VL '!D10+'E Balans VL '!E10)/100/3.6*1000000</f>
        <v>0</v>
      </c>
      <c r="K9" s="33"/>
      <c r="L9" s="33"/>
      <c r="M9" s="33"/>
      <c r="N9" s="33">
        <f>$C$29*'E Balans VL '!Y10/100/3.6*1000000</f>
        <v>2.133537429093435</v>
      </c>
      <c r="O9" s="33"/>
      <c r="P9" s="33"/>
      <c r="R9" s="32"/>
    </row>
    <row r="10" spans="1:18">
      <c r="A10" s="32" t="s">
        <v>50</v>
      </c>
      <c r="B10" s="37">
        <f t="shared" si="0"/>
        <v>1836.7909999999999</v>
      </c>
      <c r="C10" s="33"/>
      <c r="D10" s="37">
        <f>IF(ISERROR(TER_ander_gas_kWh/1000),0,TER_ander_gas_kWh/1000)*0.902</f>
        <v>1301.9121298090874</v>
      </c>
      <c r="E10" s="33">
        <f>$C$30*'E Balans VL '!I14/100/3.6*1000000</f>
        <v>6.2947792496301407</v>
      </c>
      <c r="F10" s="33">
        <f>$C$30*('E Balans VL '!L14+'E Balans VL '!N14)/100/3.6*1000000</f>
        <v>410.26447100590173</v>
      </c>
      <c r="G10" s="34"/>
      <c r="H10" s="33"/>
      <c r="I10" s="33"/>
      <c r="J10" s="33">
        <f>$C$30*('E Balans VL '!D14+'E Balans VL '!E14)/100/3.6*1000000</f>
        <v>0</v>
      </c>
      <c r="K10" s="33"/>
      <c r="L10" s="33"/>
      <c r="M10" s="33"/>
      <c r="N10" s="33">
        <f>$C$30*'E Balans VL '!Y14/100/3.6*1000000</f>
        <v>1293.8456145930916</v>
      </c>
      <c r="O10" s="33"/>
      <c r="P10" s="33"/>
      <c r="R10" s="32"/>
    </row>
    <row r="11" spans="1:18">
      <c r="A11" s="32" t="s">
        <v>55</v>
      </c>
      <c r="B11" s="37">
        <f t="shared" si="0"/>
        <v>210.0855</v>
      </c>
      <c r="C11" s="33"/>
      <c r="D11" s="37">
        <f>IF(ISERROR(TER_onderwijs_gas_kWh/1000),0,TER_onderwijs_gas_kWh/1000)*0.902</f>
        <v>860.26920067576361</v>
      </c>
      <c r="E11" s="33">
        <f>$C$31*'E Balans VL '!I11/100/3.6*1000000</f>
        <v>0.14522563602580682</v>
      </c>
      <c r="F11" s="33">
        <f>$C$31*('E Balans VL '!L11+'E Balans VL '!N11)/100/3.6*1000000</f>
        <v>54.994281330294307</v>
      </c>
      <c r="G11" s="34"/>
      <c r="H11" s="33"/>
      <c r="I11" s="33"/>
      <c r="J11" s="33">
        <f>$C$31*('E Balans VL '!D11+'E Balans VL '!E11)/100/3.6*1000000</f>
        <v>0</v>
      </c>
      <c r="K11" s="33"/>
      <c r="L11" s="33"/>
      <c r="M11" s="33"/>
      <c r="N11" s="33">
        <f>$C$31*'E Balans VL '!Y11/100/3.6*1000000</f>
        <v>0.20912222156296545</v>
      </c>
      <c r="O11" s="33"/>
      <c r="P11" s="33"/>
      <c r="R11" s="32"/>
    </row>
    <row r="12" spans="1:18">
      <c r="A12" s="32" t="s">
        <v>260</v>
      </c>
      <c r="B12" s="37">
        <f t="shared" si="0"/>
        <v>2003.0139999999999</v>
      </c>
      <c r="C12" s="33"/>
      <c r="D12" s="37">
        <f>IF(ISERROR(TER_rest_gas_kWh/1000),0,TER_rest_gas_kWh/1000)*0.902</f>
        <v>3821.1901478587129</v>
      </c>
      <c r="E12" s="33">
        <f>$C$32*'E Balans VL '!I8/100/3.6*1000000</f>
        <v>18.109550705923496</v>
      </c>
      <c r="F12" s="33">
        <f>$C$32*('E Balans VL '!L8+'E Balans VL '!N8)/100/3.6*1000000</f>
        <v>295.26038550742851</v>
      </c>
      <c r="G12" s="34"/>
      <c r="H12" s="33"/>
      <c r="I12" s="33"/>
      <c r="J12" s="33">
        <f>$C$32*('E Balans VL '!D8+'E Balans VL '!E8)/100/3.6*1000000</f>
        <v>0</v>
      </c>
      <c r="K12" s="33"/>
      <c r="L12" s="33"/>
      <c r="M12" s="33"/>
      <c r="N12" s="33">
        <f>$C$32*'E Balans VL '!Y8/100/3.6*1000000</f>
        <v>170.83030066883424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14618.777199999997</v>
      </c>
      <c r="C16" s="21">
        <f t="shared" ca="1" si="1"/>
        <v>0</v>
      </c>
      <c r="D16" s="21">
        <f t="shared" ca="1" si="1"/>
        <v>15784.449284738548</v>
      </c>
      <c r="E16" s="21">
        <f t="shared" si="1"/>
        <v>143.24447074164252</v>
      </c>
      <c r="F16" s="21">
        <f t="shared" ca="1" si="1"/>
        <v>2166.8468747264933</v>
      </c>
      <c r="G16" s="21">
        <f t="shared" si="1"/>
        <v>0</v>
      </c>
      <c r="H16" s="21">
        <f t="shared" si="1"/>
        <v>0</v>
      </c>
      <c r="I16" s="21">
        <f t="shared" si="1"/>
        <v>0</v>
      </c>
      <c r="J16" s="21">
        <f t="shared" si="1"/>
        <v>0</v>
      </c>
      <c r="K16" s="21">
        <f t="shared" si="1"/>
        <v>0</v>
      </c>
      <c r="L16" s="21">
        <f t="shared" ca="1" si="1"/>
        <v>0</v>
      </c>
      <c r="M16" s="21">
        <f t="shared" si="1"/>
        <v>0</v>
      </c>
      <c r="N16" s="21">
        <f t="shared" ca="1" si="1"/>
        <v>1548.3754751426795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0.20565093254023797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3006.3651637779685</v>
      </c>
      <c r="C20" s="23">
        <f t="shared" ref="C20:P20" ca="1" si="2">C16*C18</f>
        <v>0</v>
      </c>
      <c r="D20" s="23">
        <f t="shared" ca="1" si="2"/>
        <v>3188.458755517187</v>
      </c>
      <c r="E20" s="23">
        <f t="shared" si="2"/>
        <v>32.51649485835285</v>
      </c>
      <c r="F20" s="23">
        <f t="shared" ca="1" si="2"/>
        <v>578.54811555197375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3647.2750000000001</v>
      </c>
      <c r="C26" s="39">
        <f>IF(ISERROR(B26*3.6/1000000/'E Balans VL '!Z12*100),0,B26*3.6/1000000/'E Balans VL '!Z12*100)</f>
        <v>8.011661204714593E-2</v>
      </c>
      <c r="D26" s="237" t="s">
        <v>692</v>
      </c>
      <c r="F26" s="6"/>
    </row>
    <row r="27" spans="1:18">
      <c r="A27" s="231" t="s">
        <v>53</v>
      </c>
      <c r="B27" s="33">
        <f>IF(ISERROR(TER_horeca_ele_kWh/1000),0,TER_horeca_ele_kWh/1000)</f>
        <v>1165.6610000000001</v>
      </c>
      <c r="C27" s="39">
        <f>IF(ISERROR(B27*3.6/1000000/'E Balans VL '!Z9*100),0,B27*3.6/1000000/'E Balans VL '!Z9*100)</f>
        <v>9.3672480796086199E-2</v>
      </c>
      <c r="D27" s="237" t="s">
        <v>692</v>
      </c>
      <c r="F27" s="6"/>
    </row>
    <row r="28" spans="1:18">
      <c r="A28" s="171" t="s">
        <v>52</v>
      </c>
      <c r="B28" s="33">
        <f>IF(ISERROR(TER_handel_ele_kWh/1000),0,TER_handel_ele_kWh/1000)</f>
        <v>5491.8249999999998</v>
      </c>
      <c r="C28" s="39">
        <f>IF(ISERROR(B28*3.6/1000000/'E Balans VL '!Z13*100),0,B28*3.6/1000000/'E Balans VL '!Z13*100)</f>
        <v>0.1623894285804981</v>
      </c>
      <c r="D28" s="237" t="s">
        <v>692</v>
      </c>
      <c r="F28" s="6"/>
    </row>
    <row r="29" spans="1:18">
      <c r="A29" s="231" t="s">
        <v>51</v>
      </c>
      <c r="B29" s="33">
        <f>IF(ISERROR(TER_gezond_ele_kWh/1000),0,TER_gezond_ele_kWh/1000)</f>
        <v>264.12569999999999</v>
      </c>
      <c r="C29" s="39">
        <f>IF(ISERROR(B29*3.6/1000000/'E Balans VL '!Z10*100),0,B29*3.6/1000000/'E Balans VL '!Z10*100)</f>
        <v>2.9760147265533343E-2</v>
      </c>
      <c r="D29" s="237" t="s">
        <v>692</v>
      </c>
      <c r="F29" s="6"/>
    </row>
    <row r="30" spans="1:18">
      <c r="A30" s="231" t="s">
        <v>50</v>
      </c>
      <c r="B30" s="33">
        <f>IF(ISERROR(TER_ander_ele_kWh/1000),0,TER_ander_ele_kWh/1000)</f>
        <v>1836.7909999999999</v>
      </c>
      <c r="C30" s="39">
        <f>IF(ISERROR(B30*3.6/1000000/'E Balans VL '!Z14*100),0,B30*3.6/1000000/'E Balans VL '!Z14*100)</f>
        <v>0.13891336347761282</v>
      </c>
      <c r="D30" s="237" t="s">
        <v>692</v>
      </c>
      <c r="F30" s="6"/>
    </row>
    <row r="31" spans="1:18">
      <c r="A31" s="231" t="s">
        <v>55</v>
      </c>
      <c r="B31" s="33">
        <f>IF(ISERROR(TER_onderwijs_ele_kWh/1000),0,TER_onderwijs_ele_kWh/1000)</f>
        <v>210.0855</v>
      </c>
      <c r="C31" s="39">
        <f>IF(ISERROR(B31*3.6/1000000/'E Balans VL '!Z11*100),0,B31*3.6/1000000/'E Balans VL '!Z11*100)</f>
        <v>4.360887287448599E-2</v>
      </c>
      <c r="D31" s="237" t="s">
        <v>692</v>
      </c>
    </row>
    <row r="32" spans="1:18">
      <c r="A32" s="231" t="s">
        <v>260</v>
      </c>
      <c r="B32" s="33">
        <f>IF(ISERROR(TER_rest_ele_kWh/1000),0,TER_rest_ele_kWh/1000)</f>
        <v>2003.0139999999999</v>
      </c>
      <c r="C32" s="39">
        <f>IF(ISERROR(B32*3.6/1000000/'E Balans VL '!Z8*100),0,B32*3.6/1000000/'E Balans VL '!Z8*100)</f>
        <v>1.6874214616767635E-2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3982.0178399999995</v>
      </c>
      <c r="C5" s="17">
        <f>IF(ISERROR('Eigen informatie GS &amp; warmtenet'!B59),0,'Eigen informatie GS &amp; warmtenet'!B59)</f>
        <v>0</v>
      </c>
      <c r="D5" s="30">
        <f>SUM(D6:D15)</f>
        <v>2032.9983281324157</v>
      </c>
      <c r="E5" s="17">
        <f>SUM(E6:E15)</f>
        <v>312.19694380276906</v>
      </c>
      <c r="F5" s="17">
        <f>SUM(F6:F15)</f>
        <v>2257.6617725376364</v>
      </c>
      <c r="G5" s="18"/>
      <c r="H5" s="17"/>
      <c r="I5" s="17"/>
      <c r="J5" s="17">
        <f>SUM(J6:J15)</f>
        <v>24.107354862213288</v>
      </c>
      <c r="K5" s="17"/>
      <c r="L5" s="17"/>
      <c r="M5" s="17"/>
      <c r="N5" s="17">
        <f>SUM(N6:N15)</f>
        <v>1160.88851873051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31.967740000000003</v>
      </c>
      <c r="C8" s="33"/>
      <c r="D8" s="37">
        <f>IF( ISERROR(IND_metaal_Gas_kWH/1000),0,IND_metaal_Gas_kWH/1000)*0.902</f>
        <v>0</v>
      </c>
      <c r="E8" s="33">
        <f>C30*'E Balans VL '!I18/100/3.6*1000000</f>
        <v>0.80004064750697323</v>
      </c>
      <c r="F8" s="33">
        <f>C30*'E Balans VL '!L18/100/3.6*1000000+C30*'E Balans VL '!N18/100/3.6*1000000</f>
        <v>10.018848731716615</v>
      </c>
      <c r="G8" s="34"/>
      <c r="H8" s="33"/>
      <c r="I8" s="33"/>
      <c r="J8" s="40">
        <f>C30*'E Balans VL '!D18/100/3.6*1000000+C30*'E Balans VL '!E18/100/3.6*1000000</f>
        <v>0</v>
      </c>
      <c r="K8" s="33"/>
      <c r="L8" s="33"/>
      <c r="M8" s="33"/>
      <c r="N8" s="33">
        <f>C30*'E Balans VL '!Y18/100/3.6*1000000</f>
        <v>0.80311259231977461</v>
      </c>
      <c r="O8" s="33"/>
      <c r="P8" s="33"/>
      <c r="R8" s="32"/>
    </row>
    <row r="9" spans="1:18">
      <c r="A9" s="6" t="s">
        <v>33</v>
      </c>
      <c r="B9" s="37">
        <f t="shared" si="0"/>
        <v>707.65549999999996</v>
      </c>
      <c r="C9" s="33"/>
      <c r="D9" s="37">
        <f>IF( ISERROR(IND_andere_gas_kWh/1000),0,IND_andere_gas_kWh/1000)*0.902</f>
        <v>577.82976517147358</v>
      </c>
      <c r="E9" s="33">
        <f>C31*'E Balans VL '!I19/100/3.6*1000000</f>
        <v>194.57623797032596</v>
      </c>
      <c r="F9" s="33">
        <f>C31*'E Balans VL '!L19/100/3.6*1000000+C31*'E Balans VL '!N19/100/3.6*1000000</f>
        <v>557.75567489826517</v>
      </c>
      <c r="G9" s="34"/>
      <c r="H9" s="33"/>
      <c r="I9" s="33"/>
      <c r="J9" s="40">
        <f>C31*'E Balans VL '!D19/100/3.6*1000000+C31*'E Balans VL '!E19/100/3.6*1000000</f>
        <v>0</v>
      </c>
      <c r="K9" s="33"/>
      <c r="L9" s="33"/>
      <c r="M9" s="33"/>
      <c r="N9" s="33">
        <f>C31*'E Balans VL '!Y19/100/3.6*1000000</f>
        <v>229.0867643294755</v>
      </c>
      <c r="O9" s="33"/>
      <c r="P9" s="33"/>
      <c r="R9" s="32"/>
    </row>
    <row r="10" spans="1:18">
      <c r="A10" s="6" t="s">
        <v>41</v>
      </c>
      <c r="B10" s="37">
        <f t="shared" si="0"/>
        <v>630.17169999999999</v>
      </c>
      <c r="C10" s="33"/>
      <c r="D10" s="37">
        <f>IF( ISERROR(IND_voed_gas_kWh/1000),0,IND_voed_gas_kWh/1000)*0.902</f>
        <v>608.22333596792248</v>
      </c>
      <c r="E10" s="33">
        <f>C32*'E Balans VL '!I20/100/3.6*1000000</f>
        <v>6.424253317929546</v>
      </c>
      <c r="F10" s="33">
        <f>C32*'E Balans VL '!L20/100/3.6*1000000+C32*'E Balans VL '!N20/100/3.6*1000000</f>
        <v>1190.3903999564779</v>
      </c>
      <c r="G10" s="34"/>
      <c r="H10" s="33"/>
      <c r="I10" s="33"/>
      <c r="J10" s="40">
        <f>C32*'E Balans VL '!D20/100/3.6*1000000+C32*'E Balans VL '!E20/100/3.6*1000000</f>
        <v>15.082070712137581</v>
      </c>
      <c r="K10" s="33"/>
      <c r="L10" s="33"/>
      <c r="M10" s="33"/>
      <c r="N10" s="33">
        <f>C32*'E Balans VL '!Y20/100/3.6*1000000</f>
        <v>332.173072778978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460.95390000000003</v>
      </c>
      <c r="C13" s="33"/>
      <c r="D13" s="37">
        <f>IF( ISERROR(IND_papier_gas_kWh/1000),0,IND_papier_gas_kWh/1000)*0.902</f>
        <v>0</v>
      </c>
      <c r="E13" s="33">
        <f>C35*'E Balans VL '!I23/100/3.6*1000000</f>
        <v>0.95466664053904671</v>
      </c>
      <c r="F13" s="33">
        <f>C35*'E Balans VL '!L23/100/3.6*1000000+C35*'E Balans VL '!N23/100/3.6*1000000</f>
        <v>9.1417040436181658</v>
      </c>
      <c r="G13" s="34"/>
      <c r="H13" s="33"/>
      <c r="I13" s="33"/>
      <c r="J13" s="40">
        <f>C35*'E Balans VL '!D23/100/3.6*1000000+C35*'E Balans VL '!E23/100/3.6*1000000</f>
        <v>0</v>
      </c>
      <c r="K13" s="33"/>
      <c r="L13" s="33"/>
      <c r="M13" s="33"/>
      <c r="N13" s="33">
        <f>C35*'E Balans VL '!Y23/100/3.6*1000000</f>
        <v>194.63680188094648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2151.2689999999998</v>
      </c>
      <c r="C15" s="33"/>
      <c r="D15" s="37">
        <f>IF( ISERROR(IND_rest_gas_kWh/1000),0,IND_rest_gas_kWh/1000)*0.902</f>
        <v>846.9452269930199</v>
      </c>
      <c r="E15" s="33">
        <f>C37*'E Balans VL '!I15/100/3.6*1000000</f>
        <v>109.4417452264675</v>
      </c>
      <c r="F15" s="33">
        <f>C37*'E Balans VL '!L15/100/3.6*1000000+C37*'E Balans VL '!N15/100/3.6*1000000</f>
        <v>490.35514490755833</v>
      </c>
      <c r="G15" s="34"/>
      <c r="H15" s="33"/>
      <c r="I15" s="33"/>
      <c r="J15" s="40">
        <f>C37*'E Balans VL '!D15/100/3.6*1000000+C37*'E Balans VL '!E15/100/3.6*1000000</f>
        <v>9.0252841500757075</v>
      </c>
      <c r="K15" s="33"/>
      <c r="L15" s="33"/>
      <c r="M15" s="33"/>
      <c r="N15" s="33">
        <f>C37*'E Balans VL '!Y15/100/3.6*1000000</f>
        <v>404.18876714879025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3982.0178399999995</v>
      </c>
      <c r="C18" s="21">
        <f>C5+C16</f>
        <v>0</v>
      </c>
      <c r="D18" s="21">
        <f>MAX((D5+D16),0)</f>
        <v>2032.9983281324157</v>
      </c>
      <c r="E18" s="21">
        <f>MAX((E5+E16),0)</f>
        <v>312.19694380276906</v>
      </c>
      <c r="F18" s="21">
        <f>MAX((F5+F16),0)</f>
        <v>2257.6617725376364</v>
      </c>
      <c r="G18" s="21"/>
      <c r="H18" s="21"/>
      <c r="I18" s="21"/>
      <c r="J18" s="21">
        <f>MAX((J5+J16),0)</f>
        <v>24.107354862213288</v>
      </c>
      <c r="K18" s="21"/>
      <c r="L18" s="21">
        <f>MAX((L5+L16),0)</f>
        <v>0</v>
      </c>
      <c r="M18" s="21"/>
      <c r="N18" s="21">
        <f>MAX((N5+N16),0)</f>
        <v>1160.88851873051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0.20565093254023797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818.90568218786404</v>
      </c>
      <c r="C22" s="23">
        <f ca="1">C18*C20</f>
        <v>0</v>
      </c>
      <c r="D22" s="23">
        <f>D18*D20</f>
        <v>410.66566228274803</v>
      </c>
      <c r="E22" s="23">
        <f>E18*E20</f>
        <v>70.868706243228573</v>
      </c>
      <c r="F22" s="23">
        <f>F18*F20</f>
        <v>602.79569326754893</v>
      </c>
      <c r="G22" s="23"/>
      <c r="H22" s="23"/>
      <c r="I22" s="23"/>
      <c r="J22" s="23">
        <f>J18*J20</f>
        <v>8.5340036212235031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31.967740000000003</v>
      </c>
      <c r="C30" s="39">
        <f>IF(ISERROR(B30*3.6/1000000/'E Balans VL '!Z18*100),0,B30*3.6/1000000/'E Balans VL '!Z18*100)</f>
        <v>4.4744182632954002E-3</v>
      </c>
      <c r="D30" s="237" t="s">
        <v>692</v>
      </c>
    </row>
    <row r="31" spans="1:18">
      <c r="A31" s="6" t="s">
        <v>33</v>
      </c>
      <c r="B31" s="37">
        <f>IF( ISERROR(IND_ander_ele_kWh/1000),0,IND_ander_ele_kWh/1000)</f>
        <v>707.65549999999996</v>
      </c>
      <c r="C31" s="39">
        <f>IF(ISERROR(B31*3.6/1000000/'E Balans VL '!Z19*100),0,B31*3.6/1000000/'E Balans VL '!Z19*100)</f>
        <v>3.0973966436968044E-2</v>
      </c>
      <c r="D31" s="237" t="s">
        <v>692</v>
      </c>
    </row>
    <row r="32" spans="1:18">
      <c r="A32" s="171" t="s">
        <v>41</v>
      </c>
      <c r="B32" s="37">
        <f>IF( ISERROR(IND_voed_ele_kWh/1000),0,IND_voed_ele_kWh/1000)</f>
        <v>630.17169999999999</v>
      </c>
      <c r="C32" s="39">
        <f>IF(ISERROR(B32*3.6/1000000/'E Balans VL '!Z20*100),0,B32*3.6/1000000/'E Balans VL '!Z20*100)</f>
        <v>0.15600958595007583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460.95390000000003</v>
      </c>
      <c r="C35" s="39">
        <f>IF(ISERROR(B35*3.6/1000000/'E Balans VL '!Z22*100),0,B35*3.6/1000000/'E Balans VL '!Z22*100)</f>
        <v>1.3079991091159329E-2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2151.2689999999998</v>
      </c>
      <c r="C37" s="39">
        <f>IF(ISERROR(B37*3.6/1000000/'E Balans VL '!Z15*100),0,B37*3.6/1000000/'E Balans VL '!Z15*100)</f>
        <v>1.5951291322161509E-2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2737.1043999999997</v>
      </c>
      <c r="C5" s="17">
        <f>'Eigen informatie GS &amp; warmtenet'!B60</f>
        <v>0</v>
      </c>
      <c r="D5" s="30">
        <f>IF(ISERROR(SUM(LB_lb_gas_kWh,LB_rest_gas_kWh)/1000),0,SUM(LB_lb_gas_kWh,LB_rest_gas_kWh)/1000)*0.902</f>
        <v>327.62731299443544</v>
      </c>
      <c r="E5" s="17">
        <f>B17*'E Balans VL '!I25/3.6*1000000/100</f>
        <v>25.35220735750244</v>
      </c>
      <c r="F5" s="17">
        <f>B17*('E Balans VL '!L25/3.6*1000000+'E Balans VL '!N25/3.6*1000000)/100</f>
        <v>6944.5552806531105</v>
      </c>
      <c r="G5" s="18"/>
      <c r="H5" s="17"/>
      <c r="I5" s="17"/>
      <c r="J5" s="17">
        <f>('E Balans VL '!D25+'E Balans VL '!E25)/3.6*1000000*landbouw!B17/100</f>
        <v>419.62865069425584</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2737.1043999999997</v>
      </c>
      <c r="C8" s="21">
        <f>C5+C6</f>
        <v>62.357142857142847</v>
      </c>
      <c r="D8" s="21">
        <f>MAX((D5+D6),0)</f>
        <v>327.62731299443544</v>
      </c>
      <c r="E8" s="21">
        <f>MAX((E5+E6),0)</f>
        <v>25.35220735750244</v>
      </c>
      <c r="F8" s="21">
        <f>MAX((F5+F6),0)</f>
        <v>6944.5552806531105</v>
      </c>
      <c r="G8" s="21"/>
      <c r="H8" s="21"/>
      <c r="I8" s="21"/>
      <c r="J8" s="21">
        <f>MAX((J5+J6),0)</f>
        <v>419.62865069425584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0.20565093254023797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562.88807231998851</v>
      </c>
      <c r="C12" s="23">
        <f ca="1">C8*C10</f>
        <v>0</v>
      </c>
      <c r="D12" s="23">
        <f>D8*D10</f>
        <v>66.180717224875963</v>
      </c>
      <c r="E12" s="23">
        <f>E8*E10</f>
        <v>5.7549510701530542</v>
      </c>
      <c r="F12" s="23">
        <f>F8*F10</f>
        <v>1854.1962599343806</v>
      </c>
      <c r="G12" s="23"/>
      <c r="H12" s="23"/>
      <c r="I12" s="23"/>
      <c r="J12" s="23">
        <f>J8*J10</f>
        <v>148.54854234576655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0.38915820903513987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338.50552213414409</v>
      </c>
      <c r="C26" s="247">
        <f>B26*'GWP N2O_CH4'!B5</f>
        <v>7108.615964817026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71.385228783402297</v>
      </c>
      <c r="C27" s="247">
        <f>B27*'GWP N2O_CH4'!B5</f>
        <v>1499.0898044514483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4.166065364373031</v>
      </c>
      <c r="C28" s="247">
        <f>B28*'GWP N2O_CH4'!B4</f>
        <v>1291.4802629556395</v>
      </c>
      <c r="D28" s="50"/>
    </row>
    <row r="29" spans="1:4">
      <c r="A29" s="41" t="s">
        <v>277</v>
      </c>
      <c r="B29" s="247">
        <f>B34*'ha_N2O bodem landbouw'!B4</f>
        <v>14.821703423452618</v>
      </c>
      <c r="C29" s="247">
        <f>B29*'GWP N2O_CH4'!B4</f>
        <v>4594.7280612703116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3.3242469593310528E-3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4.1574089360584381E-5</v>
      </c>
      <c r="C5" s="464" t="s">
        <v>211</v>
      </c>
      <c r="D5" s="449">
        <f>SUM(D6:D11)</f>
        <v>1.4177900624164129E-4</v>
      </c>
      <c r="E5" s="449">
        <f>SUM(E6:E11)</f>
        <v>8.704878353576565E-4</v>
      </c>
      <c r="F5" s="462" t="s">
        <v>211</v>
      </c>
      <c r="G5" s="449">
        <f>SUM(G6:G11)</f>
        <v>0.20326262415237023</v>
      </c>
      <c r="H5" s="449">
        <f>SUM(H6:H11)</f>
        <v>5.2746619631114676E-2</v>
      </c>
      <c r="I5" s="464" t="s">
        <v>211</v>
      </c>
      <c r="J5" s="464" t="s">
        <v>211</v>
      </c>
      <c r="K5" s="464" t="s">
        <v>211</v>
      </c>
      <c r="L5" s="464" t="s">
        <v>211</v>
      </c>
      <c r="M5" s="449">
        <f>SUM(M6:M11)</f>
        <v>1.3381577785475574E-2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1.5921193035232149E-5</v>
      </c>
      <c r="C6" s="450"/>
      <c r="D6" s="893">
        <f>vkm_2011_GW_PW*SUMIFS(TableVerdeelsleutelVkm[CNG],TableVerdeelsleutelVkm[Voertuigtype],"Lichte voertuigen")*SUMIFS(TableECFTransport[EnergieConsumptieFactor (PJ per km)],TableECFTransport[Index],CONCATENATE($A6,"_CNG_CNG"))</f>
        <v>3.6827472341233839E-5</v>
      </c>
      <c r="E6" s="893">
        <f>vkm_2011_GW_PW*SUMIFS(TableVerdeelsleutelVkm[LPG],TableVerdeelsleutelVkm[Voertuigtype],"Lichte voertuigen")*SUMIFS(TableECFTransport[EnergieConsumptieFactor (PJ per km)],TableECFTransport[Index],CONCATENATE($A6,"_LPG_LPG"))</f>
        <v>2.3979826039851129E-4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4.9816314505535933E-2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1.4042189574213089E-2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3.3139253236087593E-3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8.4050658902305973E-3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2.8743798913518329E-6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4.8628070382536709E-4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2.5652896325352228E-5</v>
      </c>
      <c r="C8" s="450"/>
      <c r="D8" s="452">
        <f>vkm_2011_NGW_PW*SUMIFS(TableVerdeelsleutelVkm[CNG],TableVerdeelsleutelVkm[Voertuigtype],"Lichte voertuigen")*SUMIFS(TableECFTransport[EnergieConsumptieFactor (PJ per km)],TableECFTransport[Index],CONCATENATE($A8,"_CNG_CNG"))</f>
        <v>1.0495153390040745E-4</v>
      </c>
      <c r="E8" s="452">
        <f>vkm_2011_NGW_PW*SUMIFS(TableVerdeelsleutelVkm[LPG],TableVerdeelsleutelVkm[Voertuigtype],"Lichte voertuigen")*SUMIFS(TableECFTransport[EnergieConsumptieFactor (PJ per km)],TableECFTransport[Index],CONCATENATE($A8,"_LPG_LPG"))</f>
        <v>6.3068957495914521E-4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0.12247898893338577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3.869425479417004E-2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8.2760302037272818E-3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2.2562254823217928E-2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7.3008828402002109E-6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1.3053415543141649E-3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11.548358155717883</v>
      </c>
      <c r="C14" s="21"/>
      <c r="D14" s="21">
        <f t="shared" ref="D14:M14" si="0">((D5)*10^9/3600)+D12</f>
        <v>39.383057289344805</v>
      </c>
      <c r="E14" s="21">
        <f t="shared" si="0"/>
        <v>241.8021764882379</v>
      </c>
      <c r="F14" s="21"/>
      <c r="G14" s="21">
        <f t="shared" si="0"/>
        <v>56461.840042325071</v>
      </c>
      <c r="H14" s="21">
        <f t="shared" si="0"/>
        <v>14651.838786420743</v>
      </c>
      <c r="I14" s="21"/>
      <c r="J14" s="21"/>
      <c r="K14" s="21"/>
      <c r="L14" s="21"/>
      <c r="M14" s="21">
        <f t="shared" si="0"/>
        <v>3717.1049404098817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0.20565093254023797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2.3749306240320456</v>
      </c>
      <c r="C18" s="23"/>
      <c r="D18" s="23">
        <f t="shared" ref="D18:M18" si="1">D14*D16</f>
        <v>7.9553775724476514</v>
      </c>
      <c r="E18" s="23">
        <f t="shared" si="1"/>
        <v>54.889094062830004</v>
      </c>
      <c r="F18" s="23"/>
      <c r="G18" s="23">
        <f t="shared" si="1"/>
        <v>15075.311291300795</v>
      </c>
      <c r="H18" s="23">
        <f t="shared" si="1"/>
        <v>3648.3078578187651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5.3824308903745984E-3</v>
      </c>
      <c r="H50" s="321">
        <f t="shared" si="2"/>
        <v>0</v>
      </c>
      <c r="I50" s="321">
        <f t="shared" si="2"/>
        <v>0</v>
      </c>
      <c r="J50" s="321">
        <f t="shared" si="2"/>
        <v>0</v>
      </c>
      <c r="K50" s="321">
        <f t="shared" si="2"/>
        <v>0</v>
      </c>
      <c r="L50" s="321">
        <f t="shared" si="2"/>
        <v>0</v>
      </c>
      <c r="M50" s="321">
        <f t="shared" si="2"/>
        <v>3.0694434304441381E-4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5.3824308903745984E-3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3.0694434304441381E-4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1495.1196917707216</v>
      </c>
      <c r="H54" s="21">
        <f t="shared" si="3"/>
        <v>0</v>
      </c>
      <c r="I54" s="21">
        <f t="shared" si="3"/>
        <v>0</v>
      </c>
      <c r="J54" s="21">
        <f t="shared" si="3"/>
        <v>0</v>
      </c>
      <c r="K54" s="21">
        <f t="shared" si="3"/>
        <v>0</v>
      </c>
      <c r="L54" s="21">
        <f t="shared" si="3"/>
        <v>0</v>
      </c>
      <c r="M54" s="21">
        <f t="shared" si="3"/>
        <v>85.262317512337162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0.20565093254023797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399.1969577027827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15449.735199999997</v>
      </c>
      <c r="D10" s="1025">
        <f ca="1">tertiair!C16</f>
        <v>0</v>
      </c>
      <c r="E10" s="1025">
        <f ca="1">tertiair!D16</f>
        <v>15784.449284738548</v>
      </c>
      <c r="F10" s="1025">
        <f>tertiair!E16</f>
        <v>143.24447074164252</v>
      </c>
      <c r="G10" s="1025">
        <f ca="1">tertiair!F16</f>
        <v>2166.8468747264933</v>
      </c>
      <c r="H10" s="1025">
        <f>tertiair!G16</f>
        <v>0</v>
      </c>
      <c r="I10" s="1025">
        <f>tertiair!H16</f>
        <v>0</v>
      </c>
      <c r="J10" s="1025">
        <f>tertiair!I16</f>
        <v>0</v>
      </c>
      <c r="K10" s="1025">
        <f>tertiair!J16</f>
        <v>0</v>
      </c>
      <c r="L10" s="1025">
        <f>tertiair!K16</f>
        <v>0</v>
      </c>
      <c r="M10" s="1025">
        <f ca="1">tertiair!L16</f>
        <v>0</v>
      </c>
      <c r="N10" s="1025">
        <f>tertiair!M16</f>
        <v>0</v>
      </c>
      <c r="O10" s="1025">
        <f ca="1">tertiair!N16</f>
        <v>1548.3754751426795</v>
      </c>
      <c r="P10" s="1025">
        <f>tertiair!O16</f>
        <v>3.1266666666666669</v>
      </c>
      <c r="Q10" s="1026">
        <f>tertiair!P16</f>
        <v>19.066666666666666</v>
      </c>
      <c r="R10" s="701">
        <f ca="1">SUM(C10:Q10)</f>
        <v>35114.844638682691</v>
      </c>
      <c r="S10" s="67"/>
    </row>
    <row r="11" spans="1:19" s="474" customFormat="1">
      <c r="A11" s="810" t="s">
        <v>225</v>
      </c>
      <c r="B11" s="815"/>
      <c r="C11" s="1025">
        <f>huishoudens!B8</f>
        <v>32274.807699325545</v>
      </c>
      <c r="D11" s="1025">
        <f>huishoudens!C8</f>
        <v>0</v>
      </c>
      <c r="E11" s="1025">
        <f>huishoudens!D8</f>
        <v>41758.685596403287</v>
      </c>
      <c r="F11" s="1025">
        <f>huishoudens!E8</f>
        <v>1525.4929626061535</v>
      </c>
      <c r="G11" s="1025">
        <f>huishoudens!F8</f>
        <v>34103.679635412584</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5502.8686345071892</v>
      </c>
      <c r="P11" s="1025">
        <f>huishoudens!O8</f>
        <v>146.95333333333335</v>
      </c>
      <c r="Q11" s="1026">
        <f>huishoudens!P8</f>
        <v>838.93333333333339</v>
      </c>
      <c r="R11" s="701">
        <f>SUM(C11:Q11)</f>
        <v>116151.42119492144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3982.0178399999995</v>
      </c>
      <c r="D13" s="1025">
        <f>industrie!C18</f>
        <v>0</v>
      </c>
      <c r="E13" s="1025">
        <f>industrie!D18</f>
        <v>2032.9983281324157</v>
      </c>
      <c r="F13" s="1025">
        <f>industrie!E18</f>
        <v>312.19694380276906</v>
      </c>
      <c r="G13" s="1025">
        <f>industrie!F18</f>
        <v>2257.6617725376364</v>
      </c>
      <c r="H13" s="1025">
        <f>industrie!G18</f>
        <v>0</v>
      </c>
      <c r="I13" s="1025">
        <f>industrie!H18</f>
        <v>0</v>
      </c>
      <c r="J13" s="1025">
        <f>industrie!I18</f>
        <v>0</v>
      </c>
      <c r="K13" s="1025">
        <f>industrie!J18</f>
        <v>24.107354862213288</v>
      </c>
      <c r="L13" s="1025">
        <f>industrie!K18</f>
        <v>0</v>
      </c>
      <c r="M13" s="1025">
        <f>industrie!L18</f>
        <v>0</v>
      </c>
      <c r="N13" s="1025">
        <f>industrie!M18</f>
        <v>0</v>
      </c>
      <c r="O13" s="1025">
        <f>industrie!N18</f>
        <v>1160.88851873051</v>
      </c>
      <c r="P13" s="1025">
        <f>industrie!O18</f>
        <v>0</v>
      </c>
      <c r="Q13" s="1026">
        <f>industrie!P18</f>
        <v>0</v>
      </c>
      <c r="R13" s="701">
        <f>SUM(C13:Q13)</f>
        <v>9769.8707580655446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51706.560739325541</v>
      </c>
      <c r="D16" s="733">
        <f t="shared" ref="D16:R16" ca="1" si="0">SUM(D9:D15)</f>
        <v>0</v>
      </c>
      <c r="E16" s="733">
        <f t="shared" ca="1" si="0"/>
        <v>59576.133209274252</v>
      </c>
      <c r="F16" s="733">
        <f t="shared" si="0"/>
        <v>1980.9343771505651</v>
      </c>
      <c r="G16" s="733">
        <f t="shared" ca="1" si="0"/>
        <v>38528.188282676711</v>
      </c>
      <c r="H16" s="733">
        <f t="shared" si="0"/>
        <v>0</v>
      </c>
      <c r="I16" s="733">
        <f t="shared" si="0"/>
        <v>0</v>
      </c>
      <c r="J16" s="733">
        <f t="shared" si="0"/>
        <v>0</v>
      </c>
      <c r="K16" s="733">
        <f t="shared" si="0"/>
        <v>24.107354862213288</v>
      </c>
      <c r="L16" s="733">
        <f t="shared" si="0"/>
        <v>0</v>
      </c>
      <c r="M16" s="733">
        <f t="shared" ca="1" si="0"/>
        <v>0</v>
      </c>
      <c r="N16" s="733">
        <f t="shared" si="0"/>
        <v>0</v>
      </c>
      <c r="O16" s="733">
        <f t="shared" ca="1" si="0"/>
        <v>8212.1326283803792</v>
      </c>
      <c r="P16" s="733">
        <f t="shared" si="0"/>
        <v>150.08000000000001</v>
      </c>
      <c r="Q16" s="733">
        <f t="shared" si="0"/>
        <v>858.00000000000011</v>
      </c>
      <c r="R16" s="733">
        <f t="shared" ca="1" si="0"/>
        <v>161036.13659166967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1495.1196917707216</v>
      </c>
      <c r="I19" s="1025">
        <f>transport!H54</f>
        <v>0</v>
      </c>
      <c r="J19" s="1025">
        <f>transport!I54</f>
        <v>0</v>
      </c>
      <c r="K19" s="1025">
        <f>transport!J54</f>
        <v>0</v>
      </c>
      <c r="L19" s="1025">
        <f>transport!K54</f>
        <v>0</v>
      </c>
      <c r="M19" s="1025">
        <f>transport!L54</f>
        <v>0</v>
      </c>
      <c r="N19" s="1025">
        <f>transport!M54</f>
        <v>85.262317512337162</v>
      </c>
      <c r="O19" s="1025">
        <f>transport!N54</f>
        <v>0</v>
      </c>
      <c r="P19" s="1025">
        <f>transport!O54</f>
        <v>0</v>
      </c>
      <c r="Q19" s="1026">
        <f>transport!P54</f>
        <v>0</v>
      </c>
      <c r="R19" s="701">
        <f>SUM(C19:Q19)</f>
        <v>1580.3820092830588</v>
      </c>
      <c r="S19" s="67"/>
    </row>
    <row r="20" spans="1:19" s="474" customFormat="1">
      <c r="A20" s="810" t="s">
        <v>307</v>
      </c>
      <c r="B20" s="815"/>
      <c r="C20" s="1025">
        <f>transport!B14</f>
        <v>11.548358155717883</v>
      </c>
      <c r="D20" s="1025">
        <f>transport!C14</f>
        <v>0</v>
      </c>
      <c r="E20" s="1025">
        <f>transport!D14</f>
        <v>39.383057289344805</v>
      </c>
      <c r="F20" s="1025">
        <f>transport!E14</f>
        <v>241.8021764882379</v>
      </c>
      <c r="G20" s="1025">
        <f>transport!F14</f>
        <v>0</v>
      </c>
      <c r="H20" s="1025">
        <f>transport!G14</f>
        <v>56461.840042325071</v>
      </c>
      <c r="I20" s="1025">
        <f>transport!H14</f>
        <v>14651.838786420743</v>
      </c>
      <c r="J20" s="1025">
        <f>transport!I14</f>
        <v>0</v>
      </c>
      <c r="K20" s="1025">
        <f>transport!J14</f>
        <v>0</v>
      </c>
      <c r="L20" s="1025">
        <f>transport!K14</f>
        <v>0</v>
      </c>
      <c r="M20" s="1025">
        <f>transport!L14</f>
        <v>0</v>
      </c>
      <c r="N20" s="1025">
        <f>transport!M14</f>
        <v>3717.1049404098817</v>
      </c>
      <c r="O20" s="1025">
        <f>transport!N14</f>
        <v>0</v>
      </c>
      <c r="P20" s="1025">
        <f>transport!O14</f>
        <v>0</v>
      </c>
      <c r="Q20" s="1026">
        <f>transport!P14</f>
        <v>0</v>
      </c>
      <c r="R20" s="701">
        <f>SUM(C20:Q20)</f>
        <v>75123.517361089005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11.548358155717883</v>
      </c>
      <c r="D22" s="813">
        <f t="shared" ref="D22:R22" si="1">SUM(D18:D21)</f>
        <v>0</v>
      </c>
      <c r="E22" s="813">
        <f t="shared" si="1"/>
        <v>39.383057289344805</v>
      </c>
      <c r="F22" s="813">
        <f t="shared" si="1"/>
        <v>241.8021764882379</v>
      </c>
      <c r="G22" s="813">
        <f t="shared" si="1"/>
        <v>0</v>
      </c>
      <c r="H22" s="813">
        <f t="shared" si="1"/>
        <v>57956.959734095792</v>
      </c>
      <c r="I22" s="813">
        <f t="shared" si="1"/>
        <v>14651.838786420743</v>
      </c>
      <c r="J22" s="813">
        <f t="shared" si="1"/>
        <v>0</v>
      </c>
      <c r="K22" s="813">
        <f t="shared" si="1"/>
        <v>0</v>
      </c>
      <c r="L22" s="813">
        <f t="shared" si="1"/>
        <v>0</v>
      </c>
      <c r="M22" s="813">
        <f t="shared" si="1"/>
        <v>0</v>
      </c>
      <c r="N22" s="813">
        <f t="shared" si="1"/>
        <v>3802.3672579222189</v>
      </c>
      <c r="O22" s="813">
        <f t="shared" si="1"/>
        <v>0</v>
      </c>
      <c r="P22" s="813">
        <f t="shared" si="1"/>
        <v>0</v>
      </c>
      <c r="Q22" s="813">
        <f t="shared" si="1"/>
        <v>0</v>
      </c>
      <c r="R22" s="813">
        <f t="shared" si="1"/>
        <v>76703.899370372063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2737.1043999999997</v>
      </c>
      <c r="D24" s="1025">
        <f>+landbouw!C8</f>
        <v>62.357142857142847</v>
      </c>
      <c r="E24" s="1025">
        <f>+landbouw!D8</f>
        <v>327.62731299443544</v>
      </c>
      <c r="F24" s="1025">
        <f>+landbouw!E8</f>
        <v>25.35220735750244</v>
      </c>
      <c r="G24" s="1025">
        <f>+landbouw!F8</f>
        <v>6944.5552806531105</v>
      </c>
      <c r="H24" s="1025">
        <f>+landbouw!G8</f>
        <v>0</v>
      </c>
      <c r="I24" s="1025">
        <f>+landbouw!H8</f>
        <v>0</v>
      </c>
      <c r="J24" s="1025">
        <f>+landbouw!I8</f>
        <v>0</v>
      </c>
      <c r="K24" s="1025">
        <f>+landbouw!J8</f>
        <v>419.62865069425584</v>
      </c>
      <c r="L24" s="1025">
        <f>+landbouw!K8</f>
        <v>0</v>
      </c>
      <c r="M24" s="1025">
        <f>+landbouw!L8</f>
        <v>0</v>
      </c>
      <c r="N24" s="1025">
        <f>+landbouw!M8</f>
        <v>0</v>
      </c>
      <c r="O24" s="1025">
        <f>+landbouw!N8</f>
        <v>0</v>
      </c>
      <c r="P24" s="1025">
        <f>+landbouw!O8</f>
        <v>0</v>
      </c>
      <c r="Q24" s="1026">
        <f>+landbouw!P8</f>
        <v>0</v>
      </c>
      <c r="R24" s="701">
        <f>SUM(C24:Q24)</f>
        <v>10516.624994556447</v>
      </c>
      <c r="S24" s="67"/>
    </row>
    <row r="25" spans="1:19" s="474" customFormat="1" ht="15" thickBot="1">
      <c r="A25" s="832" t="s">
        <v>864</v>
      </c>
      <c r="B25" s="1028"/>
      <c r="C25" s="1029">
        <f>IF(Onbekend_ele_kWh="---",0,Onbekend_ele_kWh)/1000+IF(REST_rest_ele_kWh="---",0,REST_rest_ele_kWh)/1000</f>
        <v>1235.626</v>
      </c>
      <c r="D25" s="1029"/>
      <c r="E25" s="1029">
        <f>IF(onbekend_gas_kWh="---",0,onbekend_gas_kWh)/1000+IF(REST_rest_gas_kWh="---",0,REST_rest_gas_kWh)/1000</f>
        <v>1755.2381349998</v>
      </c>
      <c r="F25" s="1029"/>
      <c r="G25" s="1029"/>
      <c r="H25" s="1029"/>
      <c r="I25" s="1029"/>
      <c r="J25" s="1029"/>
      <c r="K25" s="1029"/>
      <c r="L25" s="1029"/>
      <c r="M25" s="1029"/>
      <c r="N25" s="1029"/>
      <c r="O25" s="1029"/>
      <c r="P25" s="1029"/>
      <c r="Q25" s="1030"/>
      <c r="R25" s="701">
        <f>SUM(C25:Q25)</f>
        <v>2990.8641349997997</v>
      </c>
      <c r="S25" s="67"/>
    </row>
    <row r="26" spans="1:19" s="474" customFormat="1" ht="15.75" thickBot="1">
      <c r="A26" s="706" t="s">
        <v>865</v>
      </c>
      <c r="B26" s="818"/>
      <c r="C26" s="813">
        <f>SUM(C24:C25)</f>
        <v>3972.7303999999995</v>
      </c>
      <c r="D26" s="813">
        <f t="shared" ref="D26:R26" si="2">SUM(D24:D25)</f>
        <v>62.357142857142847</v>
      </c>
      <c r="E26" s="813">
        <f t="shared" si="2"/>
        <v>2082.8654479942352</v>
      </c>
      <c r="F26" s="813">
        <f t="shared" si="2"/>
        <v>25.35220735750244</v>
      </c>
      <c r="G26" s="813">
        <f t="shared" si="2"/>
        <v>6944.5552806531105</v>
      </c>
      <c r="H26" s="813">
        <f t="shared" si="2"/>
        <v>0</v>
      </c>
      <c r="I26" s="813">
        <f t="shared" si="2"/>
        <v>0</v>
      </c>
      <c r="J26" s="813">
        <f t="shared" si="2"/>
        <v>0</v>
      </c>
      <c r="K26" s="813">
        <f t="shared" si="2"/>
        <v>419.62865069425584</v>
      </c>
      <c r="L26" s="813">
        <f t="shared" si="2"/>
        <v>0</v>
      </c>
      <c r="M26" s="813">
        <f t="shared" si="2"/>
        <v>0</v>
      </c>
      <c r="N26" s="813">
        <f t="shared" si="2"/>
        <v>0</v>
      </c>
      <c r="O26" s="813">
        <f t="shared" si="2"/>
        <v>0</v>
      </c>
      <c r="P26" s="813">
        <f t="shared" si="2"/>
        <v>0</v>
      </c>
      <c r="Q26" s="813">
        <f t="shared" si="2"/>
        <v>0</v>
      </c>
      <c r="R26" s="813">
        <f t="shared" si="2"/>
        <v>13507.489129556247</v>
      </c>
      <c r="S26" s="67"/>
    </row>
    <row r="27" spans="1:19" s="474" customFormat="1" ht="17.25" thickTop="1" thickBot="1">
      <c r="A27" s="707" t="s">
        <v>116</v>
      </c>
      <c r="B27" s="806"/>
      <c r="C27" s="708">
        <f ca="1">C22+C16+C26</f>
        <v>55690.839497481262</v>
      </c>
      <c r="D27" s="708">
        <f t="shared" ref="D27:R27" ca="1" si="3">D22+D16+D26</f>
        <v>62.357142857142847</v>
      </c>
      <c r="E27" s="708">
        <f t="shared" ca="1" si="3"/>
        <v>61698.381714557829</v>
      </c>
      <c r="F27" s="708">
        <f t="shared" si="3"/>
        <v>2248.0887609963052</v>
      </c>
      <c r="G27" s="708">
        <f t="shared" ca="1" si="3"/>
        <v>45472.743563329823</v>
      </c>
      <c r="H27" s="708">
        <f t="shared" si="3"/>
        <v>57956.959734095792</v>
      </c>
      <c r="I27" s="708">
        <f t="shared" si="3"/>
        <v>14651.838786420743</v>
      </c>
      <c r="J27" s="708">
        <f t="shared" si="3"/>
        <v>0</v>
      </c>
      <c r="K27" s="708">
        <f t="shared" si="3"/>
        <v>443.73600555646914</v>
      </c>
      <c r="L27" s="708">
        <f t="shared" si="3"/>
        <v>0</v>
      </c>
      <c r="M27" s="708">
        <f t="shared" ca="1" si="3"/>
        <v>0</v>
      </c>
      <c r="N27" s="708">
        <f t="shared" si="3"/>
        <v>3802.3672579222189</v>
      </c>
      <c r="O27" s="708">
        <f t="shared" ca="1" si="3"/>
        <v>8212.1326283803792</v>
      </c>
      <c r="P27" s="708">
        <f t="shared" si="3"/>
        <v>150.08000000000001</v>
      </c>
      <c r="Q27" s="708">
        <f t="shared" si="3"/>
        <v>858.00000000000011</v>
      </c>
      <c r="R27" s="708">
        <f t="shared" ca="1" si="3"/>
        <v>251247.52509159799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3177.2524513797398</v>
      </c>
      <c r="D40" s="1025">
        <f ca="1">tertiair!C20</f>
        <v>0</v>
      </c>
      <c r="E40" s="1025">
        <f ca="1">tertiair!D20</f>
        <v>3188.458755517187</v>
      </c>
      <c r="F40" s="1025">
        <f>tertiair!E20</f>
        <v>32.51649485835285</v>
      </c>
      <c r="G40" s="1025">
        <f ca="1">tertiair!F20</f>
        <v>578.54811555197375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6976.7758173072534</v>
      </c>
    </row>
    <row r="41" spans="1:18">
      <c r="A41" s="823" t="s">
        <v>225</v>
      </c>
      <c r="B41" s="830"/>
      <c r="C41" s="1025">
        <f ca="1">huishoudens!B12</f>
        <v>6637.3443009231505</v>
      </c>
      <c r="D41" s="1025">
        <f ca="1">huishoudens!C12</f>
        <v>0</v>
      </c>
      <c r="E41" s="1025">
        <f>huishoudens!D12</f>
        <v>8435.2544904734641</v>
      </c>
      <c r="F41" s="1025">
        <f>huishoudens!E12</f>
        <v>346.28690251159685</v>
      </c>
      <c r="G41" s="1025">
        <f>huishoudens!F12</f>
        <v>9105.6824626551606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24524.568156563371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818.90568218786404</v>
      </c>
      <c r="D43" s="1025">
        <f ca="1">industrie!C22</f>
        <v>0</v>
      </c>
      <c r="E43" s="1025">
        <f>industrie!D22</f>
        <v>410.66566228274803</v>
      </c>
      <c r="F43" s="1025">
        <f>industrie!E22</f>
        <v>70.868706243228573</v>
      </c>
      <c r="G43" s="1025">
        <f>industrie!F22</f>
        <v>602.79569326754893</v>
      </c>
      <c r="H43" s="1025">
        <f>industrie!G22</f>
        <v>0</v>
      </c>
      <c r="I43" s="1025">
        <f>industrie!H22</f>
        <v>0</v>
      </c>
      <c r="J43" s="1025">
        <f>industrie!I22</f>
        <v>0</v>
      </c>
      <c r="K43" s="1025">
        <f>industrie!J22</f>
        <v>8.5340036212235031</v>
      </c>
      <c r="L43" s="1025">
        <f>industrie!K22</f>
        <v>0</v>
      </c>
      <c r="M43" s="1025">
        <f>industrie!L22</f>
        <v>0</v>
      </c>
      <c r="N43" s="1025">
        <f>industrie!M22</f>
        <v>0</v>
      </c>
      <c r="O43" s="1025">
        <f>industrie!N22</f>
        <v>0</v>
      </c>
      <c r="P43" s="1025">
        <f>industrie!O22</f>
        <v>0</v>
      </c>
      <c r="Q43" s="775">
        <f>industrie!P22</f>
        <v>0</v>
      </c>
      <c r="R43" s="850">
        <f t="shared" ca="1" si="4"/>
        <v>1911.7697476026131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10633.502434490754</v>
      </c>
      <c r="D46" s="733">
        <f t="shared" ref="D46:Q46" ca="1" si="5">SUM(D39:D45)</f>
        <v>0</v>
      </c>
      <c r="E46" s="733">
        <f t="shared" ca="1" si="5"/>
        <v>12034.3789082734</v>
      </c>
      <c r="F46" s="733">
        <f t="shared" si="5"/>
        <v>449.67210361317831</v>
      </c>
      <c r="G46" s="733">
        <f t="shared" ca="1" si="5"/>
        <v>10287.026271474684</v>
      </c>
      <c r="H46" s="733">
        <f t="shared" si="5"/>
        <v>0</v>
      </c>
      <c r="I46" s="733">
        <f t="shared" si="5"/>
        <v>0</v>
      </c>
      <c r="J46" s="733">
        <f t="shared" si="5"/>
        <v>0</v>
      </c>
      <c r="K46" s="733">
        <f t="shared" si="5"/>
        <v>8.5340036212235031</v>
      </c>
      <c r="L46" s="733">
        <f t="shared" si="5"/>
        <v>0</v>
      </c>
      <c r="M46" s="733">
        <f t="shared" ca="1" si="5"/>
        <v>0</v>
      </c>
      <c r="N46" s="733">
        <f t="shared" si="5"/>
        <v>0</v>
      </c>
      <c r="O46" s="733">
        <f t="shared" ca="1" si="5"/>
        <v>0</v>
      </c>
      <c r="P46" s="733">
        <f t="shared" si="5"/>
        <v>0</v>
      </c>
      <c r="Q46" s="733">
        <f t="shared" si="5"/>
        <v>0</v>
      </c>
      <c r="R46" s="733">
        <f ca="1">SUM(R39:R45)</f>
        <v>33413.113721473237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399.1969577027827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399.1969577027827</v>
      </c>
    </row>
    <row r="50" spans="1:18">
      <c r="A50" s="826" t="s">
        <v>307</v>
      </c>
      <c r="B50" s="836"/>
      <c r="C50" s="704">
        <f ca="1">transport!B18</f>
        <v>2.3749306240320456</v>
      </c>
      <c r="D50" s="704">
        <f>transport!C18</f>
        <v>0</v>
      </c>
      <c r="E50" s="704">
        <f>transport!D18</f>
        <v>7.9553775724476514</v>
      </c>
      <c r="F50" s="704">
        <f>transport!E18</f>
        <v>54.889094062830004</v>
      </c>
      <c r="G50" s="704">
        <f>transport!F18</f>
        <v>0</v>
      </c>
      <c r="H50" s="704">
        <f>transport!G18</f>
        <v>15075.311291300795</v>
      </c>
      <c r="I50" s="704">
        <f>transport!H18</f>
        <v>3648.3078578187651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18788.838551378871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2.3749306240320456</v>
      </c>
      <c r="D52" s="733">
        <f t="shared" ref="D52:Q52" ca="1" si="6">SUM(D48:D51)</f>
        <v>0</v>
      </c>
      <c r="E52" s="733">
        <f t="shared" si="6"/>
        <v>7.9553775724476514</v>
      </c>
      <c r="F52" s="733">
        <f t="shared" si="6"/>
        <v>54.889094062830004</v>
      </c>
      <c r="G52" s="733">
        <f t="shared" si="6"/>
        <v>0</v>
      </c>
      <c r="H52" s="733">
        <f t="shared" si="6"/>
        <v>15474.508249003578</v>
      </c>
      <c r="I52" s="733">
        <f t="shared" si="6"/>
        <v>3648.3078578187651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19188.035509081652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562.88807231998851</v>
      </c>
      <c r="D54" s="704">
        <f ca="1">+landbouw!C12</f>
        <v>0</v>
      </c>
      <c r="E54" s="704">
        <f>+landbouw!D12</f>
        <v>66.180717224875963</v>
      </c>
      <c r="F54" s="704">
        <f>+landbouw!E12</f>
        <v>5.7549510701530542</v>
      </c>
      <c r="G54" s="704">
        <f>+landbouw!F12</f>
        <v>1854.1962599343806</v>
      </c>
      <c r="H54" s="704">
        <f>+landbouw!G12</f>
        <v>0</v>
      </c>
      <c r="I54" s="704">
        <f>+landbouw!H12</f>
        <v>0</v>
      </c>
      <c r="J54" s="704">
        <f>+landbouw!I12</f>
        <v>0</v>
      </c>
      <c r="K54" s="704">
        <f>+landbouw!J12</f>
        <v>148.54854234576655</v>
      </c>
      <c r="L54" s="704">
        <f>+landbouw!K12</f>
        <v>0</v>
      </c>
      <c r="M54" s="704">
        <f>+landbouw!L12</f>
        <v>0</v>
      </c>
      <c r="N54" s="704">
        <f>+landbouw!M12</f>
        <v>0</v>
      </c>
      <c r="O54" s="704">
        <f>+landbouw!N12</f>
        <v>0</v>
      </c>
      <c r="P54" s="704">
        <f>+landbouw!O12</f>
        <v>0</v>
      </c>
      <c r="Q54" s="705">
        <f>+landbouw!P12</f>
        <v>0</v>
      </c>
      <c r="R54" s="732">
        <f ca="1">SUM(C54:Q54)</f>
        <v>2637.5685428951647</v>
      </c>
    </row>
    <row r="55" spans="1:18" ht="15" thickBot="1">
      <c r="A55" s="826" t="s">
        <v>864</v>
      </c>
      <c r="B55" s="836"/>
      <c r="C55" s="704">
        <f ca="1">C25*'EF ele_warmte'!B12</f>
        <v>254.10763917096409</v>
      </c>
      <c r="D55" s="704"/>
      <c r="E55" s="704">
        <f>E25*EF_CO2_aardgas</f>
        <v>354.55810326995959</v>
      </c>
      <c r="F55" s="704"/>
      <c r="G55" s="704"/>
      <c r="H55" s="704"/>
      <c r="I55" s="704"/>
      <c r="J55" s="704"/>
      <c r="K55" s="704"/>
      <c r="L55" s="704"/>
      <c r="M55" s="704"/>
      <c r="N55" s="704"/>
      <c r="O55" s="704"/>
      <c r="P55" s="704"/>
      <c r="Q55" s="705"/>
      <c r="R55" s="732">
        <f ca="1">SUM(C55:Q55)</f>
        <v>608.66574244092362</v>
      </c>
    </row>
    <row r="56" spans="1:18" ht="15.75" thickBot="1">
      <c r="A56" s="824" t="s">
        <v>865</v>
      </c>
      <c r="B56" s="837"/>
      <c r="C56" s="733">
        <f ca="1">SUM(C54:C55)</f>
        <v>816.99571149095254</v>
      </c>
      <c r="D56" s="733">
        <f t="shared" ref="D56:Q56" ca="1" si="7">SUM(D54:D55)</f>
        <v>0</v>
      </c>
      <c r="E56" s="733">
        <f t="shared" si="7"/>
        <v>420.73882049483552</v>
      </c>
      <c r="F56" s="733">
        <f t="shared" si="7"/>
        <v>5.7549510701530542</v>
      </c>
      <c r="G56" s="733">
        <f t="shared" si="7"/>
        <v>1854.1962599343806</v>
      </c>
      <c r="H56" s="733">
        <f t="shared" si="7"/>
        <v>0</v>
      </c>
      <c r="I56" s="733">
        <f t="shared" si="7"/>
        <v>0</v>
      </c>
      <c r="J56" s="733">
        <f t="shared" si="7"/>
        <v>0</v>
      </c>
      <c r="K56" s="733">
        <f t="shared" si="7"/>
        <v>148.54854234576655</v>
      </c>
      <c r="L56" s="733">
        <f t="shared" si="7"/>
        <v>0</v>
      </c>
      <c r="M56" s="733">
        <f t="shared" si="7"/>
        <v>0</v>
      </c>
      <c r="N56" s="733">
        <f t="shared" si="7"/>
        <v>0</v>
      </c>
      <c r="O56" s="733">
        <f t="shared" si="7"/>
        <v>0</v>
      </c>
      <c r="P56" s="733">
        <f t="shared" si="7"/>
        <v>0</v>
      </c>
      <c r="Q56" s="734">
        <f t="shared" si="7"/>
        <v>0</v>
      </c>
      <c r="R56" s="735">
        <f ca="1">SUM(R54:R55)</f>
        <v>3246.2342853360883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11452.873076605738</v>
      </c>
      <c r="D61" s="741">
        <f t="shared" ref="D61:Q61" ca="1" si="8">D46+D52+D56</f>
        <v>0</v>
      </c>
      <c r="E61" s="741">
        <f t="shared" ca="1" si="8"/>
        <v>12463.073106340682</v>
      </c>
      <c r="F61" s="741">
        <f t="shared" si="8"/>
        <v>510.31614874616133</v>
      </c>
      <c r="G61" s="741">
        <f t="shared" ca="1" si="8"/>
        <v>12141.222531409065</v>
      </c>
      <c r="H61" s="741">
        <f t="shared" si="8"/>
        <v>15474.508249003578</v>
      </c>
      <c r="I61" s="741">
        <f t="shared" si="8"/>
        <v>3648.3078578187651</v>
      </c>
      <c r="J61" s="741">
        <f t="shared" si="8"/>
        <v>0</v>
      </c>
      <c r="K61" s="741">
        <f t="shared" si="8"/>
        <v>157.08254596699004</v>
      </c>
      <c r="L61" s="741">
        <f t="shared" si="8"/>
        <v>0</v>
      </c>
      <c r="M61" s="741">
        <f t="shared" ca="1" si="8"/>
        <v>0</v>
      </c>
      <c r="N61" s="741">
        <f t="shared" si="8"/>
        <v>0</v>
      </c>
      <c r="O61" s="741">
        <f t="shared" ca="1" si="8"/>
        <v>0</v>
      </c>
      <c r="P61" s="741">
        <f t="shared" si="8"/>
        <v>0</v>
      </c>
      <c r="Q61" s="741">
        <f t="shared" si="8"/>
        <v>0</v>
      </c>
      <c r="R61" s="741">
        <f ca="1">R46+R52+R56</f>
        <v>55847.383515890979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0.20565093254023795</v>
      </c>
      <c r="D63" s="782">
        <f t="shared" ca="1" si="9"/>
        <v>0</v>
      </c>
      <c r="E63" s="1036">
        <f t="shared" ca="1" si="9"/>
        <v>0.20200000000000001</v>
      </c>
      <c r="F63" s="782">
        <f t="shared" si="9"/>
        <v>0.22700000000000004</v>
      </c>
      <c r="G63" s="782">
        <f t="shared" ca="1" si="9"/>
        <v>0.26700000000000007</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3824.2343997177327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3867.8843997177328</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3824.2343997177327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3867.8843997177328</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23052</v>
      </c>
      <c r="C28" s="797">
        <v>1785</v>
      </c>
      <c r="D28" s="654" t="s">
        <v>907</v>
      </c>
      <c r="E28" s="653" t="s">
        <v>908</v>
      </c>
      <c r="F28" s="653" t="s">
        <v>909</v>
      </c>
      <c r="G28" s="653" t="s">
        <v>910</v>
      </c>
      <c r="H28" s="653" t="s">
        <v>911</v>
      </c>
      <c r="I28" s="653" t="s">
        <v>912</v>
      </c>
      <c r="J28" s="796">
        <v>41256</v>
      </c>
      <c r="K28" s="796">
        <v>41256</v>
      </c>
      <c r="L28" s="653" t="s">
        <v>913</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32274.807699325545</v>
      </c>
      <c r="C4" s="478">
        <f>huishoudens!C8</f>
        <v>0</v>
      </c>
      <c r="D4" s="478">
        <f>huishoudens!D8</f>
        <v>41758.685596403287</v>
      </c>
      <c r="E4" s="478">
        <f>huishoudens!E8</f>
        <v>1525.4929626061535</v>
      </c>
      <c r="F4" s="478">
        <f>huishoudens!F8</f>
        <v>34103.679635412584</v>
      </c>
      <c r="G4" s="478">
        <f>huishoudens!G8</f>
        <v>0</v>
      </c>
      <c r="H4" s="478">
        <f>huishoudens!H8</f>
        <v>0</v>
      </c>
      <c r="I4" s="478">
        <f>huishoudens!I8</f>
        <v>0</v>
      </c>
      <c r="J4" s="478">
        <f>huishoudens!J8</f>
        <v>0</v>
      </c>
      <c r="K4" s="478">
        <f>huishoudens!K8</f>
        <v>0</v>
      </c>
      <c r="L4" s="478">
        <f>huishoudens!L8</f>
        <v>0</v>
      </c>
      <c r="M4" s="478">
        <f>huishoudens!M8</f>
        <v>0</v>
      </c>
      <c r="N4" s="478">
        <f>huishoudens!N8</f>
        <v>5502.8686345071892</v>
      </c>
      <c r="O4" s="478">
        <f>huishoudens!O8</f>
        <v>146.95333333333335</v>
      </c>
      <c r="P4" s="479">
        <f>huishoudens!P8</f>
        <v>838.93333333333339</v>
      </c>
      <c r="Q4" s="480">
        <f>SUM(B4:P4)</f>
        <v>116151.42119492144</v>
      </c>
    </row>
    <row r="5" spans="1:17">
      <c r="A5" s="477" t="s">
        <v>156</v>
      </c>
      <c r="B5" s="478">
        <f ca="1">tertiair!B16</f>
        <v>14618.777199999997</v>
      </c>
      <c r="C5" s="478">
        <f ca="1">tertiair!C16</f>
        <v>0</v>
      </c>
      <c r="D5" s="478">
        <f ca="1">tertiair!D16</f>
        <v>15784.449284738548</v>
      </c>
      <c r="E5" s="478">
        <f>tertiair!E16</f>
        <v>143.24447074164252</v>
      </c>
      <c r="F5" s="478">
        <f ca="1">tertiair!F16</f>
        <v>2166.8468747264933</v>
      </c>
      <c r="G5" s="478">
        <f>tertiair!G16</f>
        <v>0</v>
      </c>
      <c r="H5" s="478">
        <f>tertiair!H16</f>
        <v>0</v>
      </c>
      <c r="I5" s="478">
        <f>tertiair!I16</f>
        <v>0</v>
      </c>
      <c r="J5" s="478">
        <f>tertiair!J16</f>
        <v>0</v>
      </c>
      <c r="K5" s="478">
        <f>tertiair!K16</f>
        <v>0</v>
      </c>
      <c r="L5" s="478">
        <f ca="1">tertiair!L16</f>
        <v>0</v>
      </c>
      <c r="M5" s="478">
        <f>tertiair!M16</f>
        <v>0</v>
      </c>
      <c r="N5" s="478">
        <f ca="1">tertiair!N16</f>
        <v>1548.3754751426795</v>
      </c>
      <c r="O5" s="478">
        <f>tertiair!O16</f>
        <v>3.1266666666666669</v>
      </c>
      <c r="P5" s="479">
        <f>tertiair!P16</f>
        <v>19.066666666666666</v>
      </c>
      <c r="Q5" s="477">
        <f t="shared" ref="Q5:Q14" ca="1" si="0">SUM(B5:P5)</f>
        <v>34283.886638682692</v>
      </c>
    </row>
    <row r="6" spans="1:17">
      <c r="A6" s="477" t="s">
        <v>194</v>
      </c>
      <c r="B6" s="478">
        <f>'openbare verlichting'!B8</f>
        <v>830.95799999999997</v>
      </c>
      <c r="C6" s="478"/>
      <c r="D6" s="478"/>
      <c r="E6" s="478"/>
      <c r="F6" s="478"/>
      <c r="G6" s="478"/>
      <c r="H6" s="478"/>
      <c r="I6" s="478"/>
      <c r="J6" s="478"/>
      <c r="K6" s="478"/>
      <c r="L6" s="478"/>
      <c r="M6" s="478"/>
      <c r="N6" s="478"/>
      <c r="O6" s="478"/>
      <c r="P6" s="479"/>
      <c r="Q6" s="477">
        <f t="shared" si="0"/>
        <v>830.95799999999997</v>
      </c>
    </row>
    <row r="7" spans="1:17">
      <c r="A7" s="477" t="s">
        <v>112</v>
      </c>
      <c r="B7" s="478">
        <f>landbouw!B8</f>
        <v>2737.1043999999997</v>
      </c>
      <c r="C7" s="478">
        <f>landbouw!C8</f>
        <v>62.357142857142847</v>
      </c>
      <c r="D7" s="478">
        <f>landbouw!D8</f>
        <v>327.62731299443544</v>
      </c>
      <c r="E7" s="478">
        <f>landbouw!E8</f>
        <v>25.35220735750244</v>
      </c>
      <c r="F7" s="478">
        <f>landbouw!F8</f>
        <v>6944.5552806531105</v>
      </c>
      <c r="G7" s="478">
        <f>landbouw!G8</f>
        <v>0</v>
      </c>
      <c r="H7" s="478">
        <f>landbouw!H8</f>
        <v>0</v>
      </c>
      <c r="I7" s="478">
        <f>landbouw!I8</f>
        <v>0</v>
      </c>
      <c r="J7" s="478">
        <f>landbouw!J8</f>
        <v>419.62865069425584</v>
      </c>
      <c r="K7" s="478">
        <f>landbouw!K8</f>
        <v>0</v>
      </c>
      <c r="L7" s="478">
        <f>landbouw!L8</f>
        <v>0</v>
      </c>
      <c r="M7" s="478">
        <f>landbouw!M8</f>
        <v>0</v>
      </c>
      <c r="N7" s="478">
        <f>landbouw!N8</f>
        <v>0</v>
      </c>
      <c r="O7" s="478">
        <f>landbouw!O8</f>
        <v>0</v>
      </c>
      <c r="P7" s="479">
        <f>landbouw!P8</f>
        <v>0</v>
      </c>
      <c r="Q7" s="477">
        <f t="shared" si="0"/>
        <v>10516.624994556447</v>
      </c>
    </row>
    <row r="8" spans="1:17">
      <c r="A8" s="477" t="s">
        <v>650</v>
      </c>
      <c r="B8" s="478">
        <f>industrie!B18</f>
        <v>3982.0178399999995</v>
      </c>
      <c r="C8" s="478">
        <f>industrie!C18</f>
        <v>0</v>
      </c>
      <c r="D8" s="478">
        <f>industrie!D18</f>
        <v>2032.9983281324157</v>
      </c>
      <c r="E8" s="478">
        <f>industrie!E18</f>
        <v>312.19694380276906</v>
      </c>
      <c r="F8" s="478">
        <f>industrie!F18</f>
        <v>2257.6617725376364</v>
      </c>
      <c r="G8" s="478">
        <f>industrie!G18</f>
        <v>0</v>
      </c>
      <c r="H8" s="478">
        <f>industrie!H18</f>
        <v>0</v>
      </c>
      <c r="I8" s="478">
        <f>industrie!I18</f>
        <v>0</v>
      </c>
      <c r="J8" s="478">
        <f>industrie!J18</f>
        <v>24.107354862213288</v>
      </c>
      <c r="K8" s="478">
        <f>industrie!K18</f>
        <v>0</v>
      </c>
      <c r="L8" s="478">
        <f>industrie!L18</f>
        <v>0</v>
      </c>
      <c r="M8" s="478">
        <f>industrie!M18</f>
        <v>0</v>
      </c>
      <c r="N8" s="478">
        <f>industrie!N18</f>
        <v>1160.88851873051</v>
      </c>
      <c r="O8" s="478">
        <f>industrie!O18</f>
        <v>0</v>
      </c>
      <c r="P8" s="479">
        <f>industrie!P18</f>
        <v>0</v>
      </c>
      <c r="Q8" s="477">
        <f t="shared" si="0"/>
        <v>9769.8707580655446</v>
      </c>
    </row>
    <row r="9" spans="1:17" s="483" customFormat="1">
      <c r="A9" s="481" t="s">
        <v>571</v>
      </c>
      <c r="B9" s="482">
        <f>transport!B14</f>
        <v>11.548358155717883</v>
      </c>
      <c r="C9" s="482">
        <f>transport!C14</f>
        <v>0</v>
      </c>
      <c r="D9" s="482">
        <f>transport!D14</f>
        <v>39.383057289344805</v>
      </c>
      <c r="E9" s="482">
        <f>transport!E14</f>
        <v>241.8021764882379</v>
      </c>
      <c r="F9" s="482">
        <f>transport!F14</f>
        <v>0</v>
      </c>
      <c r="G9" s="482">
        <f>transport!G14</f>
        <v>56461.840042325071</v>
      </c>
      <c r="H9" s="482">
        <f>transport!H14</f>
        <v>14651.838786420743</v>
      </c>
      <c r="I9" s="482">
        <f>transport!I14</f>
        <v>0</v>
      </c>
      <c r="J9" s="482">
        <f>transport!J14</f>
        <v>0</v>
      </c>
      <c r="K9" s="482">
        <f>transport!K14</f>
        <v>0</v>
      </c>
      <c r="L9" s="482">
        <f>transport!L14</f>
        <v>0</v>
      </c>
      <c r="M9" s="482">
        <f>transport!M14</f>
        <v>3717.1049404098817</v>
      </c>
      <c r="N9" s="482">
        <f>transport!N14</f>
        <v>0</v>
      </c>
      <c r="O9" s="482">
        <f>transport!O14</f>
        <v>0</v>
      </c>
      <c r="P9" s="482">
        <f>transport!P14</f>
        <v>0</v>
      </c>
      <c r="Q9" s="481">
        <f>SUM(B9:P9)</f>
        <v>75123.517361089005</v>
      </c>
    </row>
    <row r="10" spans="1:17">
      <c r="A10" s="477" t="s">
        <v>561</v>
      </c>
      <c r="B10" s="478">
        <f>transport!B54</f>
        <v>0</v>
      </c>
      <c r="C10" s="478">
        <f>transport!C54</f>
        <v>0</v>
      </c>
      <c r="D10" s="478">
        <f>transport!D54</f>
        <v>0</v>
      </c>
      <c r="E10" s="478">
        <f>transport!E54</f>
        <v>0</v>
      </c>
      <c r="F10" s="478">
        <f>transport!F54</f>
        <v>0</v>
      </c>
      <c r="G10" s="478">
        <f>transport!G54</f>
        <v>1495.1196917707216</v>
      </c>
      <c r="H10" s="478">
        <f>transport!H54</f>
        <v>0</v>
      </c>
      <c r="I10" s="478">
        <f>transport!I54</f>
        <v>0</v>
      </c>
      <c r="J10" s="478">
        <f>transport!J54</f>
        <v>0</v>
      </c>
      <c r="K10" s="478">
        <f>transport!K54</f>
        <v>0</v>
      </c>
      <c r="L10" s="478">
        <f>transport!L54</f>
        <v>0</v>
      </c>
      <c r="M10" s="478">
        <f>transport!M54</f>
        <v>85.262317512337162</v>
      </c>
      <c r="N10" s="478">
        <f>transport!N54</f>
        <v>0</v>
      </c>
      <c r="O10" s="478">
        <f>transport!O54</f>
        <v>0</v>
      </c>
      <c r="P10" s="479">
        <f>transport!P54</f>
        <v>0</v>
      </c>
      <c r="Q10" s="477">
        <f t="shared" si="0"/>
        <v>1580.3820092830588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1235.626</v>
      </c>
      <c r="C14" s="485"/>
      <c r="D14" s="485">
        <f>'SEAP template'!E25</f>
        <v>1755.2381349998</v>
      </c>
      <c r="E14" s="485"/>
      <c r="F14" s="485"/>
      <c r="G14" s="485"/>
      <c r="H14" s="485"/>
      <c r="I14" s="485"/>
      <c r="J14" s="485"/>
      <c r="K14" s="485"/>
      <c r="L14" s="485"/>
      <c r="M14" s="485"/>
      <c r="N14" s="485"/>
      <c r="O14" s="485"/>
      <c r="P14" s="486"/>
      <c r="Q14" s="477">
        <f t="shared" si="0"/>
        <v>2990.8641349997997</v>
      </c>
    </row>
    <row r="15" spans="1:17" s="487" customFormat="1">
      <c r="A15" s="1051" t="s">
        <v>565</v>
      </c>
      <c r="B15" s="991">
        <f ca="1">SUM(B4:B14)</f>
        <v>55690.839497481255</v>
      </c>
      <c r="C15" s="991">
        <f t="shared" ref="C15:Q15" ca="1" si="1">SUM(C4:C14)</f>
        <v>62.357142857142847</v>
      </c>
      <c r="D15" s="991">
        <f t="shared" ca="1" si="1"/>
        <v>61698.381714557836</v>
      </c>
      <c r="E15" s="991">
        <f t="shared" si="1"/>
        <v>2248.0887609963056</v>
      </c>
      <c r="F15" s="991">
        <f t="shared" ca="1" si="1"/>
        <v>45472.743563329823</v>
      </c>
      <c r="G15" s="991">
        <f t="shared" si="1"/>
        <v>57956.959734095792</v>
      </c>
      <c r="H15" s="991">
        <f t="shared" si="1"/>
        <v>14651.838786420743</v>
      </c>
      <c r="I15" s="991">
        <f t="shared" si="1"/>
        <v>0</v>
      </c>
      <c r="J15" s="991">
        <f t="shared" si="1"/>
        <v>443.73600555646914</v>
      </c>
      <c r="K15" s="991">
        <f t="shared" si="1"/>
        <v>0</v>
      </c>
      <c r="L15" s="991">
        <f t="shared" ca="1" si="1"/>
        <v>0</v>
      </c>
      <c r="M15" s="991">
        <f t="shared" si="1"/>
        <v>3802.3672579222189</v>
      </c>
      <c r="N15" s="991">
        <f t="shared" ca="1" si="1"/>
        <v>8212.1326283803792</v>
      </c>
      <c r="O15" s="991">
        <f t="shared" si="1"/>
        <v>150.08000000000001</v>
      </c>
      <c r="P15" s="991">
        <f t="shared" si="1"/>
        <v>858.00000000000011</v>
      </c>
      <c r="Q15" s="991">
        <f t="shared" ca="1" si="1"/>
        <v>251247.52509159801</v>
      </c>
    </row>
    <row r="17" spans="1:17">
      <c r="A17" s="488" t="s">
        <v>566</v>
      </c>
      <c r="B17" s="787">
        <f ca="1">huishoudens!B10</f>
        <v>0.20565093254023797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6637.3443009231505</v>
      </c>
      <c r="C22" s="478">
        <f t="shared" ref="C22:C32" ca="1" si="3">C4*$C$17</f>
        <v>0</v>
      </c>
      <c r="D22" s="478">
        <f t="shared" ref="D22:D32" si="4">D4*$D$17</f>
        <v>8435.2544904734641</v>
      </c>
      <c r="E22" s="478">
        <f t="shared" ref="E22:E32" si="5">E4*$E$17</f>
        <v>346.28690251159685</v>
      </c>
      <c r="F22" s="478">
        <f t="shared" ref="F22:F32" si="6">F4*$F$17</f>
        <v>9105.6824626551606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24524.568156563371</v>
      </c>
    </row>
    <row r="23" spans="1:17">
      <c r="A23" s="477" t="s">
        <v>156</v>
      </c>
      <c r="B23" s="478">
        <f t="shared" ca="1" si="2"/>
        <v>3006.3651637779685</v>
      </c>
      <c r="C23" s="478">
        <f t="shared" ca="1" si="3"/>
        <v>0</v>
      </c>
      <c r="D23" s="478">
        <f t="shared" ca="1" si="4"/>
        <v>3188.458755517187</v>
      </c>
      <c r="E23" s="478">
        <f t="shared" si="5"/>
        <v>32.51649485835285</v>
      </c>
      <c r="F23" s="478">
        <f t="shared" ca="1" si="6"/>
        <v>578.54811555197375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6805.8885297054812</v>
      </c>
    </row>
    <row r="24" spans="1:17">
      <c r="A24" s="477" t="s">
        <v>194</v>
      </c>
      <c r="B24" s="478">
        <f t="shared" ca="1" si="2"/>
        <v>170.88728760177105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170.88728760177105</v>
      </c>
    </row>
    <row r="25" spans="1:17">
      <c r="A25" s="477" t="s">
        <v>112</v>
      </c>
      <c r="B25" s="478">
        <f t="shared" ca="1" si="2"/>
        <v>562.88807231998851</v>
      </c>
      <c r="C25" s="478">
        <f t="shared" ca="1" si="3"/>
        <v>0</v>
      </c>
      <c r="D25" s="478">
        <f t="shared" si="4"/>
        <v>66.180717224875963</v>
      </c>
      <c r="E25" s="478">
        <f t="shared" si="5"/>
        <v>5.7549510701530542</v>
      </c>
      <c r="F25" s="478">
        <f t="shared" si="6"/>
        <v>1854.1962599343806</v>
      </c>
      <c r="G25" s="478">
        <f t="shared" si="7"/>
        <v>0</v>
      </c>
      <c r="H25" s="478">
        <f t="shared" si="8"/>
        <v>0</v>
      </c>
      <c r="I25" s="478">
        <f t="shared" si="9"/>
        <v>0</v>
      </c>
      <c r="J25" s="478">
        <f t="shared" si="10"/>
        <v>148.54854234576655</v>
      </c>
      <c r="K25" s="478">
        <f t="shared" si="11"/>
        <v>0</v>
      </c>
      <c r="L25" s="478">
        <f t="shared" si="12"/>
        <v>0</v>
      </c>
      <c r="M25" s="478">
        <f t="shared" si="13"/>
        <v>0</v>
      </c>
      <c r="N25" s="478">
        <f t="shared" si="14"/>
        <v>0</v>
      </c>
      <c r="O25" s="478">
        <f t="shared" si="15"/>
        <v>0</v>
      </c>
      <c r="P25" s="479">
        <f t="shared" si="16"/>
        <v>0</v>
      </c>
      <c r="Q25" s="477">
        <f t="shared" ca="1" si="17"/>
        <v>2637.5685428951647</v>
      </c>
    </row>
    <row r="26" spans="1:17">
      <c r="A26" s="477" t="s">
        <v>650</v>
      </c>
      <c r="B26" s="478">
        <f t="shared" ca="1" si="2"/>
        <v>818.90568218786404</v>
      </c>
      <c r="C26" s="478">
        <f t="shared" ca="1" si="3"/>
        <v>0</v>
      </c>
      <c r="D26" s="478">
        <f t="shared" si="4"/>
        <v>410.66566228274803</v>
      </c>
      <c r="E26" s="478">
        <f t="shared" si="5"/>
        <v>70.868706243228573</v>
      </c>
      <c r="F26" s="478">
        <f t="shared" si="6"/>
        <v>602.79569326754893</v>
      </c>
      <c r="G26" s="478">
        <f t="shared" si="7"/>
        <v>0</v>
      </c>
      <c r="H26" s="478">
        <f t="shared" si="8"/>
        <v>0</v>
      </c>
      <c r="I26" s="478">
        <f t="shared" si="9"/>
        <v>0</v>
      </c>
      <c r="J26" s="478">
        <f t="shared" si="10"/>
        <v>8.5340036212235031</v>
      </c>
      <c r="K26" s="478">
        <f t="shared" si="11"/>
        <v>0</v>
      </c>
      <c r="L26" s="478">
        <f t="shared" si="12"/>
        <v>0</v>
      </c>
      <c r="M26" s="478">
        <f t="shared" si="13"/>
        <v>0</v>
      </c>
      <c r="N26" s="478">
        <f t="shared" si="14"/>
        <v>0</v>
      </c>
      <c r="O26" s="478">
        <f t="shared" si="15"/>
        <v>0</v>
      </c>
      <c r="P26" s="479">
        <f t="shared" si="16"/>
        <v>0</v>
      </c>
      <c r="Q26" s="477">
        <f t="shared" ca="1" si="17"/>
        <v>1911.7697476026131</v>
      </c>
    </row>
    <row r="27" spans="1:17" s="483" customFormat="1">
      <c r="A27" s="481" t="s">
        <v>571</v>
      </c>
      <c r="B27" s="781">
        <f t="shared" ca="1" si="2"/>
        <v>2.3749306240320456</v>
      </c>
      <c r="C27" s="482">
        <f t="shared" ca="1" si="3"/>
        <v>0</v>
      </c>
      <c r="D27" s="482">
        <f t="shared" si="4"/>
        <v>7.9553775724476514</v>
      </c>
      <c r="E27" s="482">
        <f t="shared" si="5"/>
        <v>54.889094062830004</v>
      </c>
      <c r="F27" s="482">
        <f t="shared" si="6"/>
        <v>0</v>
      </c>
      <c r="G27" s="482">
        <f t="shared" si="7"/>
        <v>15075.311291300795</v>
      </c>
      <c r="H27" s="482">
        <f t="shared" si="8"/>
        <v>3648.3078578187651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18788.838551378871</v>
      </c>
    </row>
    <row r="28" spans="1:17">
      <c r="A28" s="477" t="s">
        <v>561</v>
      </c>
      <c r="B28" s="478">
        <f t="shared" ca="1" si="2"/>
        <v>0</v>
      </c>
      <c r="C28" s="478">
        <f t="shared" ca="1" si="3"/>
        <v>0</v>
      </c>
      <c r="D28" s="478">
        <f t="shared" si="4"/>
        <v>0</v>
      </c>
      <c r="E28" s="478">
        <f t="shared" si="5"/>
        <v>0</v>
      </c>
      <c r="F28" s="478">
        <f t="shared" si="6"/>
        <v>0</v>
      </c>
      <c r="G28" s="478">
        <f t="shared" si="7"/>
        <v>399.1969577027827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399.1969577027827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254.10763917096409</v>
      </c>
      <c r="C32" s="478">
        <f t="shared" ca="1" si="3"/>
        <v>0</v>
      </c>
      <c r="D32" s="478">
        <f t="shared" si="4"/>
        <v>354.55810326995959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608.66574244092362</v>
      </c>
    </row>
    <row r="33" spans="1:17" s="487" customFormat="1">
      <c r="A33" s="1051" t="s">
        <v>565</v>
      </c>
      <c r="B33" s="991">
        <f ca="1">SUM(B22:B32)</f>
        <v>11452.873076605738</v>
      </c>
      <c r="C33" s="991">
        <f t="shared" ref="C33:Q33" ca="1" si="18">SUM(C22:C32)</f>
        <v>0</v>
      </c>
      <c r="D33" s="991">
        <f t="shared" ca="1" si="18"/>
        <v>12463.073106340682</v>
      </c>
      <c r="E33" s="991">
        <f t="shared" si="18"/>
        <v>510.31614874616133</v>
      </c>
      <c r="F33" s="991">
        <f t="shared" ca="1" si="18"/>
        <v>12141.222531409065</v>
      </c>
      <c r="G33" s="991">
        <f t="shared" si="18"/>
        <v>15474.508249003578</v>
      </c>
      <c r="H33" s="991">
        <f t="shared" si="18"/>
        <v>3648.3078578187651</v>
      </c>
      <c r="I33" s="991">
        <f t="shared" si="18"/>
        <v>0</v>
      </c>
      <c r="J33" s="991">
        <f t="shared" si="18"/>
        <v>157.08254596699004</v>
      </c>
      <c r="K33" s="991">
        <f t="shared" si="18"/>
        <v>0</v>
      </c>
      <c r="L33" s="991">
        <f t="shared" ca="1" si="18"/>
        <v>0</v>
      </c>
      <c r="M33" s="991">
        <f t="shared" si="18"/>
        <v>0</v>
      </c>
      <c r="N33" s="991">
        <f t="shared" ca="1" si="18"/>
        <v>0</v>
      </c>
      <c r="O33" s="991">
        <f t="shared" si="18"/>
        <v>0</v>
      </c>
      <c r="P33" s="991">
        <f t="shared" si="18"/>
        <v>0</v>
      </c>
      <c r="Q33" s="991">
        <f t="shared" ca="1" si="18"/>
        <v>55847.383515890971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3824.2343997177327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3867.8843997177328</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0.20565093254023797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0.20565093254023797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2019-08-12T08:07:31Z</dcterms:modified>
</cp:coreProperties>
</file>