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<sst xmlns="http://schemas.openxmlformats.org/spreadsheetml/2006/main" count="2419" uniqueCount="907">
  <si>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</si>
  <si>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</si>
  <si>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</si>
  <si>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</si>
  <si>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</si>
  <si>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</si>
  <si>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</si>
  <si>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</si>
  <si>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</si>
  <si>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</si>
  <si>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</si>
  <si>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</si>
  <si>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</si>
  <si>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</si>
  <si>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</si>
  <si>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</si>
  <si>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</si>
  <si>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</si>
  <si>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</si>
  <si>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</si>
  <si>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</si>
  <si>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</si>
  <si>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</si>
  <si>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</si>
  <si>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</si>
  <si>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</si>
  <si>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</si>
  <si>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</si>
  <si>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</si>
  <si>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</si>
  <si>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</si>
  <si>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</si>
  <si>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</si>
  <si>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</si>
  <si>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</si>
  <si>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</si>
  <si>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</si>
  <si>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</si>
  <si>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</si>
  <si>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</si>
  <si>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</si>
  <si>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</si>
  <si>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</si>
  <si>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</si>
  <si>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</si>
  <si>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</si>
  <si>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</si>
  <si>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</si>
  <si>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</si>
  <si>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</si>
  <si>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</si>
  <si>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</si>
  <si>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</si>
  <si>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</si>
  <si>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</si>
  <si>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</si>
  <si>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</si>
  <si>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</si>
  <si>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</si>
  <si>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</si>
  <si>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</si>
  <si>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</si>
  <si>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</si>
  <si>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</si>
  <si>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</si>
  <si>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</si>
  <si>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</si>
  <si>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</si>
  <si>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</si>
  <si>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</si>
  <si>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</si>
  <si>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</si>
  <si>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</si>
  <si>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</si>
  <si>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</si>
  <si>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</si>
  <si>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</si>
  <si>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</si>
  <si>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</si>
  <si>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</si>
  <si>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</si>
  <si>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</si>
  <si>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</si>
  <si>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</si>
  <si>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</si>
  <si>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</si>
  <si>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</si>
  <si>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</si>
  <si>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</si>
  <si>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</si>
  <si>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</si>
  <si>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</si>
  <si>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</si>
  <si>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</si>
  <si>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</si>
  <si>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</si>
  <si>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</si>
  <si>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</si>
  <si>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</si>
  <si>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</si>
  <si>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</si>
  <si>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</si>
  <si>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</si>
  <si>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</si>
  <si>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</si>
  <si>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</si>
  <si>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</si>
  <si>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</si>
  <si>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</si>
  <si>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</si>
  <si>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</si>
  <si>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</si>
  <si>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</si>
  <si>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</si>
  <si>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</si>
  <si>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</si>
  <si>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</si>
  <si>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</si>
  <si>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</si>
  <si>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</si>
  <si>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</si>
  <si>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</si>
  <si>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</si>
  <si>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</si>
  <si>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</si>
  <si>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</si>
  <si>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</si>
  <si>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</si>
  <si>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</si>
  <si>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</si>
  <si>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</si>
  <si>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</si>
  <si>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</si>
  <si>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</si>
  <si>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</si>
  <si>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</si>
  <si>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</si>
  <si>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</si>
  <si>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</si>
  <si>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</si>
  <si>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</si>
  <si>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</si>
  <si>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</si>
  <si>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</si>
  <si>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</si>
  <si>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</si>
  <si>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</si>
  <si>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</si>
  <si>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</si>
  <si>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</si>
  <si>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</si>
  <si>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</si>
  <si>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</si>
  <si>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</si>
  <si>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</si>
  <si>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</si>
  <si>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</si>
  <si>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</si>
  <si>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</si>
  <si>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</si>
  <si>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</si>
  <si>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</si>
  <si>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</si>
  <si>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</si>
  <si>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</si>
  <si>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</si>
  <si>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</si>
  <si>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</si>
  <si>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</si>
  <si>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</si>
  <si>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</si>
  <si>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</si>
  <si>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</si>
  <si>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</si>
  <si>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</si>
  <si>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</si>
  <si>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</si>
  <si>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</si>
  <si>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</si>
  <si>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</si>
  <si>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</si>
  <si>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</si>
  <si>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</si>
  <si>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</si>
  <si>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</si>
  <si>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</si>
  <si>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</si>
  <si>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</si>
  <si>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</si>
  <si>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</si>
  <si>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</si>
  <si>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</si>
  <si>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</si>
  <si>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</si>
  <si>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</si>
  <si>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</si>
  <si>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</si>
  <si>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</si>
  <si>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</si>
  <si>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</si>
  <si>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</si>
  <si>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</si>
  <si>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</si>
  <si>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</si>
  <si>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</si>
  <si>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</si>
  <si>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</si>
  <si>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</si>
  <si>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</si>
  <si>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</si>
  <si>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</si>
  <si>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</si>
  <si>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</si>
  <si>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</si>
  <si>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</si>
  <si>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</si>
  <si>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</si>
  <si>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</si>
  <si>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</si>
  <si>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</si>
  <si>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</si>
  <si>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</si>
  <si>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</si>
  <si>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</si>
  <si>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</si>
  <si>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</si>
  <si>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</si>
  <si>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</si>
  <si>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</si>
  <si>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</si>
  <si>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</si>
  <si>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</si>
  <si>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</si>
  <si>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</si>
  <si>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</si>
  <si>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</si>
  <si>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</si>
  <si>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</si>
  <si>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</si>
  <si>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</si>
  <si>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</si>
  <si>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</si>
  <si>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</si>
  <si>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</si>
  <si>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</si>
  <si>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</si>
  <si>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</si>
  <si>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</si>
  <si>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</si>
  <si>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</si>
  <si>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</si>
  <si>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</si>
  <si>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</si>
  <si>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</si>
  <si>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</si>
  <si>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</si>
  <si>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</si>
  <si>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</si>
  <si>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</si>
  <si>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</si>
  <si>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</si>
  <si>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</si>
  <si>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</si>
  <si>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</si>
  <si>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</si>
  <si>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</si>
  <si>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</si>
  <si>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</si>
  <si>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</si>
  <si>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</si>
  <si>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</si>
  <si>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</si>
  <si>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</si>
  <si>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</si>
  <si>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</si>
  <si>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</si>
  <si>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</si>
  <si>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</si>
  <si>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</si>
  <si>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</si>
  <si>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</si>
  <si>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</si>
  <si>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</si>
  <si>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</si>
  <si>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</si>
  <si>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</si>
  <si>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</si>
  <si>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</si>
  <si>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</si>
  <si>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</si>
  <si>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</si>
  <si>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</si>
  <si>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</si>
  <si>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</si>
  <si>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</si>
  <si>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</si>
  <si>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</si>
  <si>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</si>
  <si>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</si>
  <si>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</si>
  <si>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</si>
  <si>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</si>
  <si>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</si>
  <si>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</si>
  <si>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</si>
  <si>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</si>
  <si>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</si>
  <si>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</si>
  <si>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</si>
  <si>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</si>
  <si>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</si>
  <si>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</si>
  <si>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</si>
  <si>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</si>
  <si>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</si>
  <si>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</si>
  <si>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</si>
  <si>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</si>
  <si>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</si>
  <si>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</si>
  <si>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</si>
  <si>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</si>
  <si>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</si>
  <si>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</si>
  <si>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</si>
  <si>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</si>
  <si>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</si>
  <si>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</si>
  <si>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</si>
  <si>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</si>
  <si>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</si>
  <si>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</si>
  <si>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</si>
  <si>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</si>
  <si>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</si>
  <si>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</si>
  <si>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</si>
  <si>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</si>
  <si>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</si>
  <si>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</si>
  <si>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</si>
  <si>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</si>
  <si>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</si>
  <si>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</si>
  <si>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</si>
  <si>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</si>
  <si>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</si>
  <si>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</si>
  <si>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</si>
  <si>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</si>
  <si>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</si>
  <si>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</si>
  <si>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</si>
  <si>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</si>
  <si>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</si>
  <si>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</si>
  <si>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</si>
  <si>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</si>
  <si>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</si>
  <si>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</si>
  <si>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</si>
  <si>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</si>
  <si>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</si>
  <si>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</si>
  <si>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</si>
  <si>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</si>
  <si>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</si>
  <si>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</si>
  <si>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</si>
  <si>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</si>
  <si>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</si>
  <si>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</si>
  <si>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</si>
  <si>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</si>
  <si>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</si>
  <si>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</si>
  <si>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</si>
  <si>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</si>
  <si>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</si>
  <si>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</si>
  <si>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</si>
  <si>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</si>
  <si>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</si>
  <si>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</si>
  <si>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</si>
  <si>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</si>
  <si>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</si>
  <si>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</si>
  <si>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</si>
  <si>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</si>
  <si>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</si>
  <si>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</si>
  <si>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</si>
  <si>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</si>
  <si>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</si>
  <si>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</si>
  <si>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</si>
  <si>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</si>
  <si>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</si>
  <si>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</si>
  <si>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</si>
  <si>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</si>
  <si>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</si>
  <si>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</si>
  <si>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</si>
  <si>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</si>
  <si>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</si>
  <si>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</si>
  <si>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</si>
  <si>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</si>
  <si>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</si>
  <si>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</si>
  <si>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</si>
  <si>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</si>
  <si>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</si>
  <si>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</si>
  <si>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</si>
  <si>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</si>
  <si>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</si>
  <si>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</si>
  <si>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</si>
  <si>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</si>
  <si>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</si>
  <si>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</si>
  <si>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</si>
  <si>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</si>
  <si>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</si>
  <si>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</si>
  <si>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</si>
  <si>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</si>
  <si>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</si>
  <si>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</si>
  <si>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</si>
  <si>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</si>
  <si>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</si>
  <si>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</si>
  <si>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</si>
  <si>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</si>
  <si>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</si>
  <si>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</si>
  <si>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</si>
  <si>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</si>
  <si>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</si>
  <si>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</si>
  <si>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</si>
  <si>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</si>
  <si>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</si>
  <si>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</si>
  <si>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</si>
  <si>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</si>
  <si>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</si>
  <si>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</si>
  <si>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</si>
  <si>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</si>
  <si>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</si>
  <si>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</si>
  <si>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</si>
  <si>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</si>
  <si>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</si>
  <si>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</si>
  <si>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</si>
  <si>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</si>
  <si>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</si>
  <si>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</si>
  <si>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</si>
  <si>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</si>
  <si>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</si>
  <si>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</si>
  <si>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</si>
  <si>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</si>
  <si>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</si>
  <si>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</si>
  <si>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</si>
  <si>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</si>
  <si>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</si>
  <si>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</si>
  <si>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</si>
  <si>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</si>
  <si>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</si>
  <si>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</si>
  <si>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</si>
  <si>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</si>
  <si>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</si>
  <si>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</si>
  <si>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</si>
  <si>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</si>
  <si>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</si>
  <si>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</si>
  <si>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</si>
  <si>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</si>
  <si>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</si>
  <si>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</si>
  <si>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</si>
  <si>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</si>
  <si>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</si>
  <si>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</si>
  <si>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</si>
  <si>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</si>
  <si>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</si>
  <si>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</si>
  <si>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</si>
  <si>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</si>
  <si>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</si>
  <si>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</si>
  <si>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</si>
  <si>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</si>
  <si>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</si>
  <si>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</si>
  <si>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</si>
  <si>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</si>
  <si>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</si>
  <si>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</si>
  <si>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</si>
  <si>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</si>
  <si>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</si>
  <si>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</si>
  <si>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</si>
  <si>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</si>
  <si>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</si>
  <si>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</si>
  <si>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</si>
  <si>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</si>
  <si>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</si>
  <si>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</si>
  <si>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</si>
  <si>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</si>
  <si>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</si>
  <si>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</si>
  <si>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</si>
  <si>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</si>
  <si>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</si>
  <si>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</si>
  <si>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</si>
  <si>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</si>
  <si>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</si>
  <si>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</si>
  <si>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</si>
  <si>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</si>
  <si>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</si>
  <si>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</si>
  <si>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</si>
  <si>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</si>
  <si>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</si>
  <si>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</si>
  <si>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</si>
  <si>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</si>
  <si>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</si>
  <si>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</si>
  <si>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</si>
  <si>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</si>
  <si>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</si>
  <si>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</si>
  <si>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</si>
  <si>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</si>
  <si>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</si>
  <si>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</si>
  <si>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</si>
  <si>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</si>
  <si>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</si>
  <si>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</si>
  <si>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</si>
  <si>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</si>
  <si>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</si>
  <si>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</si>
  <si>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</si>
  <si>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</si>
  <si>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</si>
  <si>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</si>
  <si>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</si>
  <si>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</si>
  <si>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</si>
  <si>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</si>
  <si>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</si>
  <si>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</si>
  <si>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</si>
  <si>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</si>
  <si>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</si>
  <si>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</si>
  <si>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</si>
  <si>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</si>
  <si>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</si>
  <si>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</si>
  <si>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</si>
  <si>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</si>
  <si>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</si>
  <si>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</si>
  <si>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</si>
  <si>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</si>
  <si>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</si>
  <si>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</si>
  <si>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</si>
  <si>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</si>
  <si>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</si>
  <si>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</si>
  <si>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</si>
  <si>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</si>
  <si>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</si>
  <si>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</si>
  <si>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</si>
  <si>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</si>
  <si>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</si>
  <si>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</si>
  <si>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</si>
  <si>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</si>
  <si>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</si>
  <si>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</si>
  <si>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</si>
  <si>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</si>
  <si>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</si>
  <si>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</si>
  <si>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</si>
  <si>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</si>
  <si>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</si>
  <si>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</si>
  <si>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</si>
  <si>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</si>
  <si>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</si>
  <si>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</si>
  <si>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</si>
  <si>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</si>
  <si>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</si>
  <si>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</si>
  <si>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</si>
  <si>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</si>
  <si>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</si>
  <si>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</si>
  <si>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</si>
  <si>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</si>
  <si>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</si>
  <si>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</si>
  <si>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</si>
  <si>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</si>
  <si>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</si>
  <si>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</si>
  <si>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</si>
  <si>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</si>
  <si>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</si>
  <si>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</si>
  <si>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</si>
  <si>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</si>
  <si>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</si>
  <si>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</si>
  <si>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</si>
  <si>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</si>
  <si>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</si>
  <si>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</si>
  <si>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</si>
  <si>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</si>
  <si>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</si>
  <si>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</si>
  <si>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</si>
  <si>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</si>
  <si>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</si>
  <si>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</si>
  <si>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</si>
  <si>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</si>
  <si>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</si>
  <si>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</si>
  <si>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</si>
  <si>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</si>
  <si>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</si>
  <si>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</si>
  <si>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</si>
  <si>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</si>
  <si>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</si>
  <si>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</si>
  <si>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</si>
  <si>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</si>
  <si>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</si>
  <si>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</si>
  <si>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</si>
  <si>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</si>
  <si>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</si>
  <si>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</si>
  <si>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</si>
  <si>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</si>
  <si>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</si>
  <si>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</si>
  <si>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</si>
  <si>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</si>
  <si>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</si>
  <si>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</si>
  <si>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</si>
  <si>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</si>
  <si>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</si>
  <si>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</si>
  <si>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</si>
  <si>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</si>
  <si>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</si>
  <si>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</si>
  <si>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</si>
  <si>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</si>
  <si>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</si>
  <si>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</si>
  <si>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</si>
  <si>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</si>
  <si>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</si>
  <si>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</si>
  <si>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</si>
  <si>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</si>
  <si>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</si>
  <si>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</si>
  <si>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</si>
  <si>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</si>
  <si>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</si>
  <si>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</si>
  <si>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</si>
  <si>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</si>
  <si>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</si>
  <si>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</si>
  <si>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</si>
  <si>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</si>
  <si>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</si>
  <si>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</si>
  <si>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</si>
  <si>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</si>
  <si>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</si>
  <si>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</si>
  <si>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</si>
  <si>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</si>
  <si>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</si>
  <si>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</si>
  <si>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</si>
  <si>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</si>
  <si>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</si>
  <si>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</si>
  <si>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</si>
  <si>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</si>
  <si>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</si>
  <si>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</si>
  <si>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</si>
  <si>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</si>
  <si>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</si>
  <si>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</si>
  <si>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</si>
  <si>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</si>
  <si>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</si>
  <si>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</si>
  <si>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</si>
  <si>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</si>
  <si>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</si>
  <si>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</si>
  <si>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</si>
  <si>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</si>
  <si>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</si>
  <si>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</si>
  <si>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</si>
  <si>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</si>
  <si>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</si>
  <si>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</si>
  <si>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</si>
  <si>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</si>
  <si>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</si>
  <si>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</si>
  <si>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</si>
  <si>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</si>
  <si>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</si>
  <si>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</si>
  <si>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</si>
  <si>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</si>
  <si>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</si>
  <si>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</si>
  <si>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</si>
  <si>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</si>
  <si>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</si>
  <si>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</si>
  <si>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</si>
  <si>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</si>
  <si>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</si>
  <si>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</si>
  <si>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</si>
  <si>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</si>
  <si>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</si>
  <si>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</si>
  <si>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</si>
  <si>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</si>
  <si>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</si>
  <si>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</si>
  <si>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</si>
  <si>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</si>
  <si>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</si>
  <si>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</si>
  <si>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</si>
  <si>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</si>
  <si>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</si>
  <si>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</si>
  <si>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</si>
  <si>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</si>
  <si>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</si>
  <si>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</si>
  <si>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</si>
  <si>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</si>
  <si>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</si>
  <si>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</si>
  <si>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</si>
  <si>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</si>
  <si>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</si>
  <si>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</si>
  <si>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</si>
  <si>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</si>
  <si>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</si>
  <si>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</si>
  <si>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</si>
  <si>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</si>
  <si>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</si>
  <si>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</si>
  <si>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</si>
  <si>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</si>
  <si>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</si>
  <si>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</si>
  <si>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</si>
  <si>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</si>
  <si>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</si>
  <si>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</si>
  <si>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</si>
  <si>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</si>
  <si>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</si>
  <si>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</si>
  <si>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</si>
  <si>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</si>
  <si>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</si>
  <si>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</si>
  <si>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</si>
  <si>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</si>
  <si>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</si>
  <si>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</si>
  <si>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</si>
  <si>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</si>
  <si>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</si>
  <si>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</si>
  <si>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</si>
  <si>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</si>
  <si>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</si>
  <si>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</si>
  <si>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</si>
  <si>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</si>
  <si>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</si>
  <si>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</si>
  <si>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</si>
  <si>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</si>
  <si>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</si>
  <si>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</si>
  <si>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</si>
  <si>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</si>
  <si>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</si>
  <si>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</si>
  <si>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</si>
  <si>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</si>
  <si>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</si>
  <si>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</si>
  <si>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</si>
  <si>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</si>
  <si>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</si>
  <si>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</si>
  <si>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</si>
  <si>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</si>
  <si>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</si>
  <si>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</si>
  <si>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</si>
  <si>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</si>
  <si>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</si>
  <si>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</si>
  <si>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</si>
  <si>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</si>
  <si>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</si>
  <si>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</si>
  <si>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</si>
  <si>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</si>
  <si>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</si>
  <si>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</si>
  <si>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</si>
  <si>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</si>
  <si>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</si>
  <si>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</si>
  <si>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</si>
  <si>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</si>
  <si>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</si>
  <si>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</si>
  <si>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</si>
  <si>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</si>
  <si>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</si>
  <si>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</si>
  <si>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</si>
  <si>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</si>
  <si>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</si>
  <si>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</si>
  <si>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</si>
  <si>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</si>
  <si>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</si>
  <si>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</si>
  <si>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</si>
  <si>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</si>
  <si>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</si>
  <si>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</si>
  <si>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</si>
  <si>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</si>
  <si>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</si>
  <si>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</si>
  <si>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</si>
  <si>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23039</t>
  </si>
  <si>
    <t>KAPELLE-OP-DEN-BOS</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</si>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</sst>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69563.421205803024</c:v>
                </c:pt>
                <c:pt idx="1">
                  <c:v>14960.211834320246</c:v>
                </c:pt>
                <c:pt idx="2">
                  <c:v>756.68600000000004</c:v>
                </c:pt>
                <c:pt idx="3">
                  <c:v>2048.5218498173913</c:v>
                </c:pt>
                <c:pt idx="4">
                  <c:v>8267.6594636623795</c:v>
                </c:pt>
                <c:pt idx="5">
                  <c:v>43011.700684682335</c:v>
                </c:pt>
                <c:pt idx="6">
                  <c:v>1130.1785590130787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69563.421205803024</c:v>
                </c:pt>
                <c:pt idx="1">
                  <c:v>14960.211834320246</c:v>
                </c:pt>
                <c:pt idx="2">
                  <c:v>756.68600000000004</c:v>
                </c:pt>
                <c:pt idx="3">
                  <c:v>2048.5218498173913</c:v>
                </c:pt>
                <c:pt idx="4">
                  <c:v>8267.6594636623795</c:v>
                </c:pt>
                <c:pt idx="5">
                  <c:v>43011.700684682335</c:v>
                </c:pt>
                <c:pt idx="6">
                  <c:v>1130.1785590130787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14224.299108994503</c:v>
                </c:pt>
                <c:pt idx="2">
                  <c:v>2937.6101419329589</c:v>
                </c:pt>
                <c:pt idx="3">
                  <c:v>143.43355801638339</c:v>
                </c:pt>
                <c:pt idx="4">
                  <c:v>497.40073335517297</c:v>
                </c:pt>
                <c:pt idx="5">
                  <c:v>1539.4078956190763</c:v>
                </c:pt>
                <c:pt idx="6">
                  <c:v>10771.203253079946</c:v>
                </c:pt>
                <c:pt idx="7">
                  <c:v>285.47771346980005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54688"/>
      </c:barChart>
      <c:catAx>
        <c:axId val="182311936"/>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14224.299108994503</c:v>
                </c:pt>
                <c:pt idx="2">
                  <c:v>2937.6101419329589</c:v>
                </c:pt>
                <c:pt idx="3">
                  <c:v>143.43355801638339</c:v>
                </c:pt>
                <c:pt idx="4">
                  <c:v>497.40073335517297</c:v>
                </c:pt>
                <c:pt idx="5">
                  <c:v>1539.4078956190763</c:v>
                </c:pt>
                <c:pt idx="6">
                  <c:v>10771.203253079946</c:v>
                </c:pt>
                <c:pt idx="7">
                  <c:v>285.47771346980005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23039</v>
      </c>
      <c r="B6" s="416"/>
      <c r="C6" s="417"/>
    </row>
    <row r="7" spans="1:7" s="414" customFormat="1" ht="15.75" customHeight="1">
      <c r="A7" s="418" t="str">
        <f>txtMunicipality</f>
        <v>KAPELLE-OP-DEN-BOS</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0.18955492504999877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0.18955492504999877</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3884</v>
      </c>
      <c r="C9" s="342">
        <v>3893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759</v>
      </c>
    </row>
    <row r="15" spans="1:6">
      <c r="A15" s="348" t="s">
        <v>184</v>
      </c>
      <c r="B15" s="334">
        <v>2</v>
      </c>
    </row>
    <row r="16" spans="1:6">
      <c r="A16" s="348" t="s">
        <v>6</v>
      </c>
      <c r="B16" s="334">
        <v>88</v>
      </c>
    </row>
    <row r="17" spans="1:6">
      <c r="A17" s="348" t="s">
        <v>7</v>
      </c>
      <c r="B17" s="334">
        <v>164</v>
      </c>
    </row>
    <row r="18" spans="1:6">
      <c r="A18" s="348" t="s">
        <v>8</v>
      </c>
      <c r="B18" s="334">
        <v>221</v>
      </c>
    </row>
    <row r="19" spans="1:6">
      <c r="A19" s="348" t="s">
        <v>9</v>
      </c>
      <c r="B19" s="334">
        <v>230</v>
      </c>
    </row>
    <row r="20" spans="1:6">
      <c r="A20" s="348" t="s">
        <v>10</v>
      </c>
      <c r="B20" s="334">
        <v>175</v>
      </c>
    </row>
    <row r="21" spans="1:6">
      <c r="A21" s="348" t="s">
        <v>11</v>
      </c>
      <c r="B21" s="334">
        <v>2</v>
      </c>
    </row>
    <row r="22" spans="1:6">
      <c r="A22" s="348" t="s">
        <v>12</v>
      </c>
      <c r="B22" s="334">
        <v>1</v>
      </c>
    </row>
    <row r="23" spans="1:6">
      <c r="A23" s="348" t="s">
        <v>13</v>
      </c>
      <c r="B23" s="334">
        <v>0</v>
      </c>
    </row>
    <row r="24" spans="1:6">
      <c r="A24" s="348" t="s">
        <v>14</v>
      </c>
      <c r="B24" s="334">
        <v>0</v>
      </c>
    </row>
    <row r="25" spans="1:6">
      <c r="A25" s="348" t="s">
        <v>15</v>
      </c>
      <c r="B25" s="334">
        <v>1</v>
      </c>
    </row>
    <row r="26" spans="1:6">
      <c r="A26" s="348" t="s">
        <v>16</v>
      </c>
      <c r="B26" s="334">
        <v>149</v>
      </c>
    </row>
    <row r="27" spans="1:6">
      <c r="A27" s="348" t="s">
        <v>17</v>
      </c>
      <c r="B27" s="334">
        <v>0</v>
      </c>
    </row>
    <row r="28" spans="1:6" s="356" customFormat="1">
      <c r="A28" s="355" t="s">
        <v>18</v>
      </c>
      <c r="B28" s="355">
        <v>0</v>
      </c>
    </row>
    <row r="29" spans="1:6">
      <c r="A29" s="355" t="s">
        <v>901</v>
      </c>
      <c r="B29" s="355">
        <v>116</v>
      </c>
      <c r="C29" s="356"/>
      <c r="D29" s="356"/>
      <c r="E29" s="356"/>
      <c r="F29" s="356"/>
    </row>
    <row r="30" spans="1:6">
      <c r="A30" s="341" t="s">
        <v>902</v>
      </c>
      <c r="B30" s="341">
        <v>26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18326.53</v>
      </c>
    </row>
    <row r="39" spans="1:6">
      <c r="A39" s="348" t="s">
        <v>30</v>
      </c>
      <c r="B39" s="348" t="s">
        <v>31</v>
      </c>
      <c r="C39" s="334">
        <v>2460</v>
      </c>
      <c r="D39" s="334">
        <v>37125975.553522803</v>
      </c>
      <c r="E39" s="334">
        <v>3751</v>
      </c>
      <c r="F39" s="334">
        <v>15018910</v>
      </c>
    </row>
    <row r="40" spans="1:6">
      <c r="A40" s="348" t="s">
        <v>30</v>
      </c>
      <c r="B40" s="348" t="s">
        <v>29</v>
      </c>
      <c r="C40" s="334">
        <v>0</v>
      </c>
      <c r="D40" s="334">
        <v>0</v>
      </c>
      <c r="E40" s="334">
        <v>0</v>
      </c>
      <c r="F40" s="334">
        <v>0</v>
      </c>
    </row>
    <row r="41" spans="1:6">
      <c r="A41" s="348" t="s">
        <v>32</v>
      </c>
      <c r="B41" s="348" t="s">
        <v>33</v>
      </c>
      <c r="C41" s="334">
        <v>7</v>
      </c>
      <c r="D41" s="334">
        <v>127062.31608865</v>
      </c>
      <c r="E41" s="334">
        <v>61</v>
      </c>
      <c r="F41" s="334">
        <v>308443.90000000002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49494.94</v>
      </c>
    </row>
    <row r="45" spans="1:6">
      <c r="A45" s="348" t="s">
        <v>32</v>
      </c>
      <c r="B45" s="348" t="s">
        <v>37</v>
      </c>
      <c r="C45" s="334">
        <v>3</v>
      </c>
      <c r="D45" s="334">
        <v>107870.53906654799</v>
      </c>
      <c r="E45" s="334">
        <v>7</v>
      </c>
      <c r="F45" s="334">
        <v>888990.6</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1413280.2051583</v>
      </c>
      <c r="E48" s="334">
        <v>20</v>
      </c>
      <c r="F48" s="334">
        <v>3437706</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7</v>
      </c>
      <c r="D51" s="334">
        <v>269450.008832013</v>
      </c>
      <c r="E51" s="334">
        <v>36</v>
      </c>
      <c r="F51" s="334">
        <v>363050.7</v>
      </c>
    </row>
    <row r="52" spans="1:6">
      <c r="A52" s="348" t="s">
        <v>42</v>
      </c>
      <c r="B52" s="348" t="s">
        <v>29</v>
      </c>
      <c r="C52" s="334">
        <v>3</v>
      </c>
      <c r="D52" s="334">
        <v>53410.021071664902</v>
      </c>
      <c r="E52" s="334">
        <v>5</v>
      </c>
      <c r="F52" s="334">
        <v>111926.1</v>
      </c>
    </row>
    <row r="53" spans="1:6">
      <c r="A53" s="348" t="s">
        <v>44</v>
      </c>
      <c r="B53" s="348" t="s">
        <v>45</v>
      </c>
      <c r="C53" s="334">
        <v>66</v>
      </c>
      <c r="D53" s="334">
        <v>815026.12026285299</v>
      </c>
      <c r="E53" s="334">
        <v>178</v>
      </c>
      <c r="F53" s="334">
        <v>703975.1</v>
      </c>
    </row>
    <row r="54" spans="1:6">
      <c r="A54" s="348" t="s">
        <v>46</v>
      </c>
      <c r="B54" s="348" t="s">
        <v>47</v>
      </c>
      <c r="C54" s="334">
        <v>0</v>
      </c>
      <c r="D54" s="334">
        <v>0</v>
      </c>
      <c r="E54" s="334">
        <v>1</v>
      </c>
      <c r="F54" s="334">
        <v>756686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518342.80924406101</v>
      </c>
      <c r="E57" s="334">
        <v>25</v>
      </c>
      <c r="F57" s="334">
        <v>210891.3</v>
      </c>
    </row>
    <row r="58" spans="1:6">
      <c r="A58" s="348" t="s">
        <v>49</v>
      </c>
      <c r="B58" s="348" t="s">
        <v>51</v>
      </c>
      <c r="C58" s="334">
        <v>11</v>
      </c>
      <c r="D58" s="334">
        <v>322423.512291761</v>
      </c>
      <c r="E58" s="334">
        <v>15</v>
      </c>
      <c r="F58" s="334">
        <v>157209.70000000001</v>
      </c>
    </row>
    <row r="59" spans="1:6">
      <c r="A59" s="348" t="s">
        <v>49</v>
      </c>
      <c r="B59" s="348" t="s">
        <v>52</v>
      </c>
      <c r="C59" s="334">
        <v>12</v>
      </c>
      <c r="D59" s="334">
        <v>349121.12683785998</v>
      </c>
      <c r="E59" s="334">
        <v>56</v>
      </c>
      <c r="F59" s="334">
        <v>1556159</v>
      </c>
    </row>
    <row r="60" spans="1:6">
      <c r="A60" s="348" t="s">
        <v>49</v>
      </c>
      <c r="B60" s="348" t="s">
        <v>53</v>
      </c>
      <c r="C60" s="334">
        <v>26</v>
      </c>
      <c r="D60" s="334">
        <v>795540.31493741705</v>
      </c>
      <c r="E60" s="334">
        <v>34</v>
      </c>
      <c r="F60" s="334">
        <v>577353.80000000005</v>
      </c>
    </row>
    <row r="61" spans="1:6">
      <c r="A61" s="348" t="s">
        <v>49</v>
      </c>
      <c r="B61" s="348" t="s">
        <v>54</v>
      </c>
      <c r="C61" s="334">
        <v>71</v>
      </c>
      <c r="D61" s="334">
        <v>3350614.3124649399</v>
      </c>
      <c r="E61" s="334">
        <v>133</v>
      </c>
      <c r="F61" s="334">
        <v>990991.9</v>
      </c>
    </row>
    <row r="62" spans="1:6">
      <c r="A62" s="348" t="s">
        <v>49</v>
      </c>
      <c r="B62" s="348" t="s">
        <v>55</v>
      </c>
      <c r="C62" s="334">
        <v>3</v>
      </c>
      <c r="D62" s="334">
        <v>274336.43266486702</v>
      </c>
      <c r="E62" s="334">
        <v>5</v>
      </c>
      <c r="F62" s="334">
        <v>13684.49</v>
      </c>
    </row>
    <row r="63" spans="1:6">
      <c r="A63" s="348" t="s">
        <v>49</v>
      </c>
      <c r="B63" s="348" t="s">
        <v>29</v>
      </c>
      <c r="C63" s="334">
        <v>57</v>
      </c>
      <c r="D63" s="334">
        <v>3514809.4573672698</v>
      </c>
      <c r="E63" s="334">
        <v>94</v>
      </c>
      <c r="F63" s="334">
        <v>2011962</v>
      </c>
    </row>
    <row r="64" spans="1:6">
      <c r="A64" s="348" t="s">
        <v>56</v>
      </c>
      <c r="B64" s="348" t="s">
        <v>57</v>
      </c>
      <c r="C64" s="334">
        <v>0</v>
      </c>
      <c r="D64" s="334">
        <v>0</v>
      </c>
      <c r="E64" s="334">
        <v>0</v>
      </c>
      <c r="F64" s="334">
        <v>0</v>
      </c>
    </row>
    <row r="65" spans="1:6">
      <c r="A65" s="348" t="s">
        <v>56</v>
      </c>
      <c r="B65" s="348" t="s">
        <v>29</v>
      </c>
      <c r="C65" s="334">
        <v>2</v>
      </c>
      <c r="D65" s="334">
        <v>64447.258694891803</v>
      </c>
      <c r="E65" s="334">
        <v>2</v>
      </c>
      <c r="F65" s="334">
        <v>5288.5919999999996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66420.439005044303</v>
      </c>
      <c r="E68" s="334">
        <v>7</v>
      </c>
      <c r="F68" s="334">
        <v>26349.200000000001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928108</v>
      </c>
      <c r="E73" s="476">
        <v>949097.82483962656</v>
      </c>
    </row>
    <row r="74" spans="1:6">
      <c r="A74" s="348" t="s">
        <v>64</v>
      </c>
      <c r="B74" s="348" t="s">
        <v>714</v>
      </c>
      <c r="C74" s="1311" t="s">
        <v>716</v>
      </c>
      <c r="D74" s="476">
        <v>22231.5</v>
      </c>
      <c r="E74" s="476">
        <v>22201.077978768932</v>
      </c>
    </row>
    <row r="75" spans="1:6">
      <c r="A75" s="348" t="s">
        <v>65</v>
      </c>
      <c r="B75" s="348" t="s">
        <v>713</v>
      </c>
      <c r="C75" s="1311" t="s">
        <v>717</v>
      </c>
      <c r="D75" s="476">
        <v>30157285</v>
      </c>
      <c r="E75" s="476">
        <v>30812415.060784243</v>
      </c>
    </row>
    <row r="76" spans="1:6">
      <c r="A76" s="348" t="s">
        <v>65</v>
      </c>
      <c r="B76" s="348" t="s">
        <v>714</v>
      </c>
      <c r="C76" s="1311" t="s">
        <v>718</v>
      </c>
      <c r="D76" s="476">
        <v>2369253.6532649929</v>
      </c>
      <c r="E76" s="476">
        <v>2430236.4455394214</v>
      </c>
    </row>
    <row r="77" spans="1:6">
      <c r="A77" s="348" t="s">
        <v>66</v>
      </c>
      <c r="B77" s="348" t="s">
        <v>713</v>
      </c>
      <c r="C77" s="1311" t="s">
        <v>719</v>
      </c>
      <c r="D77" s="476">
        <v>6534226</v>
      </c>
      <c r="E77" s="476">
        <v>6914365.086828405</v>
      </c>
    </row>
    <row r="78" spans="1:6">
      <c r="A78" s="341" t="s">
        <v>66</v>
      </c>
      <c r="B78" s="341" t="s">
        <v>714</v>
      </c>
      <c r="C78" s="341" t="s">
        <v>720</v>
      </c>
      <c r="D78" s="1307">
        <v>878649</v>
      </c>
      <c r="E78" s="1307">
        <v>956715.10256450635</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302010.69347001461</v>
      </c>
      <c r="C83" s="476">
        <v>300205.45840950496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2102.3287535619097</v>
      </c>
    </row>
    <row r="91" spans="1:6">
      <c r="A91" s="348" t="s">
        <v>68</v>
      </c>
      <c r="B91" s="334">
        <v>1692.2258364678225</v>
      </c>
    </row>
    <row r="92" spans="1:6">
      <c r="A92" s="341" t="s">
        <v>69</v>
      </c>
      <c r="B92" s="342">
        <v>311.06482920944649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1371</v>
      </c>
    </row>
    <row r="98" spans="1:6">
      <c r="A98" s="348" t="s">
        <v>72</v>
      </c>
      <c r="B98" s="334">
        <v>1</v>
      </c>
    </row>
    <row r="99" spans="1:6">
      <c r="A99" s="348" t="s">
        <v>73</v>
      </c>
      <c r="B99" s="334">
        <v>13</v>
      </c>
    </row>
    <row r="100" spans="1:6">
      <c r="A100" s="348" t="s">
        <v>74</v>
      </c>
      <c r="B100" s="334">
        <v>240</v>
      </c>
    </row>
    <row r="101" spans="1:6">
      <c r="A101" s="348" t="s">
        <v>75</v>
      </c>
      <c r="B101" s="334">
        <v>17</v>
      </c>
    </row>
    <row r="102" spans="1:6">
      <c r="A102" s="348" t="s">
        <v>76</v>
      </c>
      <c r="B102" s="334">
        <v>35</v>
      </c>
    </row>
    <row r="103" spans="1:6">
      <c r="A103" s="348" t="s">
        <v>77</v>
      </c>
      <c r="B103" s="334">
        <v>55</v>
      </c>
    </row>
    <row r="104" spans="1:6">
      <c r="A104" s="348" t="s">
        <v>78</v>
      </c>
      <c r="B104" s="334">
        <v>1614</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52</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28854.817267714039</v>
      </c>
      <c r="C3" s="43" t="s">
        <v>170</v>
      </c>
      <c r="D3" s="43"/>
      <c r="E3" s="154"/>
      <c r="F3" s="43"/>
      <c r="G3" s="43"/>
      <c r="H3" s="43"/>
      <c r="I3" s="43"/>
      <c r="J3" s="43"/>
      <c r="K3" s="96"/>
    </row>
    <row r="4" spans="1:11">
      <c r="A4" s="384" t="s">
        <v>171</v>
      </c>
      <c r="B4" s="49">
        <f>IF(ISERROR('SEAP template'!B78+'SEAP template'!C78),0,'SEAP template'!B78+'SEAP template'!C78)</f>
        <v>4105.6194192391786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0.18955492504999877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756.68600000000004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756.68600000000004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0.18955492504999877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143.43355801638339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15018.91</v>
      </c>
      <c r="C5" s="17">
        <f>IF(ISERROR('Eigen informatie GS &amp; warmtenet'!B57),0,'Eigen informatie GS &amp; warmtenet'!B57)</f>
        <v>0</v>
      </c>
      <c r="D5" s="30">
        <f>(SUM(HH_hh_gas_kWh,HH_rest_gas_kWh)/1000)*0.902</f>
        <v>33487.629949277572</v>
      </c>
      <c r="E5" s="17">
        <f>B46*B57</f>
        <v>553.95378746549409</v>
      </c>
      <c r="F5" s="17">
        <f>B51*B62</f>
        <v>15604.3904438343</v>
      </c>
      <c r="G5" s="18"/>
      <c r="H5" s="17"/>
      <c r="I5" s="17"/>
      <c r="J5" s="17">
        <f>B50*B61+C50*C61</f>
        <v>0</v>
      </c>
      <c r="K5" s="17"/>
      <c r="L5" s="17"/>
      <c r="M5" s="17"/>
      <c r="N5" s="17">
        <f>B48*B59+C48*C59</f>
        <v>2747.1178554245121</v>
      </c>
      <c r="O5" s="17">
        <f>B69*B70*B71</f>
        <v>96.926666666666677</v>
      </c>
      <c r="P5" s="17">
        <f>B77*B78*B79/1000-B77*B78*B79/1000/B80</f>
        <v>362.26666666666665</v>
      </c>
    </row>
    <row r="6" spans="1:16">
      <c r="A6" s="16" t="s">
        <v>631</v>
      </c>
      <c r="B6" s="789">
        <f>kWh_PV_kleiner_dan_10kW</f>
        <v>1692.2258364678225</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16711.135836467824</v>
      </c>
      <c r="C8" s="21">
        <f>C5</f>
        <v>0</v>
      </c>
      <c r="D8" s="21">
        <f>D5</f>
        <v>33487.629949277572</v>
      </c>
      <c r="E8" s="21">
        <f>E5</f>
        <v>553.95378746549409</v>
      </c>
      <c r="F8" s="21">
        <f>F5</f>
        <v>15604.3904438343</v>
      </c>
      <c r="G8" s="21"/>
      <c r="H8" s="21"/>
      <c r="I8" s="21"/>
      <c r="J8" s="21">
        <f>J5</f>
        <v>0</v>
      </c>
      <c r="K8" s="21"/>
      <c r="L8" s="21">
        <f>L5</f>
        <v>0</v>
      </c>
      <c r="M8" s="21">
        <f>M5</f>
        <v>0</v>
      </c>
      <c r="N8" s="21">
        <f>N5</f>
        <v>2747.1178554245121</v>
      </c>
      <c r="O8" s="21">
        <f>O5</f>
        <v>96.926666666666677</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0.18955492504999877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3167.678100982007</v>
      </c>
      <c r="C12" s="23">
        <f ca="1">C10*C8</f>
        <v>0</v>
      </c>
      <c r="D12" s="23">
        <f>D8*D10</f>
        <v>6764.5012497540702</v>
      </c>
      <c r="E12" s="23">
        <f>E10*E8</f>
        <v>125.74750975466716</v>
      </c>
      <c r="F12" s="23">
        <f>F10*F8</f>
        <v>4166.3722485037579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1371</v>
      </c>
      <c r="C18" s="166" t="s">
        <v>111</v>
      </c>
      <c r="D18" s="228"/>
      <c r="E18" s="15"/>
    </row>
    <row r="19" spans="1:7">
      <c r="A19" s="171" t="s">
        <v>72</v>
      </c>
      <c r="B19" s="37">
        <f>aantalw2001_ander</f>
        <v>1</v>
      </c>
      <c r="C19" s="166" t="s">
        <v>111</v>
      </c>
      <c r="D19" s="229"/>
      <c r="E19" s="15"/>
    </row>
    <row r="20" spans="1:7">
      <c r="A20" s="171" t="s">
        <v>73</v>
      </c>
      <c r="B20" s="37">
        <f>aantalw2001_propaan</f>
        <v>13</v>
      </c>
      <c r="C20" s="167">
        <f>IF(ISERROR(B20/SUM($B$20,$B$21,$B$22)*100),0,B20/SUM($B$20,$B$21,$B$22)*100)</f>
        <v>4.8148148148148149</v>
      </c>
      <c r="D20" s="229"/>
      <c r="E20" s="15"/>
    </row>
    <row r="21" spans="1:7">
      <c r="A21" s="171" t="s">
        <v>74</v>
      </c>
      <c r="B21" s="37">
        <f>aantalw2001_elektriciteit</f>
        <v>240</v>
      </c>
      <c r="C21" s="167">
        <f>IF(ISERROR(B21/SUM($B$20,$B$21,$B$22)*100),0,B21/SUM($B$20,$B$21,$B$22)*100)</f>
        <v>88.888888888888886</v>
      </c>
      <c r="D21" s="229"/>
      <c r="E21" s="15"/>
    </row>
    <row r="22" spans="1:7">
      <c r="A22" s="171" t="s">
        <v>75</v>
      </c>
      <c r="B22" s="37">
        <f>aantalw2001_hout</f>
        <v>17</v>
      </c>
      <c r="C22" s="167">
        <f>IF(ISERROR(B22/SUM($B$20,$B$21,$B$22)*100),0,B22/SUM($B$20,$B$21,$B$22)*100)</f>
        <v>6.2962962962962958</v>
      </c>
      <c r="D22" s="229"/>
      <c r="E22" s="15"/>
    </row>
    <row r="23" spans="1:7">
      <c r="A23" s="171" t="s">
        <v>76</v>
      </c>
      <c r="B23" s="37">
        <f>aantalw2001_niet_gespec</f>
        <v>35</v>
      </c>
      <c r="C23" s="166" t="s">
        <v>111</v>
      </c>
      <c r="D23" s="228"/>
      <c r="E23" s="15"/>
    </row>
    <row r="24" spans="1:7">
      <c r="A24" s="171" t="s">
        <v>77</v>
      </c>
      <c r="B24" s="37">
        <f>aantalw2001_steenkool</f>
        <v>55</v>
      </c>
      <c r="C24" s="166" t="s">
        <v>111</v>
      </c>
      <c r="D24" s="229"/>
      <c r="E24" s="15"/>
    </row>
    <row r="25" spans="1:7">
      <c r="A25" s="171" t="s">
        <v>78</v>
      </c>
      <c r="B25" s="37">
        <f>aantalw2001_stookolie</f>
        <v>1614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3884</v>
      </c>
      <c r="C28" s="36"/>
      <c r="D28" s="228"/>
    </row>
    <row r="29" spans="1:7" s="15" customFormat="1">
      <c r="A29" s="230" t="s">
        <v>741</v>
      </c>
      <c r="B29" s="37">
        <f>SUM(HH_hh_gas_aantal,HH_rest_gas_aantal)</f>
        <v>2460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2460</v>
      </c>
      <c r="C32" s="167">
        <f>IF(ISERROR(B32/SUM($B$32,$B$34,$B$35,$B$36,$B$38,$B$39)*100),0,B32/SUM($B$32,$B$34,$B$35,$B$36,$B$38,$B$39)*100)</f>
        <v>63.648124191461839</v>
      </c>
      <c r="D32" s="233"/>
      <c r="G32" s="15"/>
    </row>
    <row r="33" spans="1:7">
      <c r="A33" s="171" t="s">
        <v>72</v>
      </c>
      <c r="B33" s="34" t="s">
        <v>111</v>
      </c>
      <c r="C33" s="167"/>
      <c r="D33" s="233"/>
      <c r="G33" s="15"/>
    </row>
    <row r="34" spans="1:7">
      <c r="A34" s="171" t="s">
        <v>73</v>
      </c>
      <c r="B34" s="33">
        <f>IF((($B$28-$B$32-$B$39-$B$77-$B$38)*C20/100)&lt;0,0,($B$28-$B$32-$B$39-$B$77-$B$38)*C20/100)</f>
        <v>37.127037037037042</v>
      </c>
      <c r="C34" s="167">
        <f>IF(ISERROR(B34/SUM($B$32,$B$34,$B$35,$B$36,$B$38,$B$39)*100),0,B34/SUM($B$32,$B$34,$B$35,$B$36,$B$38,$B$39)*100)</f>
        <v>0.9605960423554214</v>
      </c>
      <c r="D34" s="233"/>
      <c r="G34" s="15"/>
    </row>
    <row r="35" spans="1:7">
      <c r="A35" s="171" t="s">
        <v>74</v>
      </c>
      <c r="B35" s="33">
        <f>IF((($B$28-$B$32-$B$39-$B$77-$B$38)*C21/100)&lt;0,0,($B$28-$B$32-$B$39-$B$77-$B$38)*C21/100)</f>
        <v>685.42222222222222</v>
      </c>
      <c r="C35" s="167">
        <f>IF(ISERROR(B35/SUM($B$32,$B$34,$B$35,$B$36,$B$38,$B$39)*100),0,B35/SUM($B$32,$B$34,$B$35,$B$36,$B$38,$B$39)*100)</f>
        <v>17.73408078194624</v>
      </c>
      <c r="D35" s="233"/>
      <c r="G35" s="15"/>
    </row>
    <row r="36" spans="1:7">
      <c r="A36" s="171" t="s">
        <v>75</v>
      </c>
      <c r="B36" s="33">
        <f>IF((($B$28-$B$32-$B$39-$B$77-$B$38)*C22/100)&lt;0,0,($B$28-$B$32-$B$39-$B$77-$B$38)*C22/100)</f>
        <v>48.550740740740736</v>
      </c>
      <c r="C36" s="167">
        <f>IF(ISERROR(B36/SUM($B$32,$B$34,$B$35,$B$36,$B$38,$B$39)*100),0,B36/SUM($B$32,$B$34,$B$35,$B$36,$B$38,$B$39)*100)</f>
        <v>1.2561640553878586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633.9</v>
      </c>
      <c r="C39" s="167">
        <f>IF(ISERROR(B39/SUM($B$32,$B$34,$B$35,$B$36,$B$38,$B$39)*100),0,B39/SUM($B$32,$B$34,$B$35,$B$36,$B$38,$B$39)*100)</f>
        <v>16.401034928848642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2460</v>
      </c>
      <c r="C44" s="34" t="s">
        <v>111</v>
      </c>
      <c r="D44" s="174"/>
    </row>
    <row r="45" spans="1:7">
      <c r="A45" s="171" t="s">
        <v>72</v>
      </c>
      <c r="B45" s="33" t="str">
        <f t="shared" si="0"/>
        <v>-</v>
      </c>
      <c r="C45" s="34" t="s">
        <v>111</v>
      </c>
      <c r="D45" s="174"/>
    </row>
    <row r="46" spans="1:7">
      <c r="A46" s="171" t="s">
        <v>73</v>
      </c>
      <c r="B46" s="33">
        <f t="shared" si="0"/>
        <v>37.127037037037042</v>
      </c>
      <c r="C46" s="34" t="s">
        <v>111</v>
      </c>
      <c r="D46" s="174"/>
    </row>
    <row r="47" spans="1:7">
      <c r="A47" s="171" t="s">
        <v>74</v>
      </c>
      <c r="B47" s="33">
        <f t="shared" si="0"/>
        <v>685.42222222222222</v>
      </c>
      <c r="C47" s="34" t="s">
        <v>111</v>
      </c>
      <c r="D47" s="174"/>
    </row>
    <row r="48" spans="1:7">
      <c r="A48" s="171" t="s">
        <v>75</v>
      </c>
      <c r="B48" s="33">
        <f t="shared" si="0"/>
        <v>48.550740740740736</v>
      </c>
      <c r="C48" s="33">
        <f>B48*10</f>
        <v>485.50740740740736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633.9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5518.2521900000002</v>
      </c>
      <c r="C5" s="17">
        <f>IF(ISERROR('Eigen informatie GS &amp; warmtenet'!B58),0,'Eigen informatie GS &amp; warmtenet'!B58)</f>
        <v>0</v>
      </c>
      <c r="D5" s="30">
        <f>SUM(D6:D12)</f>
        <v>8230.9195451589731</v>
      </c>
      <c r="E5" s="17">
        <f>SUM(E6:E12)</f>
        <v>62.86898641591894</v>
      </c>
      <c r="F5" s="17">
        <f>SUM(F6:F12)</f>
        <v>804.04963899622101</v>
      </c>
      <c r="G5" s="18"/>
      <c r="H5" s="17"/>
      <c r="I5" s="17"/>
      <c r="J5" s="17">
        <f>SUM(J6:J12)</f>
        <v>0</v>
      </c>
      <c r="K5" s="17"/>
      <c r="L5" s="17"/>
      <c r="M5" s="17"/>
      <c r="N5" s="17">
        <f>SUM(N6:N12)</f>
        <v>344.12147374913349</v>
      </c>
      <c r="O5" s="17">
        <f>B38*B39*B40</f>
        <v>0</v>
      </c>
      <c r="P5" s="17">
        <f>B46*B47*B48/1000-B46*B47*B48/1000/B49</f>
        <v>0</v>
      </c>
      <c r="R5" s="32"/>
    </row>
    <row r="6" spans="1:18">
      <c r="A6" s="32" t="s">
        <v>54</v>
      </c>
      <c r="B6" s="37">
        <f>B26</f>
        <v>990.99189999999999</v>
      </c>
      <c r="C6" s="33"/>
      <c r="D6" s="37">
        <f>IF(ISERROR(TER_kantoor_gas_kWh/1000),0,TER_kantoor_gas_kWh/1000)*0.902</f>
        <v>3022.2541098433758</v>
      </c>
      <c r="E6" s="33">
        <f>$C$26*'E Balans VL '!I12/100/3.6*1000000</f>
        <v>2.8710489334282498</v>
      </c>
      <c r="F6" s="33">
        <f>$C$26*('E Balans VL '!L12+'E Balans VL '!N12)/100/3.6*1000000</f>
        <v>112.15844983566036</v>
      </c>
      <c r="G6" s="34"/>
      <c r="H6" s="33"/>
      <c r="I6" s="33"/>
      <c r="J6" s="33">
        <f>$C$26*('E Balans VL '!D12+'E Balans VL '!E12)/100/3.6*1000000</f>
        <v>0</v>
      </c>
      <c r="K6" s="33"/>
      <c r="L6" s="33"/>
      <c r="M6" s="33"/>
      <c r="N6" s="33">
        <f>$C$26*'E Balans VL '!Y12/100/3.6*1000000</f>
        <v>9.9190987235657531</v>
      </c>
      <c r="O6" s="33"/>
      <c r="P6" s="33"/>
      <c r="R6" s="32"/>
    </row>
    <row r="7" spans="1:18">
      <c r="A7" s="32" t="s">
        <v>53</v>
      </c>
      <c r="B7" s="37">
        <f t="shared" ref="B7:B12" si="0">B27</f>
        <v>577.35380000000009</v>
      </c>
      <c r="C7" s="33"/>
      <c r="D7" s="37">
        <f>IF(ISERROR(TER_horeca_gas_kWh/1000),0,TER_horeca_gas_kWh/1000)*0.902</f>
        <v>717.57736407355026</v>
      </c>
      <c r="E7" s="33">
        <f>$C$27*'E Balans VL '!I9/100/3.6*1000000</f>
        <v>24.235699429363741</v>
      </c>
      <c r="F7" s="33">
        <f>$C$27*('E Balans VL '!L9+'E Balans VL '!N9)/100/3.6*1000000</f>
        <v>124.05630368477206</v>
      </c>
      <c r="G7" s="34"/>
      <c r="H7" s="33"/>
      <c r="I7" s="33"/>
      <c r="J7" s="33">
        <f>$C$27*('E Balans VL '!D9+'E Balans VL '!E9)/100/3.6*1000000</f>
        <v>0</v>
      </c>
      <c r="K7" s="33"/>
      <c r="L7" s="33"/>
      <c r="M7" s="33"/>
      <c r="N7" s="33">
        <f>$C$27*'E Balans VL '!Y9/100/3.6*1000000</f>
        <v>0.14877902511784977</v>
      </c>
      <c r="O7" s="33"/>
      <c r="P7" s="33"/>
      <c r="R7" s="32"/>
    </row>
    <row r="8" spans="1:18">
      <c r="A8" s="6" t="s">
        <v>52</v>
      </c>
      <c r="B8" s="37">
        <f t="shared" si="0"/>
        <v>1556.1590000000001</v>
      </c>
      <c r="C8" s="33"/>
      <c r="D8" s="37">
        <f>IF(ISERROR(TER_handel_gas_kWh/1000),0,TER_handel_gas_kWh/1000)*0.902</f>
        <v>314.90725640774974</v>
      </c>
      <c r="E8" s="33">
        <f>$C$28*'E Balans VL '!I13/100/3.6*1000000</f>
        <v>16.714442814318879</v>
      </c>
      <c r="F8" s="33">
        <f>$C$28*('E Balans VL '!L13+'E Balans VL '!N13)/100/3.6*1000000</f>
        <v>201.45763304611171</v>
      </c>
      <c r="G8" s="34"/>
      <c r="H8" s="33"/>
      <c r="I8" s="33"/>
      <c r="J8" s="33">
        <f>$C$28*('E Balans VL '!D13+'E Balans VL '!E13)/100/3.6*1000000</f>
        <v>0</v>
      </c>
      <c r="K8" s="33"/>
      <c r="L8" s="33"/>
      <c r="M8" s="33"/>
      <c r="N8" s="33">
        <f>$C$28*'E Balans VL '!Y13/100/3.6*1000000</f>
        <v>12.623646777975855</v>
      </c>
      <c r="O8" s="33"/>
      <c r="P8" s="33"/>
      <c r="R8" s="32"/>
    </row>
    <row r="9" spans="1:18">
      <c r="A9" s="32" t="s">
        <v>51</v>
      </c>
      <c r="B9" s="37">
        <f t="shared" si="0"/>
        <v>157.2097</v>
      </c>
      <c r="C9" s="33"/>
      <c r="D9" s="37">
        <f>IF(ISERROR(TER_gezond_gas_kWh/1000),0,TER_gezond_gas_kWh/1000)*0.902</f>
        <v>290.82600808716842</v>
      </c>
      <c r="E9" s="33">
        <f>$C$29*'E Balans VL '!I10/100/3.6*1000000</f>
        <v>0.12514908925098586</v>
      </c>
      <c r="F9" s="33">
        <f>$C$29*('E Balans VL '!L10+'E Balans VL '!N10)/100/3.6*1000000</f>
        <v>19.11111091979458</v>
      </c>
      <c r="G9" s="34"/>
      <c r="H9" s="33"/>
      <c r="I9" s="33"/>
      <c r="J9" s="33">
        <f>$C$29*('E Balans VL '!D10+'E Balans VL '!E10)/100/3.6*1000000</f>
        <v>0</v>
      </c>
      <c r="K9" s="33"/>
      <c r="L9" s="33"/>
      <c r="M9" s="33"/>
      <c r="N9" s="33">
        <f>$C$29*'E Balans VL '!Y10/100/3.6*1000000</f>
        <v>1.2698983066265426</v>
      </c>
      <c r="O9" s="33"/>
      <c r="P9" s="33"/>
      <c r="R9" s="32"/>
    </row>
    <row r="10" spans="1:18">
      <c r="A10" s="32" t="s">
        <v>50</v>
      </c>
      <c r="B10" s="37">
        <f t="shared" si="0"/>
        <v>210.8913</v>
      </c>
      <c r="C10" s="33"/>
      <c r="D10" s="37">
        <f>IF(ISERROR(TER_ander_gas_kWh/1000),0,TER_ander_gas_kWh/1000)*0.902</f>
        <v>467.54521393814298</v>
      </c>
      <c r="E10" s="33">
        <f>$C$30*'E Balans VL '!I14/100/3.6*1000000</f>
        <v>0.72273556390875437</v>
      </c>
      <c r="F10" s="33">
        <f>$C$30*('E Balans VL '!L14+'E Balans VL '!N14)/100/3.6*1000000</f>
        <v>47.104546807038425</v>
      </c>
      <c r="G10" s="34"/>
      <c r="H10" s="33"/>
      <c r="I10" s="33"/>
      <c r="J10" s="33">
        <f>$C$30*('E Balans VL '!D14+'E Balans VL '!E14)/100/3.6*1000000</f>
        <v>0</v>
      </c>
      <c r="K10" s="33"/>
      <c r="L10" s="33"/>
      <c r="M10" s="33"/>
      <c r="N10" s="33">
        <f>$C$30*'E Balans VL '!Y14/100/3.6*1000000</f>
        <v>148.55298379665192</v>
      </c>
      <c r="O10" s="33"/>
      <c r="P10" s="33"/>
      <c r="R10" s="32"/>
    </row>
    <row r="11" spans="1:18">
      <c r="A11" s="32" t="s">
        <v>55</v>
      </c>
      <c r="B11" s="37">
        <f t="shared" si="0"/>
        <v>13.68449</v>
      </c>
      <c r="C11" s="33"/>
      <c r="D11" s="37">
        <f>IF(ISERROR(TER_onderwijs_gas_kWh/1000),0,TER_onderwijs_gas_kWh/1000)*0.902</f>
        <v>247.45146226371006</v>
      </c>
      <c r="E11" s="33">
        <f>$C$31*'E Balans VL '!I11/100/3.6*1000000</f>
        <v>9.4596664878765693E-3</v>
      </c>
      <c r="F11" s="33">
        <f>$C$31*('E Balans VL '!L11+'E Balans VL '!N11)/100/3.6*1000000</f>
        <v>3.5822019745370288</v>
      </c>
      <c r="G11" s="34"/>
      <c r="H11" s="33"/>
      <c r="I11" s="33"/>
      <c r="J11" s="33">
        <f>$C$31*('E Balans VL '!D11+'E Balans VL '!E11)/100/3.6*1000000</f>
        <v>0</v>
      </c>
      <c r="K11" s="33"/>
      <c r="L11" s="33"/>
      <c r="M11" s="33"/>
      <c r="N11" s="33">
        <f>$C$31*'E Balans VL '!Y11/100/3.6*1000000</f>
        <v>1.3621744241064635E-2</v>
      </c>
      <c r="O11" s="33"/>
      <c r="P11" s="33"/>
      <c r="R11" s="32"/>
    </row>
    <row r="12" spans="1:18">
      <c r="A12" s="32" t="s">
        <v>260</v>
      </c>
      <c r="B12" s="37">
        <f t="shared" si="0"/>
        <v>2011.962</v>
      </c>
      <c r="C12" s="33"/>
      <c r="D12" s="37">
        <f>IF(ISERROR(TER_rest_gas_kWh/1000),0,TER_rest_gas_kWh/1000)*0.902</f>
        <v>3170.3581305452772</v>
      </c>
      <c r="E12" s="33">
        <f>$C$32*'E Balans VL '!I8/100/3.6*1000000</f>
        <v>18.190450919160448</v>
      </c>
      <c r="F12" s="33">
        <f>$C$32*('E Balans VL '!L8+'E Balans VL '!N8)/100/3.6*1000000</f>
        <v>296.57939272830686</v>
      </c>
      <c r="G12" s="34"/>
      <c r="H12" s="33"/>
      <c r="I12" s="33"/>
      <c r="J12" s="33">
        <f>$C$32*('E Balans VL '!D8+'E Balans VL '!E8)/100/3.6*1000000</f>
        <v>0</v>
      </c>
      <c r="K12" s="33"/>
      <c r="L12" s="33"/>
      <c r="M12" s="33"/>
      <c r="N12" s="33">
        <f>$C$32*'E Balans VL '!Y8/100/3.6*1000000</f>
        <v>171.59344537495448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5518.2521900000002</v>
      </c>
      <c r="C16" s="21">
        <f t="shared" ca="1" si="1"/>
        <v>0</v>
      </c>
      <c r="D16" s="21">
        <f t="shared" ca="1" si="1"/>
        <v>8230.9195451589731</v>
      </c>
      <c r="E16" s="21">
        <f t="shared" si="1"/>
        <v>62.86898641591894</v>
      </c>
      <c r="F16" s="21">
        <f t="shared" ca="1" si="1"/>
        <v>804.04963899622101</v>
      </c>
      <c r="G16" s="21">
        <f t="shared" si="1"/>
        <v>0</v>
      </c>
      <c r="H16" s="21">
        <f t="shared" si="1"/>
        <v>0</v>
      </c>
      <c r="I16" s="21">
        <f t="shared" si="1"/>
        <v>0</v>
      </c>
      <c r="J16" s="21">
        <f t="shared" si="1"/>
        <v>0</v>
      </c>
      <c r="K16" s="21">
        <f t="shared" si="1"/>
        <v>0</v>
      </c>
      <c r="L16" s="21">
        <f t="shared" ca="1" si="1"/>
        <v>0</v>
      </c>
      <c r="M16" s="21">
        <f t="shared" si="1"/>
        <v>0</v>
      </c>
      <c r="N16" s="21">
        <f t="shared" ca="1" si="1"/>
        <v>344.12147374913349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0.18955492504999877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1046.0118802824416</v>
      </c>
      <c r="C20" s="23">
        <f t="shared" ref="C20:P20" ca="1" si="2">C16*C18</f>
        <v>0</v>
      </c>
      <c r="D20" s="23">
        <f t="shared" ca="1" si="2"/>
        <v>1662.6457481221128</v>
      </c>
      <c r="E20" s="23">
        <f t="shared" si="2"/>
        <v>14.2712599164136</v>
      </c>
      <c r="F20" s="23">
        <f t="shared" ca="1" si="2"/>
        <v>214.68125361199102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990.99189999999999</v>
      </c>
      <c r="C26" s="39">
        <f>IF(ISERROR(B26*3.6/1000000/'E Balans VL '!Z12*100),0,B26*3.6/1000000/'E Balans VL '!Z12*100)</f>
        <v>2.1768282784863775E-2</v>
      </c>
      <c r="D26" s="237" t="s">
        <v>692</v>
      </c>
      <c r="F26" s="6"/>
    </row>
    <row r="27" spans="1:18">
      <c r="A27" s="231" t="s">
        <v>53</v>
      </c>
      <c r="B27" s="33">
        <f>IF(ISERROR(TER_horeca_ele_kWh/1000),0,TER_horeca_ele_kWh/1000)</f>
        <v>577.35380000000009</v>
      </c>
      <c r="C27" s="39">
        <f>IF(ISERROR(B27*3.6/1000000/'E Balans VL '!Z9*100),0,B27*3.6/1000000/'E Balans VL '!Z9*100)</f>
        <v>4.6396132960652724E-2</v>
      </c>
      <c r="D27" s="237" t="s">
        <v>692</v>
      </c>
      <c r="F27" s="6"/>
    </row>
    <row r="28" spans="1:18">
      <c r="A28" s="171" t="s">
        <v>52</v>
      </c>
      <c r="B28" s="33">
        <f>IF(ISERROR(TER_handel_ele_kWh/1000),0,TER_handel_ele_kWh/1000)</f>
        <v>1556.1590000000001</v>
      </c>
      <c r="C28" s="39">
        <f>IF(ISERROR(B28*3.6/1000000/'E Balans VL '!Z13*100),0,B28*3.6/1000000/'E Balans VL '!Z13*100)</f>
        <v>4.6014534474496063E-2</v>
      </c>
      <c r="D28" s="237" t="s">
        <v>692</v>
      </c>
      <c r="F28" s="6"/>
    </row>
    <row r="29" spans="1:18">
      <c r="A29" s="231" t="s">
        <v>51</v>
      </c>
      <c r="B29" s="33">
        <f>IF(ISERROR(TER_gezond_ele_kWh/1000),0,TER_gezond_ele_kWh/1000)</f>
        <v>157.2097</v>
      </c>
      <c r="C29" s="39">
        <f>IF(ISERROR(B29*3.6/1000000/'E Balans VL '!Z10*100),0,B29*3.6/1000000/'E Balans VL '!Z10*100)</f>
        <v>1.771347439332983E-2</v>
      </c>
      <c r="D29" s="237" t="s">
        <v>692</v>
      </c>
      <c r="F29" s="6"/>
    </row>
    <row r="30" spans="1:18">
      <c r="A30" s="231" t="s">
        <v>50</v>
      </c>
      <c r="B30" s="33">
        <f>IF(ISERROR(TER_ander_ele_kWh/1000),0,TER_ander_ele_kWh/1000)</f>
        <v>210.8913</v>
      </c>
      <c r="C30" s="39">
        <f>IF(ISERROR(B30*3.6/1000000/'E Balans VL '!Z14*100),0,B30*3.6/1000000/'E Balans VL '!Z14*100)</f>
        <v>1.5949348516606565E-2</v>
      </c>
      <c r="D30" s="237" t="s">
        <v>692</v>
      </c>
      <c r="F30" s="6"/>
    </row>
    <row r="31" spans="1:18">
      <c r="A31" s="231" t="s">
        <v>55</v>
      </c>
      <c r="B31" s="33">
        <f>IF(ISERROR(TER_onderwijs_ele_kWh/1000),0,TER_onderwijs_ele_kWh/1000)</f>
        <v>13.68449</v>
      </c>
      <c r="C31" s="39">
        <f>IF(ISERROR(B31*3.6/1000000/'E Balans VL '!Z11*100),0,B31*3.6/1000000/'E Balans VL '!Z11*100)</f>
        <v>2.8405824522024351E-3</v>
      </c>
      <c r="D31" s="237" t="s">
        <v>692</v>
      </c>
    </row>
    <row r="32" spans="1:18">
      <c r="A32" s="231" t="s">
        <v>260</v>
      </c>
      <c r="B32" s="33">
        <f>IF(ISERROR(TER_rest_ele_kWh/1000),0,TER_rest_ele_kWh/1000)</f>
        <v>2011.962</v>
      </c>
      <c r="C32" s="39">
        <f>IF(ISERROR(B32*3.6/1000000/'E Balans VL '!Z8*100),0,B32*3.6/1000000/'E Balans VL '!Z8*100)</f>
        <v>1.6949596252837495E-2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4684.63544</v>
      </c>
      <c r="C5" s="17">
        <f>IF(ISERROR('Eigen informatie GS &amp; warmtenet'!B59),0,'Eigen informatie GS &amp; warmtenet'!B59)</f>
        <v>0</v>
      </c>
      <c r="D5" s="30">
        <f>SUM(D6:D15)</f>
        <v>1486.6881804027753</v>
      </c>
      <c r="E5" s="17">
        <f>SUM(E6:E15)</f>
        <v>263.62725384976653</v>
      </c>
      <c r="F5" s="17">
        <f>SUM(F6:F15)</f>
        <v>1069.9836856259653</v>
      </c>
      <c r="G5" s="18"/>
      <c r="H5" s="17"/>
      <c r="I5" s="17"/>
      <c r="J5" s="17">
        <f>SUM(J6:J15)</f>
        <v>15.740488067564472</v>
      </c>
      <c r="K5" s="17"/>
      <c r="L5" s="17"/>
      <c r="M5" s="17"/>
      <c r="N5" s="17">
        <f>SUM(N6:N15)</f>
        <v>746.98441571630667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49.49494</v>
      </c>
      <c r="C8" s="33"/>
      <c r="D8" s="37">
        <f>IF( ISERROR(IND_metaal_Gas_kWH/1000),0,IND_metaal_Gas_kWH/1000)*0.902</f>
        <v>0</v>
      </c>
      <c r="E8" s="33">
        <f>C30*'E Balans VL '!I18/100/3.6*1000000</f>
        <v>1.2386851196211803</v>
      </c>
      <c r="F8" s="33">
        <f>C30*'E Balans VL '!L18/100/3.6*1000000+C30*'E Balans VL '!N18/100/3.6*1000000</f>
        <v>15.51196039649315</v>
      </c>
      <c r="G8" s="34"/>
      <c r="H8" s="33"/>
      <c r="I8" s="33"/>
      <c r="J8" s="40">
        <f>C30*'E Balans VL '!D18/100/3.6*1000000+C30*'E Balans VL '!E18/100/3.6*1000000</f>
        <v>0</v>
      </c>
      <c r="K8" s="33"/>
      <c r="L8" s="33"/>
      <c r="M8" s="33"/>
      <c r="N8" s="33">
        <f>C30*'E Balans VL '!Y18/100/3.6*1000000</f>
        <v>1.2434413433702762</v>
      </c>
      <c r="O8" s="33"/>
      <c r="P8" s="33"/>
      <c r="R8" s="32"/>
    </row>
    <row r="9" spans="1:18">
      <c r="A9" s="6" t="s">
        <v>33</v>
      </c>
      <c r="B9" s="37">
        <f t="shared" si="0"/>
        <v>308.44390000000004</v>
      </c>
      <c r="C9" s="33"/>
      <c r="D9" s="37">
        <f>IF( ISERROR(IND_andere_gas_kWh/1000),0,IND_andere_gas_kWh/1000)*0.902</f>
        <v>114.61020911196229</v>
      </c>
      <c r="E9" s="33">
        <f>C31*'E Balans VL '!I19/100/3.6*1000000</f>
        <v>84.80942165629385</v>
      </c>
      <c r="F9" s="33">
        <f>C31*'E Balans VL '!L19/100/3.6*1000000+C31*'E Balans VL '!N19/100/3.6*1000000</f>
        <v>243.10746629221867</v>
      </c>
      <c r="G9" s="34"/>
      <c r="H9" s="33"/>
      <c r="I9" s="33"/>
      <c r="J9" s="40">
        <f>C31*'E Balans VL '!D19/100/3.6*1000000+C31*'E Balans VL '!E19/100/3.6*1000000</f>
        <v>0</v>
      </c>
      <c r="K9" s="33"/>
      <c r="L9" s="33"/>
      <c r="M9" s="33"/>
      <c r="N9" s="33">
        <f>C31*'E Balans VL '!Y19/100/3.6*1000000</f>
        <v>99.851431986558907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888.99059999999997</v>
      </c>
      <c r="C12" s="33"/>
      <c r="D12" s="37">
        <f>IF( ISERROR(IND_min_gas_kWh/1000),0,IND_min_gas_kWh/1000)*0.902</f>
        <v>97.299226238026293</v>
      </c>
      <c r="E12" s="33">
        <f>C34*'E Balans VL '!I22/100/3.6*1000000</f>
        <v>2.6923503898947958</v>
      </c>
      <c r="F12" s="33">
        <f>C34*'E Balans VL '!L22/100/3.6*1000000+C34*'E Balans VL '!N22/100/3.6*1000000</f>
        <v>27.781720547315825</v>
      </c>
      <c r="G12" s="34"/>
      <c r="H12" s="33"/>
      <c r="I12" s="33"/>
      <c r="J12" s="40">
        <f>C34*'E Balans VL '!D22/100/3.6*1000000+C34*'E Balans VL '!E22/100/3.6*1000000</f>
        <v>1.3181757140558354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3437.7060000000001</v>
      </c>
      <c r="C15" s="33"/>
      <c r="D15" s="37">
        <f>IF( ISERROR(IND_rest_gas_kWh/1000),0,IND_rest_gas_kWh/1000)*0.902</f>
        <v>1274.7787450527867</v>
      </c>
      <c r="E15" s="33">
        <f>C37*'E Balans VL '!I15/100/3.6*1000000</f>
        <v>174.8867966839567</v>
      </c>
      <c r="F15" s="33">
        <f>C37*'E Balans VL '!L15/100/3.6*1000000+C37*'E Balans VL '!N15/100/3.6*1000000</f>
        <v>783.58253838993778</v>
      </c>
      <c r="G15" s="34"/>
      <c r="H15" s="33"/>
      <c r="I15" s="33"/>
      <c r="J15" s="40">
        <f>C37*'E Balans VL '!D15/100/3.6*1000000+C37*'E Balans VL '!E15/100/3.6*1000000</f>
        <v>14.422312353508637</v>
      </c>
      <c r="K15" s="33"/>
      <c r="L15" s="33"/>
      <c r="M15" s="33"/>
      <c r="N15" s="33">
        <f>C37*'E Balans VL '!Y15/100/3.6*1000000</f>
        <v>645.88954238637746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4684.63544</v>
      </c>
      <c r="C18" s="21">
        <f>C5+C16</f>
        <v>0</v>
      </c>
      <c r="D18" s="21">
        <f>MAX((D5+D16),0)</f>
        <v>1486.6881804027753</v>
      </c>
      <c r="E18" s="21">
        <f>MAX((E5+E16),0)</f>
        <v>263.62725384976653</v>
      </c>
      <c r="F18" s="21">
        <f>MAX((F5+F16),0)</f>
        <v>1069.9836856259653</v>
      </c>
      <c r="G18" s="21"/>
      <c r="H18" s="21"/>
      <c r="I18" s="21"/>
      <c r="J18" s="21">
        <f>MAX((J5+J16),0)</f>
        <v>15.740488067564472</v>
      </c>
      <c r="K18" s="21"/>
      <c r="L18" s="21">
        <f>MAX((L5+L16),0)</f>
        <v>0</v>
      </c>
      <c r="M18" s="21"/>
      <c r="N18" s="21">
        <f>MAX((N5+N16),0)</f>
        <v>746.98441571630667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0.18955492504999877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887.99571971576802</v>
      </c>
      <c r="C22" s="23">
        <f ca="1">C18*C20</f>
        <v>0</v>
      </c>
      <c r="D22" s="23">
        <f>D18*D20</f>
        <v>300.31101244136062</v>
      </c>
      <c r="E22" s="23">
        <f>E18*E20</f>
        <v>59.843386623897004</v>
      </c>
      <c r="F22" s="23">
        <f>F18*F20</f>
        <v>285.68564406213278</v>
      </c>
      <c r="G22" s="23"/>
      <c r="H22" s="23"/>
      <c r="I22" s="23"/>
      <c r="J22" s="23">
        <f>J18*J20</f>
        <v>5.5721327759178232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49.49494</v>
      </c>
      <c r="C30" s="39">
        <f>IF(ISERROR(B30*3.6/1000000/'E Balans VL '!Z18*100),0,B30*3.6/1000000/'E Balans VL '!Z18*100)</f>
        <v>6.9276421629026648E-3</v>
      </c>
      <c r="D30" s="237" t="s">
        <v>692</v>
      </c>
    </row>
    <row r="31" spans="1:18">
      <c r="A31" s="6" t="s">
        <v>33</v>
      </c>
      <c r="B31" s="37">
        <f>IF( ISERROR(IND_ander_ele_kWh/1000),0,IND_ander_ele_kWh/1000)</f>
        <v>308.44390000000004</v>
      </c>
      <c r="C31" s="39">
        <f>IF(ISERROR(B31*3.6/1000000/'E Balans VL '!Z19*100),0,B31*3.6/1000000/'E Balans VL '!Z19*100)</f>
        <v>1.3500539466290493E-2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888.99059999999997</v>
      </c>
      <c r="C34" s="39">
        <f>IF(ISERROR(B34*3.6/1000000/'E Balans VL '!Z22*100),0,B34*3.6/1000000/'E Balans VL '!Z22*100)</f>
        <v>2.5225926341277051E-2</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3437.7060000000001</v>
      </c>
      <c r="C37" s="39">
        <f>IF(ISERROR(B37*3.6/1000000/'E Balans VL '!Z15*100),0,B37*3.6/1000000/'E Balans VL '!Z15*100)</f>
        <v>2.5490001429827033E-2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474.97680000000003</v>
      </c>
      <c r="C5" s="17">
        <f>'Eigen informatie GS &amp; warmtenet'!B60</f>
        <v>0</v>
      </c>
      <c r="D5" s="30">
        <f>IF(ISERROR(SUM(LB_lb_gas_kWh,LB_rest_gas_kWh)/1000),0,SUM(LB_lb_gas_kWh,LB_rest_gas_kWh)/1000)*0.902</f>
        <v>291.21974697311742</v>
      </c>
      <c r="E5" s="17">
        <f>B17*'E Balans VL '!I25/3.6*1000000/100</f>
        <v>4.3994340601706554</v>
      </c>
      <c r="F5" s="17">
        <f>B17*('E Balans VL '!L25/3.6*1000000+'E Balans VL '!N25/3.6*1000000)/100</f>
        <v>1205.1066245875445</v>
      </c>
      <c r="G5" s="18"/>
      <c r="H5" s="17"/>
      <c r="I5" s="17"/>
      <c r="J5" s="17">
        <f>('E Balans VL '!D25+'E Balans VL '!E25)/3.6*1000000*landbouw!B17/100</f>
        <v>72.819244196558756</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474.97680000000003</v>
      </c>
      <c r="C8" s="21">
        <f>C5+C6</f>
        <v>0</v>
      </c>
      <c r="D8" s="21">
        <f>MAX((D5+D6),0)</f>
        <v>291.21974697311742</v>
      </c>
      <c r="E8" s="21">
        <f>MAX((E5+E6),0)</f>
        <v>4.3994340601706554</v>
      </c>
      <c r="F8" s="21">
        <f>MAX((F5+F6),0)</f>
        <v>1205.1066245875445</v>
      </c>
      <c r="G8" s="21"/>
      <c r="H8" s="21"/>
      <c r="I8" s="21"/>
      <c r="J8" s="21">
        <f>MAX((J5+J6),0)</f>
        <v>72.819244196558756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0.18955492504999877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90.034191724488267</v>
      </c>
      <c r="C12" s="23">
        <f ca="1">C8*C10</f>
        <v>0</v>
      </c>
      <c r="D12" s="23">
        <f>D8*D10</f>
        <v>58.826388888569724</v>
      </c>
      <c r="E12" s="23">
        <f>E8*E10</f>
        <v>0.99867153165873879</v>
      </c>
      <c r="F12" s="23">
        <f>F8*F10</f>
        <v>321.7634687648744</v>
      </c>
      <c r="G12" s="23"/>
      <c r="H12" s="23"/>
      <c r="I12" s="23"/>
      <c r="J12" s="23">
        <f>J8*J10</f>
        <v>25.778012445581798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6.7531629711033977E-2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57.529345400240999</v>
      </c>
      <c r="C26" s="247">
        <f>B26*'GWP N2O_CH4'!B5</f>
        <v>1208.1162534050609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7.0470808799261615</v>
      </c>
      <c r="C27" s="247">
        <f>B27*'GWP N2O_CH4'!B5</f>
        <v>147.98869847844938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0.81203436750918834</v>
      </c>
      <c r="C28" s="247">
        <f>B28*'GWP N2O_CH4'!B4</f>
        <v>251.73065392784838</v>
      </c>
      <c r="D28" s="50"/>
    </row>
    <row r="29" spans="1:4">
      <c r="A29" s="41" t="s">
        <v>277</v>
      </c>
      <c r="B29" s="247">
        <f>B34*'ha_N2O bodem landbouw'!B4</f>
        <v>5.0244184450203377</v>
      </c>
      <c r="C29" s="247">
        <f>B29*'GWP N2O_CH4'!B4</f>
        <v>1557.5697179563047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1.1268885404789053E-3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1.856124448638238E-5</v>
      </c>
      <c r="C5" s="464" t="s">
        <v>211</v>
      </c>
      <c r="D5" s="449">
        <f>SUM(D6:D11)</f>
        <v>6.9753024380391499E-5</v>
      </c>
      <c r="E5" s="449">
        <f>SUM(E6:E11)</f>
        <v>4.3618956115721067E-4</v>
      </c>
      <c r="F5" s="462" t="s">
        <v>211</v>
      </c>
      <c r="G5" s="449">
        <f>SUM(G6:G11)</f>
        <v>0.12057750428422333</v>
      </c>
      <c r="H5" s="449">
        <f>SUM(H6:H11)</f>
        <v>2.5965921889900396E-2</v>
      </c>
      <c r="I5" s="464" t="s">
        <v>211</v>
      </c>
      <c r="J5" s="464" t="s">
        <v>211</v>
      </c>
      <c r="K5" s="464" t="s">
        <v>211</v>
      </c>
      <c r="L5" s="464" t="s">
        <v>211</v>
      </c>
      <c r="M5" s="449">
        <f>SUM(M6:M11)</f>
        <v>7.7741924607087074E-3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4.5792168968450681E-7</v>
      </c>
      <c r="C6" s="450"/>
      <c r="D6" s="893">
        <f>vkm_2011_GW_PW*SUMIFS(TableVerdeelsleutelVkm[CNG],TableVerdeelsleutelVkm[Voertuigtype],"Lichte voertuigen")*SUMIFS(TableECFTransport[EnergieConsumptieFactor (PJ per km)],TableECFTransport[Index],CONCATENATE($A6,"_CNG_CNG"))</f>
        <v>1.059223283329869E-6</v>
      </c>
      <c r="E6" s="893">
        <f>vkm_2011_GW_PW*SUMIFS(TableVerdeelsleutelVkm[LPG],TableVerdeelsleutelVkm[Voertuigtype],"Lichte voertuigen")*SUMIFS(TableECFTransport[EnergieConsumptieFactor (PJ per km)],TableECFTransport[Index],CONCATENATE($A6,"_LPG_LPG"))</f>
        <v>6.8970223740202579E-6</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1.4328053721695984E-3</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4.0387822460693259E-4</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9.5314357430191892E-5</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2.0739420582992202E-4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7.0925051939605398E-8</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1.1998930370968288E-5</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1.4879383545338723E-5</v>
      </c>
      <c r="C8" s="450"/>
      <c r="D8" s="452">
        <f>vkm_2011_NGW_PW*SUMIFS(TableVerdeelsleutelVkm[CNG],TableVerdeelsleutelVkm[Voertuigtype],"Lichte voertuigen")*SUMIFS(TableECFTransport[EnergieConsumptieFactor (PJ per km)],TableECFTransport[Index],CONCATENATE($A8,"_CNG_CNG"))</f>
        <v>6.0874768555177555E-5</v>
      </c>
      <c r="E8" s="452">
        <f>vkm_2011_NGW_PW*SUMIFS(TableVerdeelsleutelVkm[LPG],TableVerdeelsleutelVkm[Voertuigtype],"Lichte voertuigen")*SUMIFS(TableECFTransport[EnergieConsumptieFactor (PJ per km)],TableECFTransport[Index],CONCATENATE($A8,"_LPG_LPG"))</f>
        <v>3.658172537262195E-4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7.1041173264482088E-2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2.244372919070815E-2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4.800324535376814E-3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2.8196850465287492E-2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9.1241723543457352E-6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1.631331659956536E-3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3.2239392513591478E-6</v>
      </c>
      <c r="C10" s="450"/>
      <c r="D10" s="452">
        <f>vkm_2011_SW_PW*SUMIFS(TableVerdeelsleutelVkm[CNG],TableVerdeelsleutelVkm[Voertuigtype],"Lichte voertuigen")*SUMIFS(TableECFTransport[EnergieConsumptieFactor (PJ per km)],TableECFTransport[Index],CONCATENATE($A10,"_CNG_CNG"))</f>
        <v>7.8190325418840832E-6</v>
      </c>
      <c r="E10" s="452">
        <f>vkm_2011_SW_PW*SUMIFS(TableVerdeelsleutelVkm[LPG],TableVerdeelsleutelVkm[Voertuigtype],"Lichte voertuigen")*SUMIFS(TableECFTransport[EnergieConsumptieFactor (PJ per km)],TableECFTransport[Index],CONCATENATE($A10,"_LPG_LPG"))</f>
        <v>6.3475285056970919E-5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1.1871700838817811E-2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3.1062344265322585E-3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7.8234669266352501E-4</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7.8275801376364185E-3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2.8849506467686191E-6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4.5287628491067183E-4</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5.1559012462173275</v>
      </c>
      <c r="C14" s="21"/>
      <c r="D14" s="21">
        <f t="shared" ref="D14:M14" si="0">((D5)*10^9/3600)+D12</f>
        <v>19.375840105664302</v>
      </c>
      <c r="E14" s="21">
        <f t="shared" si="0"/>
        <v>121.16376698811408</v>
      </c>
      <c r="F14" s="21"/>
      <c r="G14" s="21">
        <f t="shared" si="0"/>
        <v>33493.751190062037</v>
      </c>
      <c r="H14" s="21">
        <f t="shared" si="0"/>
        <v>7212.7560805278881</v>
      </c>
      <c r="I14" s="21"/>
      <c r="J14" s="21"/>
      <c r="K14" s="21"/>
      <c r="L14" s="21"/>
      <c r="M14" s="21">
        <f t="shared" si="0"/>
        <v>2159.4979057524188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0.18955492504999877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0.97732647429192077</v>
      </c>
      <c r="C18" s="23"/>
      <c r="D18" s="23">
        <f t="shared" ref="D18:M18" si="1">D14*D16</f>
        <v>3.9139197013441893</v>
      </c>
      <c r="E18" s="23">
        <f t="shared" si="1"/>
        <v>27.504175106301897</v>
      </c>
      <c r="F18" s="23"/>
      <c r="G18" s="23">
        <f t="shared" si="1"/>
        <v>8942.8315677465653</v>
      </c>
      <c r="H18" s="23">
        <f t="shared" si="1"/>
        <v>1795.9762640514441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3.8491377097051686E-3</v>
      </c>
      <c r="H50" s="321">
        <f t="shared" si="2"/>
        <v>0</v>
      </c>
      <c r="I50" s="321">
        <f t="shared" si="2"/>
        <v>0</v>
      </c>
      <c r="J50" s="321">
        <f t="shared" si="2"/>
        <v>0</v>
      </c>
      <c r="K50" s="321">
        <f t="shared" si="2"/>
        <v>0</v>
      </c>
      <c r="L50" s="321">
        <f t="shared" si="2"/>
        <v>0</v>
      </c>
      <c r="M50" s="321">
        <f t="shared" si="2"/>
        <v>2.1950510274191493E-4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3.8491377097051686E-3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2.1950510274191493E-4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1069.2049193625469</v>
      </c>
      <c r="H54" s="21">
        <f t="shared" si="3"/>
        <v>0</v>
      </c>
      <c r="I54" s="21">
        <f t="shared" si="3"/>
        <v>0</v>
      </c>
      <c r="J54" s="21">
        <f t="shared" si="3"/>
        <v>0</v>
      </c>
      <c r="K54" s="21">
        <f t="shared" si="3"/>
        <v>0</v>
      </c>
      <c r="L54" s="21">
        <f t="shared" si="3"/>
        <v>0</v>
      </c>
      <c r="M54" s="21">
        <f t="shared" si="3"/>
        <v>60.973639650531922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0.18955492504999877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285.47771346980005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6274.9381899999998</v>
      </c>
      <c r="D10" s="1025">
        <f ca="1">tertiair!C16</f>
        <v>0</v>
      </c>
      <c r="E10" s="1025">
        <f ca="1">tertiair!D16</f>
        <v>8230.9195451589731</v>
      </c>
      <c r="F10" s="1025">
        <f>tertiair!E16</f>
        <v>62.86898641591894</v>
      </c>
      <c r="G10" s="1025">
        <f ca="1">tertiair!F16</f>
        <v>804.04963899622101</v>
      </c>
      <c r="H10" s="1025">
        <f>tertiair!G16</f>
        <v>0</v>
      </c>
      <c r="I10" s="1025">
        <f>tertiair!H16</f>
        <v>0</v>
      </c>
      <c r="J10" s="1025">
        <f>tertiair!I16</f>
        <v>0</v>
      </c>
      <c r="K10" s="1025">
        <f>tertiair!J16</f>
        <v>0</v>
      </c>
      <c r="L10" s="1025">
        <f>tertiair!K16</f>
        <v>0</v>
      </c>
      <c r="M10" s="1025">
        <f ca="1">tertiair!L16</f>
        <v>0</v>
      </c>
      <c r="N10" s="1025">
        <f>tertiair!M16</f>
        <v>0</v>
      </c>
      <c r="O10" s="1025">
        <f ca="1">tertiair!N16</f>
        <v>344.12147374913349</v>
      </c>
      <c r="P10" s="1025">
        <f>tertiair!O16</f>
        <v>0</v>
      </c>
      <c r="Q10" s="1026">
        <f>tertiair!P16</f>
        <v>0</v>
      </c>
      <c r="R10" s="701">
        <f ca="1">SUM(C10:Q10)</f>
        <v>15716.897834320247</v>
      </c>
      <c r="S10" s="67"/>
    </row>
    <row r="11" spans="1:19" s="474" customFormat="1">
      <c r="A11" s="810" t="s">
        <v>225</v>
      </c>
      <c r="B11" s="815"/>
      <c r="C11" s="1025">
        <f>huishoudens!B8</f>
        <v>16711.135836467824</v>
      </c>
      <c r="D11" s="1025">
        <f>huishoudens!C8</f>
        <v>0</v>
      </c>
      <c r="E11" s="1025">
        <f>huishoudens!D8</f>
        <v>33487.629949277572</v>
      </c>
      <c r="F11" s="1025">
        <f>huishoudens!E8</f>
        <v>553.95378746549409</v>
      </c>
      <c r="G11" s="1025">
        <f>huishoudens!F8</f>
        <v>15604.3904438343</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2747.1178554245121</v>
      </c>
      <c r="P11" s="1025">
        <f>huishoudens!O8</f>
        <v>96.926666666666677</v>
      </c>
      <c r="Q11" s="1026">
        <f>huishoudens!P8</f>
        <v>362.26666666666665</v>
      </c>
      <c r="R11" s="701">
        <f>SUM(C11:Q11)</f>
        <v>69563.421205803024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4684.63544</v>
      </c>
      <c r="D13" s="1025">
        <f>industrie!C18</f>
        <v>0</v>
      </c>
      <c r="E13" s="1025">
        <f>industrie!D18</f>
        <v>1486.6881804027753</v>
      </c>
      <c r="F13" s="1025">
        <f>industrie!E18</f>
        <v>263.62725384976653</v>
      </c>
      <c r="G13" s="1025">
        <f>industrie!F18</f>
        <v>1069.9836856259653</v>
      </c>
      <c r="H13" s="1025">
        <f>industrie!G18</f>
        <v>0</v>
      </c>
      <c r="I13" s="1025">
        <f>industrie!H18</f>
        <v>0</v>
      </c>
      <c r="J13" s="1025">
        <f>industrie!I18</f>
        <v>0</v>
      </c>
      <c r="K13" s="1025">
        <f>industrie!J18</f>
        <v>15.740488067564472</v>
      </c>
      <c r="L13" s="1025">
        <f>industrie!K18</f>
        <v>0</v>
      </c>
      <c r="M13" s="1025">
        <f>industrie!L18</f>
        <v>0</v>
      </c>
      <c r="N13" s="1025">
        <f>industrie!M18</f>
        <v>0</v>
      </c>
      <c r="O13" s="1025">
        <f>industrie!N18</f>
        <v>746.98441571630667</v>
      </c>
      <c r="P13" s="1025">
        <f>industrie!O18</f>
        <v>0</v>
      </c>
      <c r="Q13" s="1026">
        <f>industrie!P18</f>
        <v>0</v>
      </c>
      <c r="R13" s="701">
        <f>SUM(C13:Q13)</f>
        <v>8267.6594636623795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27670.709466467822</v>
      </c>
      <c r="D16" s="733">
        <f t="shared" ref="D16:R16" ca="1" si="0">SUM(D9:D15)</f>
        <v>0</v>
      </c>
      <c r="E16" s="733">
        <f t="shared" ca="1" si="0"/>
        <v>43205.237674839322</v>
      </c>
      <c r="F16" s="733">
        <f t="shared" si="0"/>
        <v>880.45002773117949</v>
      </c>
      <c r="G16" s="733">
        <f t="shared" ca="1" si="0"/>
        <v>17478.423768456487</v>
      </c>
      <c r="H16" s="733">
        <f t="shared" si="0"/>
        <v>0</v>
      </c>
      <c r="I16" s="733">
        <f t="shared" si="0"/>
        <v>0</v>
      </c>
      <c r="J16" s="733">
        <f t="shared" si="0"/>
        <v>0</v>
      </c>
      <c r="K16" s="733">
        <f t="shared" si="0"/>
        <v>15.740488067564472</v>
      </c>
      <c r="L16" s="733">
        <f t="shared" si="0"/>
        <v>0</v>
      </c>
      <c r="M16" s="733">
        <f t="shared" ca="1" si="0"/>
        <v>0</v>
      </c>
      <c r="N16" s="733">
        <f t="shared" si="0"/>
        <v>0</v>
      </c>
      <c r="O16" s="733">
        <f t="shared" ca="1" si="0"/>
        <v>3838.2237448899523</v>
      </c>
      <c r="P16" s="733">
        <f t="shared" si="0"/>
        <v>96.926666666666677</v>
      </c>
      <c r="Q16" s="733">
        <f t="shared" si="0"/>
        <v>362.26666666666665</v>
      </c>
      <c r="R16" s="733">
        <f t="shared" ca="1" si="0"/>
        <v>93547.978503785649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1069.2049193625469</v>
      </c>
      <c r="I19" s="1025">
        <f>transport!H54</f>
        <v>0</v>
      </c>
      <c r="J19" s="1025">
        <f>transport!I54</f>
        <v>0</v>
      </c>
      <c r="K19" s="1025">
        <f>transport!J54</f>
        <v>0</v>
      </c>
      <c r="L19" s="1025">
        <f>transport!K54</f>
        <v>0</v>
      </c>
      <c r="M19" s="1025">
        <f>transport!L54</f>
        <v>0</v>
      </c>
      <c r="N19" s="1025">
        <f>transport!M54</f>
        <v>60.973639650531922</v>
      </c>
      <c r="O19" s="1025">
        <f>transport!N54</f>
        <v>0</v>
      </c>
      <c r="P19" s="1025">
        <f>transport!O54</f>
        <v>0</v>
      </c>
      <c r="Q19" s="1026">
        <f>transport!P54</f>
        <v>0</v>
      </c>
      <c r="R19" s="701">
        <f>SUM(C19:Q19)</f>
        <v>1130.1785590130787</v>
      </c>
      <c r="S19" s="67"/>
    </row>
    <row r="20" spans="1:19" s="474" customFormat="1">
      <c r="A20" s="810" t="s">
        <v>307</v>
      </c>
      <c r="B20" s="815"/>
      <c r="C20" s="1025">
        <f>transport!B14</f>
        <v>5.1559012462173275</v>
      </c>
      <c r="D20" s="1025">
        <f>transport!C14</f>
        <v>0</v>
      </c>
      <c r="E20" s="1025">
        <f>transport!D14</f>
        <v>19.375840105664302</v>
      </c>
      <c r="F20" s="1025">
        <f>transport!E14</f>
        <v>121.16376698811408</v>
      </c>
      <c r="G20" s="1025">
        <f>transport!F14</f>
        <v>0</v>
      </c>
      <c r="H20" s="1025">
        <f>transport!G14</f>
        <v>33493.751190062037</v>
      </c>
      <c r="I20" s="1025">
        <f>transport!H14</f>
        <v>7212.7560805278881</v>
      </c>
      <c r="J20" s="1025">
        <f>transport!I14</f>
        <v>0</v>
      </c>
      <c r="K20" s="1025">
        <f>transport!J14</f>
        <v>0</v>
      </c>
      <c r="L20" s="1025">
        <f>transport!K14</f>
        <v>0</v>
      </c>
      <c r="M20" s="1025">
        <f>transport!L14</f>
        <v>0</v>
      </c>
      <c r="N20" s="1025">
        <f>transport!M14</f>
        <v>2159.4979057524188</v>
      </c>
      <c r="O20" s="1025">
        <f>transport!N14</f>
        <v>0</v>
      </c>
      <c r="P20" s="1025">
        <f>transport!O14</f>
        <v>0</v>
      </c>
      <c r="Q20" s="1026">
        <f>transport!P14</f>
        <v>0</v>
      </c>
      <c r="R20" s="701">
        <f>SUM(C20:Q20)</f>
        <v>43011.700684682335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5.1559012462173275</v>
      </c>
      <c r="D22" s="813">
        <f t="shared" ref="D22:R22" si="1">SUM(D18:D21)</f>
        <v>0</v>
      </c>
      <c r="E22" s="813">
        <f t="shared" si="1"/>
        <v>19.375840105664302</v>
      </c>
      <c r="F22" s="813">
        <f t="shared" si="1"/>
        <v>121.16376698811408</v>
      </c>
      <c r="G22" s="813">
        <f t="shared" si="1"/>
        <v>0</v>
      </c>
      <c r="H22" s="813">
        <f t="shared" si="1"/>
        <v>34562.956109424587</v>
      </c>
      <c r="I22" s="813">
        <f t="shared" si="1"/>
        <v>7212.7560805278881</v>
      </c>
      <c r="J22" s="813">
        <f t="shared" si="1"/>
        <v>0</v>
      </c>
      <c r="K22" s="813">
        <f t="shared" si="1"/>
        <v>0</v>
      </c>
      <c r="L22" s="813">
        <f t="shared" si="1"/>
        <v>0</v>
      </c>
      <c r="M22" s="813">
        <f t="shared" si="1"/>
        <v>0</v>
      </c>
      <c r="N22" s="813">
        <f t="shared" si="1"/>
        <v>2220.4715454029506</v>
      </c>
      <c r="O22" s="813">
        <f t="shared" si="1"/>
        <v>0</v>
      </c>
      <c r="P22" s="813">
        <f t="shared" si="1"/>
        <v>0</v>
      </c>
      <c r="Q22" s="813">
        <f t="shared" si="1"/>
        <v>0</v>
      </c>
      <c r="R22" s="813">
        <f t="shared" si="1"/>
        <v>44141.879243695417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474.97680000000003</v>
      </c>
      <c r="D24" s="1025">
        <f>+landbouw!C8</f>
        <v>0</v>
      </c>
      <c r="E24" s="1025">
        <f>+landbouw!D8</f>
        <v>291.21974697311742</v>
      </c>
      <c r="F24" s="1025">
        <f>+landbouw!E8</f>
        <v>4.3994340601706554</v>
      </c>
      <c r="G24" s="1025">
        <f>+landbouw!F8</f>
        <v>1205.1066245875445</v>
      </c>
      <c r="H24" s="1025">
        <f>+landbouw!G8</f>
        <v>0</v>
      </c>
      <c r="I24" s="1025">
        <f>+landbouw!H8</f>
        <v>0</v>
      </c>
      <c r="J24" s="1025">
        <f>+landbouw!I8</f>
        <v>0</v>
      </c>
      <c r="K24" s="1025">
        <f>+landbouw!J8</f>
        <v>72.819244196558756</v>
      </c>
      <c r="L24" s="1025">
        <f>+landbouw!K8</f>
        <v>0</v>
      </c>
      <c r="M24" s="1025">
        <f>+landbouw!L8</f>
        <v>0</v>
      </c>
      <c r="N24" s="1025">
        <f>+landbouw!M8</f>
        <v>0</v>
      </c>
      <c r="O24" s="1025">
        <f>+landbouw!N8</f>
        <v>0</v>
      </c>
      <c r="P24" s="1025">
        <f>+landbouw!O8</f>
        <v>0</v>
      </c>
      <c r="Q24" s="1026">
        <f>+landbouw!P8</f>
        <v>0</v>
      </c>
      <c r="R24" s="701">
        <f>SUM(C24:Q24)</f>
        <v>2048.5218498173913</v>
      </c>
      <c r="S24" s="67"/>
    </row>
    <row r="25" spans="1:19" s="474" customFormat="1" ht="15" thickBot="1">
      <c r="A25" s="832" t="s">
        <v>864</v>
      </c>
      <c r="B25" s="1028"/>
      <c r="C25" s="1029">
        <f>IF(Onbekend_ele_kWh="---",0,Onbekend_ele_kWh)/1000+IF(REST_rest_ele_kWh="---",0,REST_rest_ele_kWh)/1000</f>
        <v>703.9751</v>
      </c>
      <c r="D25" s="1029"/>
      <c r="E25" s="1029">
        <f>IF(onbekend_gas_kWh="---",0,onbekend_gas_kWh)/1000+IF(REST_rest_gas_kWh="---",0,REST_rest_gas_kWh)/1000</f>
        <v>815.02612026285294</v>
      </c>
      <c r="F25" s="1029"/>
      <c r="G25" s="1029"/>
      <c r="H25" s="1029"/>
      <c r="I25" s="1029"/>
      <c r="J25" s="1029"/>
      <c r="K25" s="1029"/>
      <c r="L25" s="1029"/>
      <c r="M25" s="1029"/>
      <c r="N25" s="1029"/>
      <c r="O25" s="1029"/>
      <c r="P25" s="1029"/>
      <c r="Q25" s="1030"/>
      <c r="R25" s="701">
        <f>SUM(C25:Q25)</f>
        <v>1519.0012202628529</v>
      </c>
      <c r="S25" s="67"/>
    </row>
    <row r="26" spans="1:19" s="474" customFormat="1" ht="15.75" thickBot="1">
      <c r="A26" s="706" t="s">
        <v>865</v>
      </c>
      <c r="B26" s="818"/>
      <c r="C26" s="813">
        <f>SUM(C24:C25)</f>
        <v>1178.9519</v>
      </c>
      <c r="D26" s="813">
        <f t="shared" ref="D26:R26" si="2">SUM(D24:D25)</f>
        <v>0</v>
      </c>
      <c r="E26" s="813">
        <f t="shared" si="2"/>
        <v>1106.2458672359703</v>
      </c>
      <c r="F26" s="813">
        <f t="shared" si="2"/>
        <v>4.3994340601706554</v>
      </c>
      <c r="G26" s="813">
        <f t="shared" si="2"/>
        <v>1205.1066245875445</v>
      </c>
      <c r="H26" s="813">
        <f t="shared" si="2"/>
        <v>0</v>
      </c>
      <c r="I26" s="813">
        <f t="shared" si="2"/>
        <v>0</v>
      </c>
      <c r="J26" s="813">
        <f t="shared" si="2"/>
        <v>0</v>
      </c>
      <c r="K26" s="813">
        <f t="shared" si="2"/>
        <v>72.819244196558756</v>
      </c>
      <c r="L26" s="813">
        <f t="shared" si="2"/>
        <v>0</v>
      </c>
      <c r="M26" s="813">
        <f t="shared" si="2"/>
        <v>0</v>
      </c>
      <c r="N26" s="813">
        <f t="shared" si="2"/>
        <v>0</v>
      </c>
      <c r="O26" s="813">
        <f t="shared" si="2"/>
        <v>0</v>
      </c>
      <c r="P26" s="813">
        <f t="shared" si="2"/>
        <v>0</v>
      </c>
      <c r="Q26" s="813">
        <f t="shared" si="2"/>
        <v>0</v>
      </c>
      <c r="R26" s="813">
        <f t="shared" si="2"/>
        <v>3567.523070080244</v>
      </c>
      <c r="S26" s="67"/>
    </row>
    <row r="27" spans="1:19" s="474" customFormat="1" ht="17.25" thickTop="1" thickBot="1">
      <c r="A27" s="707" t="s">
        <v>116</v>
      </c>
      <c r="B27" s="806"/>
      <c r="C27" s="708">
        <f ca="1">C22+C16+C26</f>
        <v>28854.817267714039</v>
      </c>
      <c r="D27" s="708">
        <f t="shared" ref="D27:R27" ca="1" si="3">D22+D16+D26</f>
        <v>0</v>
      </c>
      <c r="E27" s="708">
        <f t="shared" ca="1" si="3"/>
        <v>44330.859382180955</v>
      </c>
      <c r="F27" s="708">
        <f t="shared" si="3"/>
        <v>1006.0132287794642</v>
      </c>
      <c r="G27" s="708">
        <f t="shared" ca="1" si="3"/>
        <v>18683.530393044031</v>
      </c>
      <c r="H27" s="708">
        <f t="shared" si="3"/>
        <v>34562.956109424587</v>
      </c>
      <c r="I27" s="708">
        <f t="shared" si="3"/>
        <v>7212.7560805278881</v>
      </c>
      <c r="J27" s="708">
        <f t="shared" si="3"/>
        <v>0</v>
      </c>
      <c r="K27" s="708">
        <f t="shared" si="3"/>
        <v>88.559732264123227</v>
      </c>
      <c r="L27" s="708">
        <f t="shared" si="3"/>
        <v>0</v>
      </c>
      <c r="M27" s="708">
        <f t="shared" ca="1" si="3"/>
        <v>0</v>
      </c>
      <c r="N27" s="708">
        <f t="shared" si="3"/>
        <v>2220.4715454029506</v>
      </c>
      <c r="O27" s="708">
        <f t="shared" ca="1" si="3"/>
        <v>3838.2237448899523</v>
      </c>
      <c r="P27" s="708">
        <f t="shared" si="3"/>
        <v>96.926666666666677</v>
      </c>
      <c r="Q27" s="708">
        <f t="shared" si="3"/>
        <v>362.26666666666665</v>
      </c>
      <c r="R27" s="708">
        <f t="shared" ca="1" si="3"/>
        <v>141257.38081756129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1189.4454382988249</v>
      </c>
      <c r="D40" s="1025">
        <f ca="1">tertiair!C20</f>
        <v>0</v>
      </c>
      <c r="E40" s="1025">
        <f ca="1">tertiair!D20</f>
        <v>1662.6457481221128</v>
      </c>
      <c r="F40" s="1025">
        <f>tertiair!E20</f>
        <v>14.2712599164136</v>
      </c>
      <c r="G40" s="1025">
        <f ca="1">tertiair!F20</f>
        <v>214.68125361199102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3081.0436999493422</v>
      </c>
    </row>
    <row r="41" spans="1:18">
      <c r="A41" s="823" t="s">
        <v>225</v>
      </c>
      <c r="B41" s="830"/>
      <c r="C41" s="1025">
        <f ca="1">huishoudens!B12</f>
        <v>3167.678100982007</v>
      </c>
      <c r="D41" s="1025">
        <f ca="1">huishoudens!C12</f>
        <v>0</v>
      </c>
      <c r="E41" s="1025">
        <f>huishoudens!D12</f>
        <v>6764.5012497540702</v>
      </c>
      <c r="F41" s="1025">
        <f>huishoudens!E12</f>
        <v>125.74750975466716</v>
      </c>
      <c r="G41" s="1025">
        <f>huishoudens!F12</f>
        <v>4166.3722485037579</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14224.299108994503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887.99571971576802</v>
      </c>
      <c r="D43" s="1025">
        <f ca="1">industrie!C22</f>
        <v>0</v>
      </c>
      <c r="E43" s="1025">
        <f>industrie!D22</f>
        <v>300.31101244136062</v>
      </c>
      <c r="F43" s="1025">
        <f>industrie!E22</f>
        <v>59.843386623897004</v>
      </c>
      <c r="G43" s="1025">
        <f>industrie!F22</f>
        <v>285.68564406213278</v>
      </c>
      <c r="H43" s="1025">
        <f>industrie!G22</f>
        <v>0</v>
      </c>
      <c r="I43" s="1025">
        <f>industrie!H22</f>
        <v>0</v>
      </c>
      <c r="J43" s="1025">
        <f>industrie!I22</f>
        <v>0</v>
      </c>
      <c r="K43" s="1025">
        <f>industrie!J22</f>
        <v>5.5721327759178232</v>
      </c>
      <c r="L43" s="1025">
        <f>industrie!K22</f>
        <v>0</v>
      </c>
      <c r="M43" s="1025">
        <f>industrie!L22</f>
        <v>0</v>
      </c>
      <c r="N43" s="1025">
        <f>industrie!M22</f>
        <v>0</v>
      </c>
      <c r="O43" s="1025">
        <f>industrie!N22</f>
        <v>0</v>
      </c>
      <c r="P43" s="1025">
        <f>industrie!O22</f>
        <v>0</v>
      </c>
      <c r="Q43" s="775">
        <f>industrie!P22</f>
        <v>0</v>
      </c>
      <c r="R43" s="850">
        <f t="shared" ca="1" si="4"/>
        <v>1539.4078956190763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5245.1192589966004</v>
      </c>
      <c r="D46" s="733">
        <f t="shared" ref="D46:Q46" ca="1" si="5">SUM(D39:D45)</f>
        <v>0</v>
      </c>
      <c r="E46" s="733">
        <f t="shared" ca="1" si="5"/>
        <v>8727.4580103175431</v>
      </c>
      <c r="F46" s="733">
        <f t="shared" si="5"/>
        <v>199.86215629497778</v>
      </c>
      <c r="G46" s="733">
        <f t="shared" ca="1" si="5"/>
        <v>4666.7391461778825</v>
      </c>
      <c r="H46" s="733">
        <f t="shared" si="5"/>
        <v>0</v>
      </c>
      <c r="I46" s="733">
        <f t="shared" si="5"/>
        <v>0</v>
      </c>
      <c r="J46" s="733">
        <f t="shared" si="5"/>
        <v>0</v>
      </c>
      <c r="K46" s="733">
        <f t="shared" si="5"/>
        <v>5.5721327759178232</v>
      </c>
      <c r="L46" s="733">
        <f t="shared" si="5"/>
        <v>0</v>
      </c>
      <c r="M46" s="733">
        <f t="shared" ca="1" si="5"/>
        <v>0</v>
      </c>
      <c r="N46" s="733">
        <f t="shared" si="5"/>
        <v>0</v>
      </c>
      <c r="O46" s="733">
        <f t="shared" ca="1" si="5"/>
        <v>0</v>
      </c>
      <c r="P46" s="733">
        <f t="shared" si="5"/>
        <v>0</v>
      </c>
      <c r="Q46" s="733">
        <f t="shared" si="5"/>
        <v>0</v>
      </c>
      <c r="R46" s="733">
        <f ca="1">SUM(R39:R45)</f>
        <v>18844.750704562921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285.47771346980005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285.47771346980005</v>
      </c>
    </row>
    <row r="50" spans="1:18">
      <c r="A50" s="826" t="s">
        <v>307</v>
      </c>
      <c r="B50" s="836"/>
      <c r="C50" s="704">
        <f ca="1">transport!B18</f>
        <v>0.97732647429192077</v>
      </c>
      <c r="D50" s="704">
        <f>transport!C18</f>
        <v>0</v>
      </c>
      <c r="E50" s="704">
        <f>transport!D18</f>
        <v>3.9139197013441893</v>
      </c>
      <c r="F50" s="704">
        <f>transport!E18</f>
        <v>27.504175106301897</v>
      </c>
      <c r="G50" s="704">
        <f>transport!F18</f>
        <v>0</v>
      </c>
      <c r="H50" s="704">
        <f>transport!G18</f>
        <v>8942.8315677465653</v>
      </c>
      <c r="I50" s="704">
        <f>transport!H18</f>
        <v>1795.9762640514441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10771.203253079946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0.97732647429192077</v>
      </c>
      <c r="D52" s="733">
        <f t="shared" ref="D52:Q52" ca="1" si="6">SUM(D48:D51)</f>
        <v>0</v>
      </c>
      <c r="E52" s="733">
        <f t="shared" si="6"/>
        <v>3.9139197013441893</v>
      </c>
      <c r="F52" s="733">
        <f t="shared" si="6"/>
        <v>27.504175106301897</v>
      </c>
      <c r="G52" s="733">
        <f t="shared" si="6"/>
        <v>0</v>
      </c>
      <c r="H52" s="733">
        <f t="shared" si="6"/>
        <v>9228.309281216365</v>
      </c>
      <c r="I52" s="733">
        <f t="shared" si="6"/>
        <v>1795.9762640514441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11056.680966549746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90.034191724488267</v>
      </c>
      <c r="D54" s="704">
        <f ca="1">+landbouw!C12</f>
        <v>0</v>
      </c>
      <c r="E54" s="704">
        <f>+landbouw!D12</f>
        <v>58.826388888569724</v>
      </c>
      <c r="F54" s="704">
        <f>+landbouw!E12</f>
        <v>0.99867153165873879</v>
      </c>
      <c r="G54" s="704">
        <f>+landbouw!F12</f>
        <v>321.7634687648744</v>
      </c>
      <c r="H54" s="704">
        <f>+landbouw!G12</f>
        <v>0</v>
      </c>
      <c r="I54" s="704">
        <f>+landbouw!H12</f>
        <v>0</v>
      </c>
      <c r="J54" s="704">
        <f>+landbouw!I12</f>
        <v>0</v>
      </c>
      <c r="K54" s="704">
        <f>+landbouw!J12</f>
        <v>25.778012445581798</v>
      </c>
      <c r="L54" s="704">
        <f>+landbouw!K12</f>
        <v>0</v>
      </c>
      <c r="M54" s="704">
        <f>+landbouw!L12</f>
        <v>0</v>
      </c>
      <c r="N54" s="704">
        <f>+landbouw!M12</f>
        <v>0</v>
      </c>
      <c r="O54" s="704">
        <f>+landbouw!N12</f>
        <v>0</v>
      </c>
      <c r="P54" s="704">
        <f>+landbouw!O12</f>
        <v>0</v>
      </c>
      <c r="Q54" s="705">
        <f>+landbouw!P12</f>
        <v>0</v>
      </c>
      <c r="R54" s="732">
        <f ca="1">SUM(C54:Q54)</f>
        <v>497.40073335517297</v>
      </c>
    </row>
    <row r="55" spans="1:18" ht="15" thickBot="1">
      <c r="A55" s="826" t="s">
        <v>864</v>
      </c>
      <c r="B55" s="836"/>
      <c r="C55" s="704">
        <f ca="1">C25*'EF ele_warmte'!B12</f>
        <v>133.44194731756539</v>
      </c>
      <c r="D55" s="704"/>
      <c r="E55" s="704">
        <f>E25*EF_CO2_aardgas</f>
        <v>164.6352762930963</v>
      </c>
      <c r="F55" s="704"/>
      <c r="G55" s="704"/>
      <c r="H55" s="704"/>
      <c r="I55" s="704"/>
      <c r="J55" s="704"/>
      <c r="K55" s="704"/>
      <c r="L55" s="704"/>
      <c r="M55" s="704"/>
      <c r="N55" s="704"/>
      <c r="O55" s="704"/>
      <c r="P55" s="704"/>
      <c r="Q55" s="705"/>
      <c r="R55" s="732">
        <f ca="1">SUM(C55:Q55)</f>
        <v>298.07722361066169</v>
      </c>
    </row>
    <row r="56" spans="1:18" ht="15.75" thickBot="1">
      <c r="A56" s="824" t="s">
        <v>865</v>
      </c>
      <c r="B56" s="837"/>
      <c r="C56" s="733">
        <f ca="1">SUM(C54:C55)</f>
        <v>223.47613904205366</v>
      </c>
      <c r="D56" s="733">
        <f t="shared" ref="D56:Q56" ca="1" si="7">SUM(D54:D55)</f>
        <v>0</v>
      </c>
      <c r="E56" s="733">
        <f t="shared" si="7"/>
        <v>223.46166518166604</v>
      </c>
      <c r="F56" s="733">
        <f t="shared" si="7"/>
        <v>0.99867153165873879</v>
      </c>
      <c r="G56" s="733">
        <f t="shared" si="7"/>
        <v>321.7634687648744</v>
      </c>
      <c r="H56" s="733">
        <f t="shared" si="7"/>
        <v>0</v>
      </c>
      <c r="I56" s="733">
        <f t="shared" si="7"/>
        <v>0</v>
      </c>
      <c r="J56" s="733">
        <f t="shared" si="7"/>
        <v>0</v>
      </c>
      <c r="K56" s="733">
        <f t="shared" si="7"/>
        <v>25.778012445581798</v>
      </c>
      <c r="L56" s="733">
        <f t="shared" si="7"/>
        <v>0</v>
      </c>
      <c r="M56" s="733">
        <f t="shared" si="7"/>
        <v>0</v>
      </c>
      <c r="N56" s="733">
        <f t="shared" si="7"/>
        <v>0</v>
      </c>
      <c r="O56" s="733">
        <f t="shared" si="7"/>
        <v>0</v>
      </c>
      <c r="P56" s="733">
        <f t="shared" si="7"/>
        <v>0</v>
      </c>
      <c r="Q56" s="734">
        <f t="shared" si="7"/>
        <v>0</v>
      </c>
      <c r="R56" s="735">
        <f ca="1">SUM(R54:R55)</f>
        <v>795.47795696583466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5469.5727245129456</v>
      </c>
      <c r="D61" s="741">
        <f t="shared" ref="D61:Q61" ca="1" si="8">D46+D52+D56</f>
        <v>0</v>
      </c>
      <c r="E61" s="741">
        <f t="shared" ca="1" si="8"/>
        <v>8954.8335952005546</v>
      </c>
      <c r="F61" s="741">
        <f t="shared" si="8"/>
        <v>228.36500293293841</v>
      </c>
      <c r="G61" s="741">
        <f t="shared" ca="1" si="8"/>
        <v>4988.5026149427567</v>
      </c>
      <c r="H61" s="741">
        <f t="shared" si="8"/>
        <v>9228.309281216365</v>
      </c>
      <c r="I61" s="741">
        <f t="shared" si="8"/>
        <v>1795.9762640514441</v>
      </c>
      <c r="J61" s="741">
        <f t="shared" si="8"/>
        <v>0</v>
      </c>
      <c r="K61" s="741">
        <f t="shared" si="8"/>
        <v>31.35014522149962</v>
      </c>
      <c r="L61" s="741">
        <f t="shared" si="8"/>
        <v>0</v>
      </c>
      <c r="M61" s="741">
        <f t="shared" ca="1" si="8"/>
        <v>0</v>
      </c>
      <c r="N61" s="741">
        <f t="shared" si="8"/>
        <v>0</v>
      </c>
      <c r="O61" s="741">
        <f t="shared" ca="1" si="8"/>
        <v>0</v>
      </c>
      <c r="P61" s="741">
        <f t="shared" si="8"/>
        <v>0</v>
      </c>
      <c r="Q61" s="741">
        <f t="shared" si="8"/>
        <v>0</v>
      </c>
      <c r="R61" s="741">
        <f ca="1">R46+R52+R56</f>
        <v>30696.909628078502</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0.1895549250499988</v>
      </c>
      <c r="D63" s="782">
        <f t="shared" ca="1" si="9"/>
        <v>0</v>
      </c>
      <c r="E63" s="1036">
        <f t="shared" ca="1" si="9"/>
        <v>0.20200000000000004</v>
      </c>
      <c r="F63" s="782">
        <f t="shared" si="9"/>
        <v>0.22700000000000004</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2102.3287535619097</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2003.2906656772691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4105.6194192391786</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2102.3287535619097</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2003.2906656772691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4105.6194192391786</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16711.135836467824</v>
      </c>
      <c r="C4" s="478">
        <f>huishoudens!C8</f>
        <v>0</v>
      </c>
      <c r="D4" s="478">
        <f>huishoudens!D8</f>
        <v>33487.629949277572</v>
      </c>
      <c r="E4" s="478">
        <f>huishoudens!E8</f>
        <v>553.95378746549409</v>
      </c>
      <c r="F4" s="478">
        <f>huishoudens!F8</f>
        <v>15604.3904438343</v>
      </c>
      <c r="G4" s="478">
        <f>huishoudens!G8</f>
        <v>0</v>
      </c>
      <c r="H4" s="478">
        <f>huishoudens!H8</f>
        <v>0</v>
      </c>
      <c r="I4" s="478">
        <f>huishoudens!I8</f>
        <v>0</v>
      </c>
      <c r="J4" s="478">
        <f>huishoudens!J8</f>
        <v>0</v>
      </c>
      <c r="K4" s="478">
        <f>huishoudens!K8</f>
        <v>0</v>
      </c>
      <c r="L4" s="478">
        <f>huishoudens!L8</f>
        <v>0</v>
      </c>
      <c r="M4" s="478">
        <f>huishoudens!M8</f>
        <v>0</v>
      </c>
      <c r="N4" s="478">
        <f>huishoudens!N8</f>
        <v>2747.1178554245121</v>
      </c>
      <c r="O4" s="478">
        <f>huishoudens!O8</f>
        <v>96.926666666666677</v>
      </c>
      <c r="P4" s="479">
        <f>huishoudens!P8</f>
        <v>362.26666666666665</v>
      </c>
      <c r="Q4" s="480">
        <f>SUM(B4:P4)</f>
        <v>69563.421205803024</v>
      </c>
    </row>
    <row r="5" spans="1:17">
      <c r="A5" s="477" t="s">
        <v>156</v>
      </c>
      <c r="B5" s="478">
        <f ca="1">tertiair!B16</f>
        <v>5518.2521900000002</v>
      </c>
      <c r="C5" s="478">
        <f ca="1">tertiair!C16</f>
        <v>0</v>
      </c>
      <c r="D5" s="478">
        <f ca="1">tertiair!D16</f>
        <v>8230.9195451589731</v>
      </c>
      <c r="E5" s="478">
        <f>tertiair!E16</f>
        <v>62.86898641591894</v>
      </c>
      <c r="F5" s="478">
        <f ca="1">tertiair!F16</f>
        <v>804.04963899622101</v>
      </c>
      <c r="G5" s="478">
        <f>tertiair!G16</f>
        <v>0</v>
      </c>
      <c r="H5" s="478">
        <f>tertiair!H16</f>
        <v>0</v>
      </c>
      <c r="I5" s="478">
        <f>tertiair!I16</f>
        <v>0</v>
      </c>
      <c r="J5" s="478">
        <f>tertiair!J16</f>
        <v>0</v>
      </c>
      <c r="K5" s="478">
        <f>tertiair!K16</f>
        <v>0</v>
      </c>
      <c r="L5" s="478">
        <f ca="1">tertiair!L16</f>
        <v>0</v>
      </c>
      <c r="M5" s="478">
        <f>tertiair!M16</f>
        <v>0</v>
      </c>
      <c r="N5" s="478">
        <f ca="1">tertiair!N16</f>
        <v>344.12147374913349</v>
      </c>
      <c r="O5" s="478">
        <f>tertiair!O16</f>
        <v>0</v>
      </c>
      <c r="P5" s="479">
        <f>tertiair!P16</f>
        <v>0</v>
      </c>
      <c r="Q5" s="477">
        <f t="shared" ref="Q5:Q14" ca="1" si="0">SUM(B5:P5)</f>
        <v>14960.211834320246</v>
      </c>
    </row>
    <row r="6" spans="1:17">
      <c r="A6" s="477" t="s">
        <v>194</v>
      </c>
      <c r="B6" s="478">
        <f>'openbare verlichting'!B8</f>
        <v>756.68600000000004</v>
      </c>
      <c r="C6" s="478"/>
      <c r="D6" s="478"/>
      <c r="E6" s="478"/>
      <c r="F6" s="478"/>
      <c r="G6" s="478"/>
      <c r="H6" s="478"/>
      <c r="I6" s="478"/>
      <c r="J6" s="478"/>
      <c r="K6" s="478"/>
      <c r="L6" s="478"/>
      <c r="M6" s="478"/>
      <c r="N6" s="478"/>
      <c r="O6" s="478"/>
      <c r="P6" s="479"/>
      <c r="Q6" s="477">
        <f t="shared" si="0"/>
        <v>756.68600000000004</v>
      </c>
    </row>
    <row r="7" spans="1:17">
      <c r="A7" s="477" t="s">
        <v>112</v>
      </c>
      <c r="B7" s="478">
        <f>landbouw!B8</f>
        <v>474.97680000000003</v>
      </c>
      <c r="C7" s="478">
        <f>landbouw!C8</f>
        <v>0</v>
      </c>
      <c r="D7" s="478">
        <f>landbouw!D8</f>
        <v>291.21974697311742</v>
      </c>
      <c r="E7" s="478">
        <f>landbouw!E8</f>
        <v>4.3994340601706554</v>
      </c>
      <c r="F7" s="478">
        <f>landbouw!F8</f>
        <v>1205.1066245875445</v>
      </c>
      <c r="G7" s="478">
        <f>landbouw!G8</f>
        <v>0</v>
      </c>
      <c r="H7" s="478">
        <f>landbouw!H8</f>
        <v>0</v>
      </c>
      <c r="I7" s="478">
        <f>landbouw!I8</f>
        <v>0</v>
      </c>
      <c r="J7" s="478">
        <f>landbouw!J8</f>
        <v>72.819244196558756</v>
      </c>
      <c r="K7" s="478">
        <f>landbouw!K8</f>
        <v>0</v>
      </c>
      <c r="L7" s="478">
        <f>landbouw!L8</f>
        <v>0</v>
      </c>
      <c r="M7" s="478">
        <f>landbouw!M8</f>
        <v>0</v>
      </c>
      <c r="N7" s="478">
        <f>landbouw!N8</f>
        <v>0</v>
      </c>
      <c r="O7" s="478">
        <f>landbouw!O8</f>
        <v>0</v>
      </c>
      <c r="P7" s="479">
        <f>landbouw!P8</f>
        <v>0</v>
      </c>
      <c r="Q7" s="477">
        <f t="shared" si="0"/>
        <v>2048.5218498173913</v>
      </c>
    </row>
    <row r="8" spans="1:17">
      <c r="A8" s="477" t="s">
        <v>650</v>
      </c>
      <c r="B8" s="478">
        <f>industrie!B18</f>
        <v>4684.63544</v>
      </c>
      <c r="C8" s="478">
        <f>industrie!C18</f>
        <v>0</v>
      </c>
      <c r="D8" s="478">
        <f>industrie!D18</f>
        <v>1486.6881804027753</v>
      </c>
      <c r="E8" s="478">
        <f>industrie!E18</f>
        <v>263.62725384976653</v>
      </c>
      <c r="F8" s="478">
        <f>industrie!F18</f>
        <v>1069.9836856259653</v>
      </c>
      <c r="G8" s="478">
        <f>industrie!G18</f>
        <v>0</v>
      </c>
      <c r="H8" s="478">
        <f>industrie!H18</f>
        <v>0</v>
      </c>
      <c r="I8" s="478">
        <f>industrie!I18</f>
        <v>0</v>
      </c>
      <c r="J8" s="478">
        <f>industrie!J18</f>
        <v>15.740488067564472</v>
      </c>
      <c r="K8" s="478">
        <f>industrie!K18</f>
        <v>0</v>
      </c>
      <c r="L8" s="478">
        <f>industrie!L18</f>
        <v>0</v>
      </c>
      <c r="M8" s="478">
        <f>industrie!M18</f>
        <v>0</v>
      </c>
      <c r="N8" s="478">
        <f>industrie!N18</f>
        <v>746.98441571630667</v>
      </c>
      <c r="O8" s="478">
        <f>industrie!O18</f>
        <v>0</v>
      </c>
      <c r="P8" s="479">
        <f>industrie!P18</f>
        <v>0</v>
      </c>
      <c r="Q8" s="477">
        <f t="shared" si="0"/>
        <v>8267.6594636623795</v>
      </c>
    </row>
    <row r="9" spans="1:17" s="483" customFormat="1">
      <c r="A9" s="481" t="s">
        <v>571</v>
      </c>
      <c r="B9" s="482">
        <f>transport!B14</f>
        <v>5.1559012462173275</v>
      </c>
      <c r="C9" s="482">
        <f>transport!C14</f>
        <v>0</v>
      </c>
      <c r="D9" s="482">
        <f>transport!D14</f>
        <v>19.375840105664302</v>
      </c>
      <c r="E9" s="482">
        <f>transport!E14</f>
        <v>121.16376698811408</v>
      </c>
      <c r="F9" s="482">
        <f>transport!F14</f>
        <v>0</v>
      </c>
      <c r="G9" s="482">
        <f>transport!G14</f>
        <v>33493.751190062037</v>
      </c>
      <c r="H9" s="482">
        <f>transport!H14</f>
        <v>7212.7560805278881</v>
      </c>
      <c r="I9" s="482">
        <f>transport!I14</f>
        <v>0</v>
      </c>
      <c r="J9" s="482">
        <f>transport!J14</f>
        <v>0</v>
      </c>
      <c r="K9" s="482">
        <f>transport!K14</f>
        <v>0</v>
      </c>
      <c r="L9" s="482">
        <f>transport!L14</f>
        <v>0</v>
      </c>
      <c r="M9" s="482">
        <f>transport!M14</f>
        <v>2159.4979057524188</v>
      </c>
      <c r="N9" s="482">
        <f>transport!N14</f>
        <v>0</v>
      </c>
      <c r="O9" s="482">
        <f>transport!O14</f>
        <v>0</v>
      </c>
      <c r="P9" s="482">
        <f>transport!P14</f>
        <v>0</v>
      </c>
      <c r="Q9" s="481">
        <f>SUM(B9:P9)</f>
        <v>43011.700684682335</v>
      </c>
    </row>
    <row r="10" spans="1:17">
      <c r="A10" s="477" t="s">
        <v>561</v>
      </c>
      <c r="B10" s="478">
        <f>transport!B54</f>
        <v>0</v>
      </c>
      <c r="C10" s="478">
        <f>transport!C54</f>
        <v>0</v>
      </c>
      <c r="D10" s="478">
        <f>transport!D54</f>
        <v>0</v>
      </c>
      <c r="E10" s="478">
        <f>transport!E54</f>
        <v>0</v>
      </c>
      <c r="F10" s="478">
        <f>transport!F54</f>
        <v>0</v>
      </c>
      <c r="G10" s="478">
        <f>transport!G54</f>
        <v>1069.2049193625469</v>
      </c>
      <c r="H10" s="478">
        <f>transport!H54</f>
        <v>0</v>
      </c>
      <c r="I10" s="478">
        <f>transport!I54</f>
        <v>0</v>
      </c>
      <c r="J10" s="478">
        <f>transport!J54</f>
        <v>0</v>
      </c>
      <c r="K10" s="478">
        <f>transport!K54</f>
        <v>0</v>
      </c>
      <c r="L10" s="478">
        <f>transport!L54</f>
        <v>0</v>
      </c>
      <c r="M10" s="478">
        <f>transport!M54</f>
        <v>60.973639650531922</v>
      </c>
      <c r="N10" s="478">
        <f>transport!N54</f>
        <v>0</v>
      </c>
      <c r="O10" s="478">
        <f>transport!O54</f>
        <v>0</v>
      </c>
      <c r="P10" s="479">
        <f>transport!P54</f>
        <v>0</v>
      </c>
      <c r="Q10" s="477">
        <f t="shared" si="0"/>
        <v>1130.1785590130787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703.9751</v>
      </c>
      <c r="C14" s="485"/>
      <c r="D14" s="485">
        <f>'SEAP template'!E25</f>
        <v>815.02612026285294</v>
      </c>
      <c r="E14" s="485"/>
      <c r="F14" s="485"/>
      <c r="G14" s="485"/>
      <c r="H14" s="485"/>
      <c r="I14" s="485"/>
      <c r="J14" s="485"/>
      <c r="K14" s="485"/>
      <c r="L14" s="485"/>
      <c r="M14" s="485"/>
      <c r="N14" s="485"/>
      <c r="O14" s="485"/>
      <c r="P14" s="486"/>
      <c r="Q14" s="477">
        <f t="shared" si="0"/>
        <v>1519.0012202628529</v>
      </c>
    </row>
    <row r="15" spans="1:17" s="487" customFormat="1">
      <c r="A15" s="1051" t="s">
        <v>565</v>
      </c>
      <c r="B15" s="991">
        <f ca="1">SUM(B4:B14)</f>
        <v>28854.817267714043</v>
      </c>
      <c r="C15" s="991">
        <f t="shared" ref="C15:Q15" ca="1" si="1">SUM(C4:C14)</f>
        <v>0</v>
      </c>
      <c r="D15" s="991">
        <f t="shared" ca="1" si="1"/>
        <v>44330.859382180955</v>
      </c>
      <c r="E15" s="991">
        <f t="shared" si="1"/>
        <v>1006.0132287794643</v>
      </c>
      <c r="F15" s="991">
        <f t="shared" ca="1" si="1"/>
        <v>18683.530393044031</v>
      </c>
      <c r="G15" s="991">
        <f t="shared" si="1"/>
        <v>34562.956109424587</v>
      </c>
      <c r="H15" s="991">
        <f t="shared" si="1"/>
        <v>7212.7560805278881</v>
      </c>
      <c r="I15" s="991">
        <f t="shared" si="1"/>
        <v>0</v>
      </c>
      <c r="J15" s="991">
        <f t="shared" si="1"/>
        <v>88.559732264123227</v>
      </c>
      <c r="K15" s="991">
        <f t="shared" si="1"/>
        <v>0</v>
      </c>
      <c r="L15" s="991">
        <f t="shared" ca="1" si="1"/>
        <v>0</v>
      </c>
      <c r="M15" s="991">
        <f t="shared" si="1"/>
        <v>2220.4715454029506</v>
      </c>
      <c r="N15" s="991">
        <f t="shared" ca="1" si="1"/>
        <v>3838.2237448899523</v>
      </c>
      <c r="O15" s="991">
        <f t="shared" si="1"/>
        <v>96.926666666666677</v>
      </c>
      <c r="P15" s="991">
        <f t="shared" si="1"/>
        <v>362.26666666666665</v>
      </c>
      <c r="Q15" s="991">
        <f t="shared" ca="1" si="1"/>
        <v>141257.38081756132</v>
      </c>
    </row>
    <row r="17" spans="1:17">
      <c r="A17" s="488" t="s">
        <v>566</v>
      </c>
      <c r="B17" s="787">
        <f ca="1">huishoudens!B10</f>
        <v>0.18955492504999877</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3167.678100982007</v>
      </c>
      <c r="C22" s="478">
        <f t="shared" ref="C22:C32" ca="1" si="3">C4*$C$17</f>
        <v>0</v>
      </c>
      <c r="D22" s="478">
        <f t="shared" ref="D22:D32" si="4">D4*$D$17</f>
        <v>6764.5012497540702</v>
      </c>
      <c r="E22" s="478">
        <f t="shared" ref="E22:E32" si="5">E4*$E$17</f>
        <v>125.74750975466716</v>
      </c>
      <c r="F22" s="478">
        <f t="shared" ref="F22:F32" si="6">F4*$F$17</f>
        <v>4166.3722485037579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14224.299108994503</v>
      </c>
    </row>
    <row r="23" spans="1:17">
      <c r="A23" s="477" t="s">
        <v>156</v>
      </c>
      <c r="B23" s="478">
        <f t="shared" ca="1" si="2"/>
        <v>1046.0118802824416</v>
      </c>
      <c r="C23" s="478">
        <f t="shared" ca="1" si="3"/>
        <v>0</v>
      </c>
      <c r="D23" s="478">
        <f t="shared" ca="1" si="4"/>
        <v>1662.6457481221128</v>
      </c>
      <c r="E23" s="478">
        <f t="shared" si="5"/>
        <v>14.2712599164136</v>
      </c>
      <c r="F23" s="478">
        <f t="shared" ca="1" si="6"/>
        <v>214.68125361199102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2937.6101419329589</v>
      </c>
    </row>
    <row r="24" spans="1:17">
      <c r="A24" s="477" t="s">
        <v>194</v>
      </c>
      <c r="B24" s="478">
        <f t="shared" ca="1" si="2"/>
        <v>143.43355801638339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143.43355801638339</v>
      </c>
    </row>
    <row r="25" spans="1:17">
      <c r="A25" s="477" t="s">
        <v>112</v>
      </c>
      <c r="B25" s="478">
        <f t="shared" ca="1" si="2"/>
        <v>90.034191724488267</v>
      </c>
      <c r="C25" s="478">
        <f t="shared" ca="1" si="3"/>
        <v>0</v>
      </c>
      <c r="D25" s="478">
        <f t="shared" si="4"/>
        <v>58.826388888569724</v>
      </c>
      <c r="E25" s="478">
        <f t="shared" si="5"/>
        <v>0.99867153165873879</v>
      </c>
      <c r="F25" s="478">
        <f t="shared" si="6"/>
        <v>321.7634687648744</v>
      </c>
      <c r="G25" s="478">
        <f t="shared" si="7"/>
        <v>0</v>
      </c>
      <c r="H25" s="478">
        <f t="shared" si="8"/>
        <v>0</v>
      </c>
      <c r="I25" s="478">
        <f t="shared" si="9"/>
        <v>0</v>
      </c>
      <c r="J25" s="478">
        <f t="shared" si="10"/>
        <v>25.778012445581798</v>
      </c>
      <c r="K25" s="478">
        <f t="shared" si="11"/>
        <v>0</v>
      </c>
      <c r="L25" s="478">
        <f t="shared" si="12"/>
        <v>0</v>
      </c>
      <c r="M25" s="478">
        <f t="shared" si="13"/>
        <v>0</v>
      </c>
      <c r="N25" s="478">
        <f t="shared" si="14"/>
        <v>0</v>
      </c>
      <c r="O25" s="478">
        <f t="shared" si="15"/>
        <v>0</v>
      </c>
      <c r="P25" s="479">
        <f t="shared" si="16"/>
        <v>0</v>
      </c>
      <c r="Q25" s="477">
        <f t="shared" ca="1" si="17"/>
        <v>497.40073335517297</v>
      </c>
    </row>
    <row r="26" spans="1:17">
      <c r="A26" s="477" t="s">
        <v>650</v>
      </c>
      <c r="B26" s="478">
        <f t="shared" ca="1" si="2"/>
        <v>887.99571971576802</v>
      </c>
      <c r="C26" s="478">
        <f t="shared" ca="1" si="3"/>
        <v>0</v>
      </c>
      <c r="D26" s="478">
        <f t="shared" si="4"/>
        <v>300.31101244136062</v>
      </c>
      <c r="E26" s="478">
        <f t="shared" si="5"/>
        <v>59.843386623897004</v>
      </c>
      <c r="F26" s="478">
        <f t="shared" si="6"/>
        <v>285.68564406213278</v>
      </c>
      <c r="G26" s="478">
        <f t="shared" si="7"/>
        <v>0</v>
      </c>
      <c r="H26" s="478">
        <f t="shared" si="8"/>
        <v>0</v>
      </c>
      <c r="I26" s="478">
        <f t="shared" si="9"/>
        <v>0</v>
      </c>
      <c r="J26" s="478">
        <f t="shared" si="10"/>
        <v>5.5721327759178232</v>
      </c>
      <c r="K26" s="478">
        <f t="shared" si="11"/>
        <v>0</v>
      </c>
      <c r="L26" s="478">
        <f t="shared" si="12"/>
        <v>0</v>
      </c>
      <c r="M26" s="478">
        <f t="shared" si="13"/>
        <v>0</v>
      </c>
      <c r="N26" s="478">
        <f t="shared" si="14"/>
        <v>0</v>
      </c>
      <c r="O26" s="478">
        <f t="shared" si="15"/>
        <v>0</v>
      </c>
      <c r="P26" s="479">
        <f t="shared" si="16"/>
        <v>0</v>
      </c>
      <c r="Q26" s="477">
        <f t="shared" ca="1" si="17"/>
        <v>1539.4078956190763</v>
      </c>
    </row>
    <row r="27" spans="1:17" s="483" customFormat="1">
      <c r="A27" s="481" t="s">
        <v>571</v>
      </c>
      <c r="B27" s="781">
        <f t="shared" ca="1" si="2"/>
        <v>0.97732647429192077</v>
      </c>
      <c r="C27" s="482">
        <f t="shared" ca="1" si="3"/>
        <v>0</v>
      </c>
      <c r="D27" s="482">
        <f t="shared" si="4"/>
        <v>3.9139197013441893</v>
      </c>
      <c r="E27" s="482">
        <f t="shared" si="5"/>
        <v>27.504175106301897</v>
      </c>
      <c r="F27" s="482">
        <f t="shared" si="6"/>
        <v>0</v>
      </c>
      <c r="G27" s="482">
        <f t="shared" si="7"/>
        <v>8942.8315677465653</v>
      </c>
      <c r="H27" s="482">
        <f t="shared" si="8"/>
        <v>1795.9762640514441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10771.203253079946</v>
      </c>
    </row>
    <row r="28" spans="1:17">
      <c r="A28" s="477" t="s">
        <v>561</v>
      </c>
      <c r="B28" s="478">
        <f t="shared" ca="1" si="2"/>
        <v>0</v>
      </c>
      <c r="C28" s="478">
        <f t="shared" ca="1" si="3"/>
        <v>0</v>
      </c>
      <c r="D28" s="478">
        <f t="shared" si="4"/>
        <v>0</v>
      </c>
      <c r="E28" s="478">
        <f t="shared" si="5"/>
        <v>0</v>
      </c>
      <c r="F28" s="478">
        <f t="shared" si="6"/>
        <v>0</v>
      </c>
      <c r="G28" s="478">
        <f t="shared" si="7"/>
        <v>285.47771346980005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285.47771346980005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133.44194731756539</v>
      </c>
      <c r="C32" s="478">
        <f t="shared" ca="1" si="3"/>
        <v>0</v>
      </c>
      <c r="D32" s="478">
        <f t="shared" si="4"/>
        <v>164.6352762930963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298.07722361066169</v>
      </c>
    </row>
    <row r="33" spans="1:17" s="487" customFormat="1">
      <c r="A33" s="1051" t="s">
        <v>565</v>
      </c>
      <c r="B33" s="991">
        <f ca="1">SUM(B22:B32)</f>
        <v>5469.5727245129465</v>
      </c>
      <c r="C33" s="991">
        <f t="shared" ref="C33:Q33" ca="1" si="18">SUM(C22:C32)</f>
        <v>0</v>
      </c>
      <c r="D33" s="991">
        <f t="shared" ca="1" si="18"/>
        <v>8954.8335952005546</v>
      </c>
      <c r="E33" s="991">
        <f t="shared" si="18"/>
        <v>228.36500293293841</v>
      </c>
      <c r="F33" s="991">
        <f t="shared" ca="1" si="18"/>
        <v>4988.5026149427567</v>
      </c>
      <c r="G33" s="991">
        <f t="shared" si="18"/>
        <v>9228.309281216365</v>
      </c>
      <c r="H33" s="991">
        <f t="shared" si="18"/>
        <v>1795.9762640514441</v>
      </c>
      <c r="I33" s="991">
        <f t="shared" si="18"/>
        <v>0</v>
      </c>
      <c r="J33" s="991">
        <f t="shared" si="18"/>
        <v>31.35014522149962</v>
      </c>
      <c r="K33" s="991">
        <f t="shared" si="18"/>
        <v>0</v>
      </c>
      <c r="L33" s="991">
        <f t="shared" ca="1" si="18"/>
        <v>0</v>
      </c>
      <c r="M33" s="991">
        <f t="shared" si="18"/>
        <v>0</v>
      </c>
      <c r="N33" s="991">
        <f t="shared" ca="1" si="18"/>
        <v>0</v>
      </c>
      <c r="O33" s="991">
        <f t="shared" si="18"/>
        <v>0</v>
      </c>
      <c r="P33" s="991">
        <f t="shared" si="18"/>
        <v>0</v>
      </c>
      <c r="Q33" s="991">
        <f t="shared" ca="1" si="18"/>
        <v>30696.909628078505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2102.3287535619097</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2003.2906656772691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4105.6194192391786</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0.18955492504999877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0.18955492504999877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2019-08-12T08:07:26Z</dcterms:modified>
</cp:coreProperties>
</file>