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K20"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L90" i="14"/>
  <c r="L18" i="59"/>
  <c r="L20" s="1"/>
  <c r="B98" i="18"/>
  <c r="F102" s="1"/>
  <c r="B17"/>
  <c r="B20" s="1"/>
  <c r="O77" i="14"/>
  <c r="O9" i="59" s="1"/>
  <c r="L10" i="18"/>
  <c r="E89" i="14"/>
  <c r="E19" i="59" s="1"/>
  <c r="D20" i="18"/>
  <c r="Q14" i="48"/>
  <c r="O10" i="59"/>
  <c r="N10"/>
  <c r="H90" i="14"/>
  <c r="H18" i="59"/>
  <c r="H20" s="1"/>
  <c r="C98" i="18"/>
  <c r="D101" s="1"/>
  <c r="P22" i="14"/>
  <c r="E20" i="59"/>
  <c r="L78" i="14"/>
  <c r="D14" i="48"/>
  <c r="K10" i="18"/>
  <c r="K78" i="14"/>
  <c r="M77"/>
  <c r="M9" i="59" s="1"/>
  <c r="H9" i="18"/>
  <c r="O9" s="1"/>
  <c r="Q22" i="14"/>
  <c r="L10" i="59"/>
  <c r="D22" i="14"/>
  <c r="L22"/>
  <c r="E10" i="59"/>
  <c r="B8" i="18"/>
  <c r="B10" s="1"/>
  <c r="F13" i="15"/>
  <c r="I77" i="14"/>
  <c r="I9" i="59" s="1"/>
  <c r="B13" i="15"/>
  <c r="N13"/>
  <c r="L13"/>
  <c r="F77" i="14"/>
  <c r="F9" i="59" s="1"/>
  <c r="I101" i="18"/>
  <c r="H8" s="1"/>
  <c r="E101"/>
  <c r="E8" s="1"/>
  <c r="F101"/>
  <c r="G101"/>
  <c r="I8" s="1"/>
  <c r="C101"/>
  <c r="B101"/>
  <c r="C8" s="1"/>
  <c r="H102"/>
  <c r="D102"/>
  <c r="G102"/>
  <c r="B102"/>
  <c r="C17" s="1"/>
  <c r="C89" i="14"/>
  <c r="C19" i="59" s="1"/>
  <c r="O19" i="18"/>
  <c r="N88" i="14"/>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I102" i="18"/>
  <c r="H17" s="1"/>
  <c r="M87" i="14" s="1"/>
  <c r="Q77"/>
  <c r="P9" i="59" s="1"/>
  <c r="E102" i="18"/>
  <c r="E17" s="1"/>
  <c r="O17" s="1"/>
  <c r="O20" s="1"/>
  <c r="O78" i="14"/>
  <c r="C102" i="18"/>
  <c r="J17" s="1"/>
  <c r="H101"/>
  <c r="J8" s="1"/>
  <c r="O8" s="1"/>
  <c r="O10" s="1"/>
  <c r="C77" i="14"/>
  <c r="C9" i="59" s="1"/>
  <c r="F76" i="14"/>
  <c r="E10" i="18"/>
  <c r="C20"/>
  <c r="D87" i="14"/>
  <c r="D17" i="59" s="1"/>
  <c r="D20" s="1"/>
  <c r="H10" i="18"/>
  <c r="M76" i="14"/>
  <c r="B88"/>
  <c r="B18" i="59" s="1"/>
  <c r="I17" i="18"/>
  <c r="D76" i="14"/>
  <c r="D8" i="59" s="1"/>
  <c r="D10" s="1"/>
  <c r="C10" i="18"/>
  <c r="C88" i="14"/>
  <c r="C18" i="59" s="1"/>
  <c r="I10" i="18"/>
  <c r="I76" i="14"/>
  <c r="I8" i="59" s="1"/>
  <c r="I10" s="1"/>
  <c r="B77" i="14"/>
  <c r="B9" i="59" s="1"/>
  <c r="Q88" i="14"/>
  <c r="P18" i="59" s="1"/>
  <c r="H14" i="15"/>
  <c r="H16" s="1"/>
  <c r="G14"/>
  <c r="G16" s="1"/>
  <c r="J20" i="18" l="1"/>
  <c r="J87" i="14"/>
  <c r="M90"/>
  <c r="M17" i="59"/>
  <c r="M20" s="1"/>
  <c r="M78" i="14"/>
  <c r="M8" i="59"/>
  <c r="M10" s="1"/>
  <c r="F78" i="14"/>
  <c r="F8" i="59"/>
  <c r="F10" s="1"/>
  <c r="I10" i="14"/>
  <c r="I16" s="1"/>
  <c r="H5" i="48"/>
  <c r="H10" i="14"/>
  <c r="H16" s="1"/>
  <c r="G5" i="48"/>
  <c r="H20" i="18"/>
  <c r="E20"/>
  <c r="F87" i="14"/>
  <c r="Q76"/>
  <c r="D78"/>
  <c r="I78"/>
  <c r="B76"/>
  <c r="J10" i="18"/>
  <c r="J76" i="14"/>
  <c r="I87"/>
  <c r="I17" i="59" s="1"/>
  <c r="I20" s="1"/>
  <c r="I20" i="18"/>
  <c r="D90" i="14"/>
  <c r="A31" i="23"/>
  <c r="A32"/>
  <c r="A33"/>
  <c r="J90" i="14" l="1"/>
  <c r="J17" i="59"/>
  <c r="J20" s="1"/>
  <c r="B78" i="14"/>
  <c r="B8" i="59"/>
  <c r="B10" s="1"/>
  <c r="J78" i="14"/>
  <c r="J8" i="59"/>
  <c r="J10" s="1"/>
  <c r="F90" i="14"/>
  <c r="F17" i="59"/>
  <c r="F20" s="1"/>
  <c r="Q78" i="14"/>
  <c r="B9" i="6" s="1"/>
  <c r="P8" i="59"/>
  <c r="P10" s="1"/>
  <c r="C87" i="14"/>
  <c r="Q87"/>
  <c r="B87"/>
  <c r="I90"/>
  <c r="C76"/>
  <c r="B11" i="44"/>
  <c r="B25"/>
  <c r="B24"/>
  <c r="C78" i="14" l="1"/>
  <c r="C8" i="59"/>
  <c r="C10" s="1"/>
  <c r="C90" i="14"/>
  <c r="C17" i="59"/>
  <c r="C20" s="1"/>
  <c r="Q90" i="14"/>
  <c r="B17" i="6" s="1"/>
  <c r="P17" i="59"/>
  <c r="P2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5"/>
  <c r="K24"/>
  <c r="K29"/>
  <c r="K26"/>
  <c r="K22"/>
  <c r="K27"/>
  <c r="K30"/>
  <c r="B7"/>
  <c r="C24" i="14"/>
  <c r="C26" s="1"/>
  <c r="J24" i="48"/>
  <c r="J32"/>
  <c r="J30"/>
  <c r="J27"/>
  <c r="J28"/>
  <c r="J31"/>
  <c r="J29"/>
  <c r="Q11" i="14"/>
  <c r="P4" i="48"/>
  <c r="P11" i="14"/>
  <c r="O4" i="48"/>
  <c r="I32"/>
  <c r="I28"/>
  <c r="I22"/>
  <c r="I26"/>
  <c r="I31"/>
  <c r="I24"/>
  <c r="I27"/>
  <c r="I30"/>
  <c r="I29"/>
  <c r="I25"/>
  <c r="D4"/>
  <c r="D22" s="1"/>
  <c r="E11" i="14"/>
  <c r="H32" i="48"/>
  <c r="H29"/>
  <c r="H28"/>
  <c r="H26"/>
  <c r="H22"/>
  <c r="H30"/>
  <c r="H25"/>
  <c r="H24"/>
  <c r="H23"/>
  <c r="D11" i="14"/>
  <c r="C4" i="48"/>
  <c r="G25"/>
  <c r="G24"/>
  <c r="G29"/>
  <c r="G26"/>
  <c r="G32"/>
  <c r="G22"/>
  <c r="G30"/>
  <c r="G23"/>
  <c r="C11" i="14"/>
  <c r="B4" i="48"/>
  <c r="F24"/>
  <c r="F32"/>
  <c r="F29"/>
  <c r="F30"/>
  <c r="F31"/>
  <c r="F27"/>
  <c r="F28"/>
  <c r="N31"/>
  <c r="N24"/>
  <c r="N32"/>
  <c r="N30"/>
  <c r="N29"/>
  <c r="N27"/>
  <c r="N28"/>
  <c r="C19" i="14"/>
  <c r="B10" i="48"/>
  <c r="E32"/>
  <c r="E24"/>
  <c r="E31"/>
  <c r="E28"/>
  <c r="E29"/>
  <c r="E30"/>
  <c r="M26"/>
  <c r="M25"/>
  <c r="M32"/>
  <c r="M22"/>
  <c r="M30"/>
  <c r="M29"/>
  <c r="M24"/>
  <c r="M23"/>
  <c r="L10" i="14"/>
  <c r="L16" s="1"/>
  <c r="L27" s="1"/>
  <c r="K5" i="48"/>
  <c r="D30"/>
  <c r="D29"/>
  <c r="D24"/>
  <c r="D28"/>
  <c r="D31"/>
  <c r="D32"/>
  <c r="L32"/>
  <c r="L28"/>
  <c r="L27"/>
  <c r="L22"/>
  <c r="L30"/>
  <c r="L31"/>
  <c r="L24"/>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K23"/>
  <c r="K33" s="1"/>
  <c r="K15"/>
  <c r="G13"/>
  <c r="H18" i="14"/>
  <c r="H13" i="48"/>
  <c r="H31" s="1"/>
  <c r="I18" i="14"/>
  <c r="P22" i="16"/>
  <c r="Q43" i="14" s="1"/>
  <c r="Q13"/>
  <c r="P8" i="48"/>
  <c r="P26" s="1"/>
  <c r="J10" i="14"/>
  <c r="J16" s="1"/>
  <c r="J27" s="1"/>
  <c r="J63" s="1"/>
  <c r="I5" i="48"/>
  <c r="F20" i="14"/>
  <c r="F22" s="1"/>
  <c r="E9" i="48"/>
  <c r="E27" s="1"/>
  <c r="P22"/>
  <c r="P33" s="1"/>
  <c r="P15"/>
  <c r="E20" i="14"/>
  <c r="E22" s="1"/>
  <c r="D9" i="48"/>
  <c r="D27" s="1"/>
  <c r="P10" i="14"/>
  <c r="O5" i="48"/>
  <c r="O23" s="1"/>
  <c r="J7"/>
  <c r="J25" s="1"/>
  <c r="K24" i="14"/>
  <c r="K26" s="1"/>
  <c r="C20"/>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Q63"/>
  <c r="P16"/>
  <c r="P27" s="1"/>
  <c r="Q46"/>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<sst xmlns="http://schemas.openxmlformats.org/spreadsheetml/2006/main" count="2419" uniqueCount="907">
  <si>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</si>
  <si>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</si>
  <si>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</si>
  <si>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</si>
  <si>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</si>
  <si>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</si>
  <si>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</si>
  <si>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</si>
  <si>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</si>
  <si>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</si>
  <si>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</si>
  <si>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</si>
  <si>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</si>
  <si>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</si>
  <si>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</si>
  <si>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</si>
  <si>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</si>
  <si>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</si>
  <si>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</si>
  <si>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</si>
  <si>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</si>
  <si>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</si>
  <si>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</si>
  <si>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</si>
  <si>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</si>
  <si>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</si>
  <si>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</si>
  <si>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</si>
  <si>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</si>
  <si>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</si>
  <si>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</si>
  <si>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</si>
  <si>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</si>
  <si>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</si>
  <si>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</si>
  <si>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</si>
  <si>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</si>
  <si>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</si>
  <si>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</si>
  <si>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</si>
  <si>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</si>
  <si>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</si>
  <si>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</si>
  <si>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</si>
  <si>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</si>
  <si>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</si>
  <si>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</si>
  <si>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</si>
  <si>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</si>
  <si>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</si>
  <si>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</si>
  <si>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</si>
  <si>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</si>
  <si>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</si>
  <si>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</si>
  <si>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</si>
  <si>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</si>
  <si>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</si>
  <si>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</si>
  <si>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</si>
  <si>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</si>
  <si>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</si>
  <si>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</si>
  <si>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</si>
  <si>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</si>
  <si>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</si>
  <si>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</si>
  <si>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</si>
  <si>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</si>
  <si>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</si>
  <si>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</si>
  <si>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</si>
  <si>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</si>
  <si>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</si>
  <si>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</si>
  <si>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</si>
  <si>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</si>
  <si>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</si>
  <si>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</si>
  <si>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</si>
  <si>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</si>
  <si>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</si>
  <si>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</si>
  <si>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</si>
  <si>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</si>
  <si>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</si>
  <si>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</si>
  <si>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</si>
  <si>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</si>
  <si>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</si>
  <si>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</si>
  <si>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</si>
  <si>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</si>
  <si>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</si>
  <si>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</si>
  <si>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</si>
  <si>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</si>
  <si>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</si>
  <si>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</si>
  <si>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</si>
  <si>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</si>
  <si>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</si>
  <si>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</si>
  <si>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</si>
  <si>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</si>
  <si>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</si>
  <si>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</si>
  <si>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</si>
  <si>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</si>
  <si>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</si>
  <si>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</si>
  <si>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</si>
  <si>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</si>
  <si>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</si>
  <si>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</si>
  <si>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</si>
  <si>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</si>
  <si>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</si>
  <si>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</si>
  <si>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</si>
  <si>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</si>
  <si>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</si>
  <si>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</si>
  <si>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</si>
  <si>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</si>
  <si>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</si>
  <si>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</si>
  <si>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</si>
  <si>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</si>
  <si>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</si>
  <si>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</si>
  <si>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</si>
  <si>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</si>
  <si>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</si>
  <si>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</si>
  <si>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</si>
  <si>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</si>
  <si>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</si>
  <si>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</si>
  <si>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</si>
  <si>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</si>
  <si>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</si>
  <si>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</si>
  <si>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</si>
  <si>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</si>
  <si>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</si>
  <si>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</si>
  <si>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</si>
  <si>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</si>
  <si>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</si>
  <si>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</si>
  <si>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</si>
  <si>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</si>
  <si>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</si>
  <si>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</si>
  <si>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</si>
  <si>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</si>
  <si>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</si>
  <si>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</si>
  <si>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</si>
  <si>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</si>
  <si>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</si>
  <si>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</si>
  <si>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</si>
  <si>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</si>
  <si>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</si>
  <si>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</si>
  <si>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</si>
  <si>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</si>
  <si>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</si>
  <si>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</si>
  <si>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</si>
  <si>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</si>
  <si>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</si>
  <si>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</si>
  <si>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</si>
  <si>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</si>
  <si>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</si>
  <si>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</si>
  <si>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</si>
  <si>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</si>
  <si>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</si>
  <si>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</si>
  <si>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</si>
  <si>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</si>
  <si>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</si>
  <si>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</si>
  <si>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</si>
  <si>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</si>
  <si>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</si>
  <si>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</si>
  <si>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</si>
  <si>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</si>
  <si>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</si>
  <si>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</si>
  <si>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</si>
  <si>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</si>
  <si>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</si>
  <si>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</si>
  <si>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</si>
  <si>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</si>
  <si>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</si>
  <si>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</si>
  <si>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</si>
  <si>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</si>
  <si>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</si>
  <si>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</si>
  <si>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</si>
  <si>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</si>
  <si>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</si>
  <si>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</si>
  <si>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</si>
  <si>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</si>
  <si>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</si>
  <si>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</si>
  <si>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</si>
  <si>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</si>
  <si>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</si>
  <si>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</si>
  <si>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</si>
  <si>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</si>
  <si>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</si>
  <si>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</si>
  <si>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</si>
  <si>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</si>
  <si>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</si>
  <si>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</si>
  <si>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</si>
  <si>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</si>
  <si>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</si>
  <si>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</si>
  <si>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</si>
  <si>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</si>
  <si>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</si>
  <si>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</si>
  <si>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</si>
  <si>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</si>
  <si>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</si>
  <si>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</si>
  <si>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</si>
  <si>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</si>
  <si>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</si>
  <si>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</si>
  <si>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</si>
  <si>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</si>
  <si>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</si>
  <si>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</si>
  <si>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</si>
  <si>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</si>
  <si>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</si>
  <si>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</si>
  <si>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</si>
  <si>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</si>
  <si>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</si>
  <si>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</si>
  <si>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</si>
  <si>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</si>
  <si>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</si>
  <si>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</si>
  <si>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</si>
  <si>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</si>
  <si>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</si>
  <si>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</si>
  <si>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</si>
  <si>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</si>
  <si>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</si>
  <si>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</si>
  <si>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</si>
  <si>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</si>
  <si>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</si>
  <si>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</si>
  <si>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</si>
  <si>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</si>
  <si>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</si>
  <si>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</si>
  <si>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</si>
  <si>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</si>
  <si>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</si>
  <si>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</si>
  <si>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</si>
  <si>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</si>
  <si>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</si>
  <si>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</si>
  <si>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</si>
  <si>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</si>
  <si>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</si>
  <si>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</si>
  <si>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</si>
  <si>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</si>
  <si>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</si>
  <si>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</si>
  <si>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</si>
  <si>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</si>
  <si>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</si>
  <si>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</si>
  <si>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</si>
  <si>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</si>
  <si>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</si>
  <si>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</si>
  <si>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</si>
  <si>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</si>
  <si>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</si>
  <si>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</si>
  <si>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</si>
  <si>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</si>
  <si>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</si>
  <si>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</si>
  <si>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</si>
  <si>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</si>
  <si>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</si>
  <si>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</si>
  <si>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</si>
  <si>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</si>
  <si>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</si>
  <si>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</si>
  <si>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</si>
  <si>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</si>
  <si>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</si>
  <si>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</si>
  <si>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</si>
  <si>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</si>
  <si>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</si>
  <si>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</si>
  <si>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</si>
  <si>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</si>
  <si>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</si>
  <si>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</si>
  <si>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</si>
  <si>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</si>
  <si>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</si>
  <si>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</si>
  <si>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</si>
  <si>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</si>
  <si>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</si>
  <si>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</si>
  <si>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</si>
  <si>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</si>
  <si>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</si>
  <si>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</si>
  <si>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</si>
  <si>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</si>
  <si>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</si>
  <si>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</si>
  <si>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</si>
  <si>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</si>
  <si>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</si>
  <si>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</si>
  <si>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</si>
  <si>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</si>
  <si>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</si>
  <si>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</si>
  <si>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</si>
  <si>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</si>
  <si>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</si>
  <si>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</si>
  <si>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</si>
  <si>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</si>
  <si>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</si>
  <si>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</si>
  <si>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</si>
  <si>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</si>
  <si>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</si>
  <si>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</si>
  <si>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</si>
  <si>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</si>
  <si>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</si>
  <si>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</si>
  <si>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</si>
  <si>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</si>
  <si>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</si>
  <si>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</si>
  <si>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</si>
  <si>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</si>
  <si>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</si>
  <si>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</si>
  <si>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</si>
  <si>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</si>
  <si>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</si>
  <si>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</si>
  <si>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</si>
  <si>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</si>
  <si>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</si>
  <si>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</si>
  <si>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</si>
  <si>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</si>
  <si>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</si>
  <si>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</si>
  <si>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</si>
  <si>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</si>
  <si>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</si>
  <si>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</si>
  <si>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</si>
  <si>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</si>
  <si>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</si>
  <si>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</si>
  <si>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</si>
  <si>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</si>
  <si>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</si>
  <si>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</si>
  <si>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</si>
  <si>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</si>
  <si>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</si>
  <si>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</si>
  <si>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</si>
  <si>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</si>
  <si>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</si>
  <si>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</si>
  <si>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</si>
  <si>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</si>
  <si>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</si>
  <si>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</si>
  <si>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</si>
  <si>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</si>
  <si>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</si>
  <si>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</si>
  <si>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</si>
  <si>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</si>
  <si>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</si>
  <si>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</si>
  <si>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</si>
  <si>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</si>
  <si>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</si>
  <si>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</si>
  <si>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</si>
  <si>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</si>
  <si>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</si>
  <si>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</si>
  <si>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</si>
  <si>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</si>
  <si>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</si>
  <si>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</si>
  <si>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</si>
  <si>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</si>
  <si>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</si>
  <si>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</si>
  <si>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</si>
  <si>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</si>
  <si>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</si>
  <si>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</si>
  <si>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</si>
  <si>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</si>
  <si>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</si>
  <si>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</si>
  <si>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</si>
  <si>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</si>
  <si>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</si>
  <si>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</si>
  <si>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</si>
  <si>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</si>
  <si>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</si>
  <si>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</si>
  <si>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</si>
  <si>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</si>
  <si>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</si>
  <si>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</si>
  <si>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</si>
  <si>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</si>
  <si>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</si>
  <si>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</si>
  <si>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</si>
  <si>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</si>
  <si>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</si>
  <si>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</si>
  <si>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</si>
  <si>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</si>
  <si>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</si>
  <si>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</si>
  <si>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</si>
  <si>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</si>
  <si>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</si>
  <si>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</si>
  <si>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</si>
  <si>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</si>
  <si>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</si>
  <si>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</si>
  <si>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</si>
  <si>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</si>
  <si>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</si>
  <si>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</si>
  <si>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</si>
  <si>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</si>
  <si>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</si>
  <si>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</si>
  <si>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</si>
  <si>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</si>
  <si>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</si>
  <si>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</si>
  <si>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</si>
  <si>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</si>
  <si>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</si>
  <si>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</si>
  <si>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</si>
  <si>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</si>
  <si>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</si>
  <si>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</si>
  <si>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</si>
  <si>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</si>
  <si>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</si>
  <si>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</si>
  <si>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</si>
  <si>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</si>
  <si>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</si>
  <si>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</si>
  <si>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</si>
  <si>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</si>
  <si>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</si>
  <si>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</si>
  <si>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</si>
  <si>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</si>
  <si>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</si>
  <si>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</si>
  <si>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</si>
  <si>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</si>
  <si>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</si>
  <si>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</si>
  <si>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</si>
  <si>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</si>
  <si>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</si>
  <si>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</si>
  <si>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</si>
  <si>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</si>
  <si>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</si>
  <si>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</si>
  <si>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</si>
  <si>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</si>
  <si>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</si>
  <si>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</si>
  <si>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</si>
  <si>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</si>
  <si>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</si>
  <si>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</si>
  <si>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</si>
  <si>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</si>
  <si>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</si>
  <si>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</si>
  <si>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</si>
  <si>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</si>
  <si>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</si>
  <si>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</si>
  <si>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</si>
  <si>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</si>
  <si>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</si>
  <si>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</si>
  <si>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</si>
  <si>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</si>
  <si>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</si>
  <si>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</si>
  <si>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</si>
  <si>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</si>
  <si>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</si>
  <si>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</si>
  <si>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</si>
  <si>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</si>
  <si>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</si>
  <si>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</si>
  <si>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</si>
  <si>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</si>
  <si>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</si>
  <si>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</si>
  <si>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</si>
  <si>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</si>
  <si>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</si>
  <si>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</si>
  <si>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</si>
  <si>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</si>
  <si>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</si>
  <si>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</si>
  <si>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</si>
  <si>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</si>
  <si>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</si>
  <si>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</si>
  <si>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</si>
  <si>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</si>
  <si>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</si>
  <si>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</si>
  <si>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</si>
  <si>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</si>
  <si>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</si>
  <si>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</si>
  <si>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</si>
  <si>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</si>
  <si>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</si>
  <si>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</si>
  <si>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</si>
  <si>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</si>
  <si>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</si>
  <si>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</si>
  <si>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</si>
  <si>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</si>
  <si>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</si>
  <si>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</si>
  <si>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</si>
  <si>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</si>
  <si>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</si>
  <si>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</si>
  <si>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</si>
  <si>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</si>
  <si>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</si>
  <si>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</si>
  <si>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</si>
  <si>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</si>
  <si>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</si>
  <si>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</si>
  <si>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</si>
  <si>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</si>
  <si>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</si>
  <si>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</si>
  <si>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</si>
  <si>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</si>
  <si>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</si>
  <si>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</si>
  <si>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</si>
  <si>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</si>
  <si>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</si>
  <si>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</si>
  <si>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</si>
  <si>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</si>
  <si>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</si>
  <si>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</si>
  <si>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</si>
  <si>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</si>
  <si>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</si>
  <si>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</si>
  <si>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</si>
  <si>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</si>
  <si>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</si>
  <si>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</si>
  <si>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</si>
  <si>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</si>
  <si>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</si>
  <si>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</si>
  <si>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</si>
  <si>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</si>
  <si>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</si>
  <si>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</si>
  <si>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</si>
  <si>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</si>
  <si>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</si>
  <si>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</si>
  <si>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</si>
  <si>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</si>
  <si>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</si>
  <si>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</si>
  <si>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</si>
  <si>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</si>
  <si>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</si>
  <si>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</si>
  <si>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</si>
  <si>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</si>
  <si>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</si>
  <si>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</si>
  <si>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</si>
  <si>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</si>
  <si>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</si>
  <si>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</si>
  <si>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</si>
  <si>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</si>
  <si>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</si>
  <si>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</si>
  <si>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</si>
  <si>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</si>
  <si>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</si>
  <si>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</si>
  <si>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</si>
  <si>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</si>
  <si>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</si>
  <si>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</si>
  <si>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</si>
  <si>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</si>
  <si>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</si>
  <si>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</si>
  <si>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</si>
  <si>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</si>
  <si>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</si>
  <si>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</si>
  <si>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</si>
  <si>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</si>
  <si>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</si>
  <si>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</si>
  <si>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</si>
  <si>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</si>
  <si>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</si>
  <si>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</si>
  <si>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</si>
  <si>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</si>
  <si>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</si>
  <si>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</si>
  <si>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</si>
  <si>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</si>
  <si>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</si>
  <si>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</si>
  <si>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</si>
  <si>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</si>
  <si>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</si>
  <si>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</si>
  <si>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</si>
  <si>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</si>
  <si>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</si>
  <si>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</si>
  <si>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</si>
  <si>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</si>
  <si>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</si>
  <si>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</si>
  <si>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</si>
  <si>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</si>
  <si>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</si>
  <si>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</si>
  <si>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</si>
  <si>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</si>
  <si>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</si>
  <si>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</si>
  <si>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</si>
  <si>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</si>
  <si>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</si>
  <si>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</si>
  <si>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</si>
  <si>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</si>
  <si>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</si>
  <si>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</si>
  <si>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</si>
  <si>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</si>
  <si>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</si>
  <si>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</si>
  <si>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</si>
  <si>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</si>
  <si>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</si>
  <si>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</si>
  <si>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</si>
  <si>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</si>
  <si>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</si>
  <si>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</si>
  <si>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</si>
  <si>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</si>
  <si>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</si>
  <si>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</si>
  <si>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</si>
  <si>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</si>
  <si>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</si>
  <si>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</si>
  <si>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</si>
  <si>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</si>
  <si>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</si>
  <si>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</si>
  <si>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</si>
  <si>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</si>
  <si>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</si>
  <si>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</si>
  <si>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</si>
  <si>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</si>
  <si>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</si>
  <si>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</si>
  <si>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</si>
  <si>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</si>
  <si>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</si>
  <si>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</si>
  <si>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</si>
  <si>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</si>
  <si>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</si>
  <si>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</si>
  <si>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</si>
  <si>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</si>
  <si>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</si>
  <si>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</si>
  <si>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</si>
  <si>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</si>
  <si>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</si>
  <si>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</si>
  <si>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</si>
  <si>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</si>
  <si>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</si>
  <si>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</si>
  <si>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</si>
  <si>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</si>
  <si>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</si>
  <si>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</si>
  <si>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</si>
  <si>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</si>
  <si>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</si>
  <si>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</si>
  <si>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</si>
  <si>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</si>
  <si>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</si>
  <si>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</si>
  <si>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</si>
  <si>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</si>
  <si>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</si>
  <si>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</si>
  <si>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</si>
  <si>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</si>
  <si>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</si>
  <si>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</si>
  <si>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</si>
  <si>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</si>
  <si>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</si>
  <si>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</si>
  <si>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</si>
  <si>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</si>
  <si>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</si>
  <si>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</si>
  <si>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</si>
  <si>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</si>
  <si>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</si>
  <si>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</si>
  <si>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</si>
  <si>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</si>
  <si>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</si>
  <si>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</si>
  <si>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</si>
  <si>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</si>
  <si>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</si>
  <si>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</si>
  <si>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</si>
  <si>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</si>
  <si>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</si>
  <si>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</si>
  <si>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</si>
  <si>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</si>
  <si>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</si>
  <si>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</si>
  <si>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</si>
  <si>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</si>
  <si>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</si>
  <si>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</si>
  <si>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</si>
  <si>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</si>
  <si>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</si>
  <si>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</si>
  <si>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</si>
  <si>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</si>
  <si>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</si>
  <si>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</si>
  <si>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</si>
  <si>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</si>
  <si>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</si>
  <si>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</si>
  <si>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</si>
  <si>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</si>
  <si>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</si>
  <si>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</si>
  <si>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</si>
  <si>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</si>
  <si>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</si>
  <si>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</si>
  <si>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</si>
  <si>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</si>
  <si>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</si>
  <si>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</si>
  <si>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</si>
  <si>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</si>
  <si>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</si>
  <si>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</si>
  <si>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</si>
  <si>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</si>
  <si>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</si>
  <si>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</si>
  <si>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</si>
  <si>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</si>
  <si>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</si>
  <si>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</si>
  <si>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</si>
  <si>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</si>
  <si>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</si>
  <si>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</si>
  <si>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</si>
  <si>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</si>
  <si>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</si>
  <si>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</si>
  <si>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</si>
  <si>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</si>
  <si>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</si>
  <si>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</si>
  <si>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</si>
  <si>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</si>
  <si>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</si>
  <si>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</si>
  <si>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</si>
  <si>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</si>
  <si>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</si>
  <si>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</si>
  <si>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</si>
  <si>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</si>
  <si>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</si>
  <si>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</si>
  <si>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</si>
  <si>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</si>
  <si>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</si>
  <si>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</si>
  <si>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</si>
  <si>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</si>
  <si>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</si>
  <si>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</si>
  <si>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</si>
  <si>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</si>
  <si>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</si>
  <si>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</si>
  <si>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</si>
  <si>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</si>
  <si>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</si>
  <si>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</si>
  <si>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23033</t>
  </si>
  <si>
    <t>HOEILAART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</si>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</sst>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91082.732337925801</c:v>
                </c:pt>
                <c:pt idx="1">
                  <c:v>25790.769420621225</c:v>
                </c:pt>
                <c:pt idx="2">
                  <c:v>709.63400000000001</c:v>
                </c:pt>
                <c:pt idx="3">
                  <c:v>555.07076167285993</c:v>
                </c:pt>
                <c:pt idx="4">
                  <c:v>2687.6594373177418</c:v>
                </c:pt>
                <c:pt idx="5">
                  <c:v>191855.22256024319</c:v>
                </c:pt>
                <c:pt idx="6">
                  <c:v>1204.8796367679158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91082.732337925801</c:v>
                </c:pt>
                <c:pt idx="1">
                  <c:v>25790.769420621225</c:v>
                </c:pt>
                <c:pt idx="2">
                  <c:v>709.63400000000001</c:v>
                </c:pt>
                <c:pt idx="3">
                  <c:v>555.07076167285993</c:v>
                </c:pt>
                <c:pt idx="4">
                  <c:v>2687.6594373177418</c:v>
                </c:pt>
                <c:pt idx="5">
                  <c:v>191855.22256024319</c:v>
                </c:pt>
                <c:pt idx="6">
                  <c:v>1204.8796367679158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18507.01390996436</c:v>
                </c:pt>
                <c:pt idx="2">
                  <c:v>5165.5956887109214</c:v>
                </c:pt>
                <c:pt idx="3">
                  <c:v>150.89478941880793</c:v>
                </c:pt>
                <c:pt idx="4">
                  <c:v>132.35141968482722</c:v>
                </c:pt>
                <c:pt idx="5">
                  <c:v>538.98352983578434</c:v>
                </c:pt>
                <c:pt idx="6">
                  <c:v>48049.544497407704</c:v>
                </c:pt>
                <c:pt idx="7">
                  <c:v>304.34684941394943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18507.01390996436</c:v>
                </c:pt>
                <c:pt idx="2">
                  <c:v>5165.5956887109214</c:v>
                </c:pt>
                <c:pt idx="3">
                  <c:v>150.89478941880793</c:v>
                </c:pt>
                <c:pt idx="4">
                  <c:v>132.35141968482722</c:v>
                </c:pt>
                <c:pt idx="5">
                  <c:v>538.98352983578434</c:v>
                </c:pt>
                <c:pt idx="6">
                  <c:v>48049.544497407704</c:v>
                </c:pt>
                <c:pt idx="7">
                  <c:v>304.34684941394943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23033</v>
      </c>
      <c r="B6" s="416"/>
      <c r="C6" s="417"/>
    </row>
    <row r="7" spans="1:7" s="414" customFormat="1" ht="15.75" customHeight="1">
      <c r="A7" s="418" t="str">
        <f>txtMunicipality</f>
        <v>HOEILAART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0.21263748554720874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0.21263748554720874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4205</v>
      </c>
      <c r="C9" s="342">
        <v>4428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89</v>
      </c>
    </row>
    <row r="15" spans="1:6">
      <c r="A15" s="348" t="s">
        <v>184</v>
      </c>
      <c r="B15" s="334">
        <v>0</v>
      </c>
    </row>
    <row r="16" spans="1:6">
      <c r="A16" s="348" t="s">
        <v>6</v>
      </c>
      <c r="B16" s="334">
        <v>0</v>
      </c>
    </row>
    <row r="17" spans="1:6">
      <c r="A17" s="348" t="s">
        <v>7</v>
      </c>
      <c r="B17" s="334">
        <v>35</v>
      </c>
    </row>
    <row r="18" spans="1:6">
      <c r="A18" s="348" t="s">
        <v>8</v>
      </c>
      <c r="B18" s="334">
        <v>34</v>
      </c>
    </row>
    <row r="19" spans="1:6">
      <c r="A19" s="348" t="s">
        <v>9</v>
      </c>
      <c r="B19" s="334">
        <v>33</v>
      </c>
    </row>
    <row r="20" spans="1:6">
      <c r="A20" s="348" t="s">
        <v>10</v>
      </c>
      <c r="B20" s="334">
        <v>17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173</v>
      </c>
      <c r="C29" s="356"/>
      <c r="D29" s="356"/>
      <c r="E29" s="356"/>
      <c r="F29" s="356"/>
    </row>
    <row r="30" spans="1:6">
      <c r="A30" s="341" t="s">
        <v>902</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6602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2864</v>
      </c>
      <c r="D39" s="334">
        <v>56977577.523090698</v>
      </c>
      <c r="E39" s="334">
        <v>4135</v>
      </c>
      <c r="F39" s="334">
        <v>17545357</v>
      </c>
    </row>
    <row r="40" spans="1:6">
      <c r="A40" s="348" t="s">
        <v>30</v>
      </c>
      <c r="B40" s="348" t="s">
        <v>29</v>
      </c>
      <c r="C40" s="334">
        <v>0</v>
      </c>
      <c r="D40" s="334">
        <v>0</v>
      </c>
      <c r="E40" s="334">
        <v>0</v>
      </c>
      <c r="F40" s="334">
        <v>0</v>
      </c>
    </row>
    <row r="41" spans="1:6">
      <c r="A41" s="348" t="s">
        <v>32</v>
      </c>
      <c r="B41" s="348" t="s">
        <v>33</v>
      </c>
      <c r="C41" s="334">
        <v>24</v>
      </c>
      <c r="D41" s="334">
        <v>484938.68630153098</v>
      </c>
      <c r="E41" s="334">
        <v>44</v>
      </c>
      <c r="F41" s="334">
        <v>315254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66452.539999999994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185969.631952739</v>
      </c>
      <c r="E47" s="334">
        <v>4</v>
      </c>
      <c r="F47" s="334">
        <v>73815.539999999994</v>
      </c>
    </row>
    <row r="48" spans="1:6">
      <c r="A48" s="348" t="s">
        <v>32</v>
      </c>
      <c r="B48" s="348" t="s">
        <v>29</v>
      </c>
      <c r="C48" s="334">
        <v>14</v>
      </c>
      <c r="D48" s="334">
        <v>505510.61039129703</v>
      </c>
      <c r="E48" s="334">
        <v>23</v>
      </c>
      <c r="F48" s="334">
        <v>237047.8</v>
      </c>
    </row>
    <row r="49" spans="1:6">
      <c r="A49" s="348" t="s">
        <v>32</v>
      </c>
      <c r="B49" s="348" t="s">
        <v>40</v>
      </c>
      <c r="C49" s="334">
        <v>0</v>
      </c>
      <c r="D49" s="334">
        <v>0</v>
      </c>
      <c r="E49" s="334">
        <v>0</v>
      </c>
      <c r="F49" s="334">
        <v>0</v>
      </c>
    </row>
    <row r="50" spans="1:6">
      <c r="A50" s="348" t="s">
        <v>32</v>
      </c>
      <c r="B50" s="348" t="s">
        <v>41</v>
      </c>
      <c r="C50" s="334">
        <v>3</v>
      </c>
      <c r="D50" s="334">
        <v>217798.43386563499</v>
      </c>
      <c r="E50" s="334">
        <v>3</v>
      </c>
      <c r="F50" s="334">
        <v>38178.47</v>
      </c>
    </row>
    <row r="51" spans="1:6">
      <c r="A51" s="348" t="s">
        <v>42</v>
      </c>
      <c r="B51" s="348" t="s">
        <v>43</v>
      </c>
      <c r="C51" s="334">
        <v>5</v>
      </c>
      <c r="D51" s="334">
        <v>107412.077775595</v>
      </c>
      <c r="E51" s="334">
        <v>17</v>
      </c>
      <c r="F51" s="334">
        <v>55594.63</v>
      </c>
    </row>
    <row r="52" spans="1:6">
      <c r="A52" s="348" t="s">
        <v>42</v>
      </c>
      <c r="B52" s="348" t="s">
        <v>29</v>
      </c>
      <c r="C52" s="334">
        <v>5</v>
      </c>
      <c r="D52" s="334">
        <v>91237.570580297906</v>
      </c>
      <c r="E52" s="334">
        <v>8</v>
      </c>
      <c r="F52" s="334">
        <v>46003.41</v>
      </c>
    </row>
    <row r="53" spans="1:6">
      <c r="A53" s="348" t="s">
        <v>44</v>
      </c>
      <c r="B53" s="348" t="s">
        <v>45</v>
      </c>
      <c r="C53" s="334">
        <v>75</v>
      </c>
      <c r="D53" s="334">
        <v>1605527.6719263401</v>
      </c>
      <c r="E53" s="334">
        <v>147</v>
      </c>
      <c r="F53" s="334">
        <v>1715997</v>
      </c>
    </row>
    <row r="54" spans="1:6">
      <c r="A54" s="348" t="s">
        <v>46</v>
      </c>
      <c r="B54" s="348" t="s">
        <v>47</v>
      </c>
      <c r="C54" s="334">
        <v>0</v>
      </c>
      <c r="D54" s="334">
        <v>0</v>
      </c>
      <c r="E54" s="334">
        <v>1</v>
      </c>
      <c r="F54" s="334">
        <v>709634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479688.466693989</v>
      </c>
      <c r="E57" s="334">
        <v>78</v>
      </c>
      <c r="F57" s="334">
        <v>1274717</v>
      </c>
    </row>
    <row r="58" spans="1:6">
      <c r="A58" s="348" t="s">
        <v>49</v>
      </c>
      <c r="B58" s="348" t="s">
        <v>51</v>
      </c>
      <c r="C58" s="334">
        <v>12</v>
      </c>
      <c r="D58" s="334">
        <v>281433.33690920402</v>
      </c>
      <c r="E58" s="334">
        <v>14</v>
      </c>
      <c r="F58" s="334">
        <v>111437.4</v>
      </c>
    </row>
    <row r="59" spans="1:6">
      <c r="A59" s="348" t="s">
        <v>49</v>
      </c>
      <c r="B59" s="348" t="s">
        <v>52</v>
      </c>
      <c r="C59" s="334">
        <v>44</v>
      </c>
      <c r="D59" s="334">
        <v>1347195.34077704</v>
      </c>
      <c r="E59" s="334">
        <v>88</v>
      </c>
      <c r="F59" s="334">
        <v>2017291</v>
      </c>
    </row>
    <row r="60" spans="1:6">
      <c r="A60" s="348" t="s">
        <v>49</v>
      </c>
      <c r="B60" s="348" t="s">
        <v>53</v>
      </c>
      <c r="C60" s="334">
        <v>26</v>
      </c>
      <c r="D60" s="334">
        <v>931104.91793185705</v>
      </c>
      <c r="E60" s="334">
        <v>30</v>
      </c>
      <c r="F60" s="334">
        <v>497635.6</v>
      </c>
    </row>
    <row r="61" spans="1:6">
      <c r="A61" s="348" t="s">
        <v>49</v>
      </c>
      <c r="B61" s="348" t="s">
        <v>54</v>
      </c>
      <c r="C61" s="334">
        <v>191</v>
      </c>
      <c r="D61" s="334">
        <v>10384298.3017701</v>
      </c>
      <c r="E61" s="334">
        <v>304</v>
      </c>
      <c r="F61" s="334">
        <v>3582887</v>
      </c>
    </row>
    <row r="62" spans="1:6">
      <c r="A62" s="348" t="s">
        <v>49</v>
      </c>
      <c r="B62" s="348" t="s">
        <v>55</v>
      </c>
      <c r="C62" s="334">
        <v>5</v>
      </c>
      <c r="D62" s="334">
        <v>373677.64621585101</v>
      </c>
      <c r="E62" s="334">
        <v>5</v>
      </c>
      <c r="F62" s="334">
        <v>48412.32</v>
      </c>
    </row>
    <row r="63" spans="1:6">
      <c r="A63" s="348" t="s">
        <v>49</v>
      </c>
      <c r="B63" s="348" t="s">
        <v>29</v>
      </c>
      <c r="C63" s="334">
        <v>72</v>
      </c>
      <c r="D63" s="334">
        <v>2381266.6792262001</v>
      </c>
      <c r="E63" s="334">
        <v>90</v>
      </c>
      <c r="F63" s="334">
        <v>1234049</v>
      </c>
    </row>
    <row r="64" spans="1:6">
      <c r="A64" s="348" t="s">
        <v>56</v>
      </c>
      <c r="B64" s="348" t="s">
        <v>57</v>
      </c>
      <c r="C64" s="334">
        <v>0</v>
      </c>
      <c r="D64" s="334">
        <v>0</v>
      </c>
      <c r="E64" s="334">
        <v>0</v>
      </c>
      <c r="F64" s="334">
        <v>0</v>
      </c>
    </row>
    <row r="65" spans="1:6">
      <c r="A65" s="348" t="s">
        <v>56</v>
      </c>
      <c r="B65" s="348" t="s">
        <v>29</v>
      </c>
      <c r="C65" s="334">
        <v>1</v>
      </c>
      <c r="D65" s="334">
        <v>78195.641854657006</v>
      </c>
      <c r="E65" s="334">
        <v>1</v>
      </c>
      <c r="F65" s="334">
        <v>3104.9830000000002</v>
      </c>
    </row>
    <row r="66" spans="1:6">
      <c r="A66" s="348" t="s">
        <v>56</v>
      </c>
      <c r="B66" s="348" t="s">
        <v>58</v>
      </c>
      <c r="C66" s="334">
        <v>0</v>
      </c>
      <c r="D66" s="334">
        <v>0</v>
      </c>
      <c r="E66" s="334">
        <v>10</v>
      </c>
      <c r="F66" s="334">
        <v>383149.9</v>
      </c>
    </row>
    <row r="67" spans="1:6">
      <c r="A67" s="355" t="s">
        <v>56</v>
      </c>
      <c r="B67" s="355" t="s">
        <v>59</v>
      </c>
      <c r="C67" s="334">
        <v>0</v>
      </c>
      <c r="D67" s="334">
        <v>0</v>
      </c>
      <c r="E67" s="334">
        <v>0</v>
      </c>
      <c r="F67" s="334">
        <v>0</v>
      </c>
    </row>
    <row r="68" spans="1:6">
      <c r="A68" s="341" t="s">
        <v>56</v>
      </c>
      <c r="B68" s="341" t="s">
        <v>60</v>
      </c>
      <c r="C68" s="334">
        <v>0</v>
      </c>
      <c r="D68" s="334">
        <v>0</v>
      </c>
      <c r="E68" s="334">
        <v>3</v>
      </c>
      <c r="F68" s="334">
        <v>27793.09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26107739</v>
      </c>
      <c r="E73" s="476">
        <v>26836177.625544626</v>
      </c>
    </row>
    <row r="74" spans="1:6">
      <c r="A74" s="348" t="s">
        <v>64</v>
      </c>
      <c r="B74" s="348" t="s">
        <v>714</v>
      </c>
      <c r="C74" s="1311" t="s">
        <v>716</v>
      </c>
      <c r="D74" s="476">
        <v>1078756.697549731</v>
      </c>
      <c r="E74" s="476">
        <v>1094373.214116296</v>
      </c>
    </row>
    <row r="75" spans="1:6">
      <c r="A75" s="348" t="s">
        <v>65</v>
      </c>
      <c r="B75" s="348" t="s">
        <v>713</v>
      </c>
      <c r="C75" s="1311" t="s">
        <v>717</v>
      </c>
      <c r="D75" s="476">
        <v>36901967</v>
      </c>
      <c r="E75" s="476">
        <v>37910963.581685029</v>
      </c>
    </row>
    <row r="76" spans="1:6">
      <c r="A76" s="348" t="s">
        <v>65</v>
      </c>
      <c r="B76" s="348" t="s">
        <v>714</v>
      </c>
      <c r="C76" s="1311" t="s">
        <v>718</v>
      </c>
      <c r="D76" s="476">
        <v>1053982.697549731</v>
      </c>
      <c r="E76" s="476">
        <v>1066478.4254253912</v>
      </c>
    </row>
    <row r="77" spans="1:6">
      <c r="A77" s="348" t="s">
        <v>66</v>
      </c>
      <c r="B77" s="348" t="s">
        <v>713</v>
      </c>
      <c r="C77" s="1311" t="s">
        <v>719</v>
      </c>
      <c r="D77" s="476">
        <v>158235836</v>
      </c>
      <c r="E77" s="476">
        <v>168141747.18114361</v>
      </c>
    </row>
    <row r="78" spans="1:6">
      <c r="A78" s="341" t="s">
        <v>66</v>
      </c>
      <c r="B78" s="341" t="s">
        <v>714</v>
      </c>
      <c r="C78" s="341" t="s">
        <v>720</v>
      </c>
      <c r="D78" s="1307">
        <v>11445660</v>
      </c>
      <c r="E78" s="1307">
        <v>12309098.265565749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321972.60490053822</v>
      </c>
      <c r="C83" s="476">
        <v>320048.04975246772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1164.09930231916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30764.185492876921</v>
      </c>
      <c r="C3" s="43" t="s">
        <v>170</v>
      </c>
      <c r="D3" s="43"/>
      <c r="E3" s="154"/>
      <c r="F3" s="43"/>
      <c r="G3" s="43"/>
      <c r="H3" s="43"/>
      <c r="I3" s="43"/>
      <c r="J3" s="43"/>
      <c r="K3" s="96"/>
    </row>
    <row r="4" spans="1:11">
      <c r="A4" s="384" t="s">
        <v>171</v>
      </c>
      <c r="B4" s="49">
        <f>IF(ISERROR('SEAP template'!B78+'SEAP template'!C78),0,'SEAP template'!B78+'SEAP template'!C78)</f>
        <v>1164.09930231916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0.21263748554720874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709.63400000000001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709.63400000000001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0.21263748554720874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150.89478941880793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17545.357</v>
      </c>
      <c r="C5" s="17">
        <f>IF(ISERROR('Eigen informatie GS &amp; warmtenet'!B57),0,'Eigen informatie GS &amp; warmtenet'!B57)</f>
        <v>0</v>
      </c>
      <c r="D5" s="30">
        <f>(SUM(HH_hh_gas_kWh,HH_rest_gas_kWh)/1000)*0.902</f>
        <v>51393.774925827805</v>
      </c>
      <c r="E5" s="17">
        <f>B46*B57</f>
        <v>1073.4425211940029</v>
      </c>
      <c r="F5" s="17">
        <f>B51*B62</f>
        <v>14619.731005826141</v>
      </c>
      <c r="G5" s="18"/>
      <c r="H5" s="17"/>
      <c r="I5" s="17"/>
      <c r="J5" s="17">
        <f>B50*B61+C50*C61</f>
        <v>0</v>
      </c>
      <c r="K5" s="17"/>
      <c r="L5" s="17"/>
      <c r="M5" s="17"/>
      <c r="N5" s="17">
        <f>B48*B59+C48*C59</f>
        <v>4824.6209160920462</v>
      </c>
      <c r="O5" s="17">
        <f>B69*B70*B71</f>
        <v>137.57333333333335</v>
      </c>
      <c r="P5" s="17">
        <f>B77*B78*B79/1000-B77*B78*B79/1000/B80</f>
        <v>324.13333333333333</v>
      </c>
    </row>
    <row r="6" spans="1:16">
      <c r="A6" s="16" t="s">
        <v>631</v>
      </c>
      <c r="B6" s="789">
        <f>kWh_PV_kleiner_dan_10kW</f>
        <v>1164.09930231916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18709.456302319159</v>
      </c>
      <c r="C8" s="21">
        <f>C5</f>
        <v>0</v>
      </c>
      <c r="D8" s="21">
        <f>D5</f>
        <v>51393.774925827805</v>
      </c>
      <c r="E8" s="21">
        <f>E5</f>
        <v>1073.4425211940029</v>
      </c>
      <c r="F8" s="21">
        <f>F5</f>
        <v>14619.731005826141</v>
      </c>
      <c r="G8" s="21"/>
      <c r="H8" s="21"/>
      <c r="I8" s="21"/>
      <c r="J8" s="21">
        <f>J5</f>
        <v>0</v>
      </c>
      <c r="K8" s="21"/>
      <c r="L8" s="21">
        <f>L5</f>
        <v>0</v>
      </c>
      <c r="M8" s="21">
        <f>M5</f>
        <v>0</v>
      </c>
      <c r="N8" s="21">
        <f>N5</f>
        <v>4824.6209160920462</v>
      </c>
      <c r="O8" s="21">
        <f>O5</f>
        <v>137.57333333333335</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0.21263748554720874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3978.3317440805235</v>
      </c>
      <c r="C12" s="23">
        <f ca="1">C10*C8</f>
        <v>0</v>
      </c>
      <c r="D12" s="23">
        <f>D8*D10</f>
        <v>10381.542535017217</v>
      </c>
      <c r="E12" s="23">
        <f>E10*E8</f>
        <v>243.67145231103868</v>
      </c>
      <c r="F12" s="23">
        <f>F10*F8</f>
        <v>3903.4681785555799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4205</v>
      </c>
      <c r="C28" s="36"/>
      <c r="D28" s="228"/>
    </row>
    <row r="29" spans="1:7" s="15" customFormat="1">
      <c r="A29" s="230" t="s">
        <v>741</v>
      </c>
      <c r="B29" s="37">
        <f>SUM(HH_hh_gas_aantal,HH_rest_gas_aantal)</f>
        <v>2864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2864</v>
      </c>
      <c r="C32" s="167">
        <f>IF(ISERROR(B32/SUM($B$32,$B$34,$B$35,$B$36,$B$38,$B$39)*100),0,B32/SUM($B$32,$B$34,$B$35,$B$36,$B$38,$B$39)*100)</f>
        <v>68.385864374403056</v>
      </c>
      <c r="D32" s="233"/>
      <c r="G32" s="15"/>
    </row>
    <row r="33" spans="1:7">
      <c r="A33" s="171" t="s">
        <v>72</v>
      </c>
      <c r="B33" s="34" t="s">
        <v>111</v>
      </c>
      <c r="C33" s="167"/>
      <c r="D33" s="233"/>
      <c r="G33" s="15"/>
    </row>
    <row r="34" spans="1:7">
      <c r="A34" s="171" t="s">
        <v>73</v>
      </c>
      <c r="B34" s="33">
        <f>IF((($B$28-$B$32-$B$39-$B$77-$B$38)*C20/100)&lt;0,0,($B$28-$B$32-$B$39-$B$77-$B$38)*C20/100)</f>
        <v>71.94416058394161</v>
      </c>
      <c r="C34" s="167">
        <f>IF(ISERROR(B34/SUM($B$32,$B$34,$B$35,$B$36,$B$38,$B$39)*100),0,B34/SUM($B$32,$B$34,$B$35,$B$36,$B$38,$B$39)*100)</f>
        <v>1.7178643883462659</v>
      </c>
      <c r="D34" s="233"/>
      <c r="G34" s="15"/>
    </row>
    <row r="35" spans="1:7">
      <c r="A35" s="171" t="s">
        <v>74</v>
      </c>
      <c r="B35" s="33">
        <f>IF((($B$28-$B$32-$B$39-$B$77-$B$38)*C21/100)&lt;0,0,($B$28-$B$32-$B$39-$B$77-$B$38)*C21/100)</f>
        <v>572.88868613138686</v>
      </c>
      <c r="C35" s="167">
        <f>IF(ISERROR(B35/SUM($B$32,$B$34,$B$35,$B$36,$B$38,$B$39)*100),0,B35/SUM($B$32,$B$34,$B$35,$B$36,$B$38,$B$39)*100)</f>
        <v>13.679290499794339</v>
      </c>
      <c r="D35" s="233"/>
      <c r="G35" s="15"/>
    </row>
    <row r="36" spans="1:7">
      <c r="A36" s="171" t="s">
        <v>75</v>
      </c>
      <c r="B36" s="33">
        <f>IF((($B$28-$B$32-$B$39-$B$77-$B$38)*C22/100)&lt;0,0,($B$28-$B$32-$B$39-$B$77-$B$38)*C22/100)</f>
        <v>85.267153284671537</v>
      </c>
      <c r="C36" s="167">
        <f>IF(ISERROR(B36/SUM($B$32,$B$34,$B$35,$B$36,$B$38,$B$39)*100),0,B36/SUM($B$32,$B$34,$B$35,$B$36,$B$38,$B$39)*100)</f>
        <v>2.0359874232252038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593.9</v>
      </c>
      <c r="C39" s="167">
        <f>IF(ISERROR(B39/SUM($B$32,$B$34,$B$35,$B$36,$B$38,$B$39)*100),0,B39/SUM($B$32,$B$34,$B$35,$B$36,$B$38,$B$39)*100)</f>
        <v>14.180993314231136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2864</v>
      </c>
      <c r="C44" s="34" t="s">
        <v>111</v>
      </c>
      <c r="D44" s="174"/>
    </row>
    <row r="45" spans="1:7">
      <c r="A45" s="171" t="s">
        <v>72</v>
      </c>
      <c r="B45" s="33" t="str">
        <f t="shared" si="0"/>
        <v>-</v>
      </c>
      <c r="C45" s="34" t="s">
        <v>111</v>
      </c>
      <c r="D45" s="174"/>
    </row>
    <row r="46" spans="1:7">
      <c r="A46" s="171" t="s">
        <v>73</v>
      </c>
      <c r="B46" s="33">
        <f t="shared" si="0"/>
        <v>71.94416058394161</v>
      </c>
      <c r="C46" s="34" t="s">
        <v>111</v>
      </c>
      <c r="D46" s="174"/>
    </row>
    <row r="47" spans="1:7">
      <c r="A47" s="171" t="s">
        <v>74</v>
      </c>
      <c r="B47" s="33">
        <f t="shared" si="0"/>
        <v>572.88868613138686</v>
      </c>
      <c r="C47" s="34" t="s">
        <v>111</v>
      </c>
      <c r="D47" s="174"/>
    </row>
    <row r="48" spans="1:7">
      <c r="A48" s="171" t="s">
        <v>75</v>
      </c>
      <c r="B48" s="33">
        <f t="shared" si="0"/>
        <v>85.267153284671537</v>
      </c>
      <c r="C48" s="33">
        <f>B48*10</f>
        <v>852.67153284671531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593.9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8766.4293200000011</v>
      </c>
      <c r="C5" s="17">
        <f>IF(ISERROR('Eigen informatie GS &amp; warmtenet'!B58),0,'Eigen informatie GS &amp; warmtenet'!B58)</f>
        <v>0</v>
      </c>
      <c r="D5" s="30">
        <f>SUM(D6:D12)</f>
        <v>14593.155549950867</v>
      </c>
      <c r="E5" s="17">
        <f>SUM(E6:E12)</f>
        <v>68.58480771129183</v>
      </c>
      <c r="F5" s="17">
        <f>SUM(F6:F12)</f>
        <v>1266.4345634391605</v>
      </c>
      <c r="G5" s="18"/>
      <c r="H5" s="17"/>
      <c r="I5" s="17"/>
      <c r="J5" s="17">
        <f>SUM(J6:J12)</f>
        <v>0</v>
      </c>
      <c r="K5" s="17"/>
      <c r="L5" s="17"/>
      <c r="M5" s="17"/>
      <c r="N5" s="17">
        <f>SUM(N6:N12)</f>
        <v>1056.4685128532381</v>
      </c>
      <c r="O5" s="17">
        <f>B38*B39*B40</f>
        <v>1.5633333333333335</v>
      </c>
      <c r="P5" s="17">
        <f>B46*B47*B48/1000-B46*B47*B48/1000/B49</f>
        <v>38.133333333333333</v>
      </c>
      <c r="R5" s="32"/>
    </row>
    <row r="6" spans="1:18">
      <c r="A6" s="32" t="s">
        <v>54</v>
      </c>
      <c r="B6" s="37">
        <f>B26</f>
        <v>3582.8870000000002</v>
      </c>
      <c r="C6" s="33"/>
      <c r="D6" s="37">
        <f>IF(ISERROR(TER_kantoor_gas_kWh/1000),0,TER_kantoor_gas_kWh/1000)*0.902</f>
        <v>9366.6370681966309</v>
      </c>
      <c r="E6" s="33">
        <f>$C$26*'E Balans VL '!I12/100/3.6*1000000</f>
        <v>10.38014932306101</v>
      </c>
      <c r="F6" s="33">
        <f>$C$26*('E Balans VL '!L12+'E Balans VL '!N12)/100/3.6*1000000</f>
        <v>405.50387127920999</v>
      </c>
      <c r="G6" s="34"/>
      <c r="H6" s="33"/>
      <c r="I6" s="33"/>
      <c r="J6" s="33">
        <f>$C$26*('E Balans VL '!D12+'E Balans VL '!E12)/100/3.6*1000000</f>
        <v>0</v>
      </c>
      <c r="K6" s="33"/>
      <c r="L6" s="33"/>
      <c r="M6" s="33"/>
      <c r="N6" s="33">
        <f>$C$26*'E Balans VL '!Y12/100/3.6*1000000</f>
        <v>35.86205888098614</v>
      </c>
      <c r="O6" s="33"/>
      <c r="P6" s="33"/>
      <c r="R6" s="32"/>
    </row>
    <row r="7" spans="1:18">
      <c r="A7" s="32" t="s">
        <v>53</v>
      </c>
      <c r="B7" s="37">
        <f t="shared" ref="B7:B12" si="0">B27</f>
        <v>497.63559999999995</v>
      </c>
      <c r="C7" s="33"/>
      <c r="D7" s="37">
        <f>IF(ISERROR(TER_horeca_gas_kWh/1000),0,TER_horeca_gas_kWh/1000)*0.902</f>
        <v>839.85663597453504</v>
      </c>
      <c r="E7" s="33">
        <f>$C$27*'E Balans VL '!I9/100/3.6*1000000</f>
        <v>20.889352121612568</v>
      </c>
      <c r="F7" s="33">
        <f>$C$27*('E Balans VL '!L9+'E Balans VL '!N9)/100/3.6*1000000</f>
        <v>106.92721363911301</v>
      </c>
      <c r="G7" s="34"/>
      <c r="H7" s="33"/>
      <c r="I7" s="33"/>
      <c r="J7" s="33">
        <f>$C$27*('E Balans VL '!D9+'E Balans VL '!E9)/100/3.6*1000000</f>
        <v>0</v>
      </c>
      <c r="K7" s="33"/>
      <c r="L7" s="33"/>
      <c r="M7" s="33"/>
      <c r="N7" s="33">
        <f>$C$27*'E Balans VL '!Y9/100/3.6*1000000</f>
        <v>0.12823634213879981</v>
      </c>
      <c r="O7" s="33"/>
      <c r="P7" s="33"/>
      <c r="R7" s="32"/>
    </row>
    <row r="8" spans="1:18">
      <c r="A8" s="6" t="s">
        <v>52</v>
      </c>
      <c r="B8" s="37">
        <f t="shared" si="0"/>
        <v>2017.2909999999999</v>
      </c>
      <c r="C8" s="33"/>
      <c r="D8" s="37">
        <f>IF(ISERROR(TER_handel_gas_kWh/1000),0,TER_handel_gas_kWh/1000)*0.902</f>
        <v>1215.1701973808902</v>
      </c>
      <c r="E8" s="33">
        <f>$C$28*'E Balans VL '!I13/100/3.6*1000000</f>
        <v>21.667384283572655</v>
      </c>
      <c r="F8" s="33">
        <f>$C$28*('E Balans VL '!L13+'E Balans VL '!N13)/100/3.6*1000000</f>
        <v>261.15497839566757</v>
      </c>
      <c r="G8" s="34"/>
      <c r="H8" s="33"/>
      <c r="I8" s="33"/>
      <c r="J8" s="33">
        <f>$C$28*('E Balans VL '!D13+'E Balans VL '!E13)/100/3.6*1000000</f>
        <v>0</v>
      </c>
      <c r="K8" s="33"/>
      <c r="L8" s="33"/>
      <c r="M8" s="33"/>
      <c r="N8" s="33">
        <f>$C$28*'E Balans VL '!Y13/100/3.6*1000000</f>
        <v>16.364374740877818</v>
      </c>
      <c r="O8" s="33"/>
      <c r="P8" s="33"/>
      <c r="R8" s="32"/>
    </row>
    <row r="9" spans="1:18">
      <c r="A9" s="32" t="s">
        <v>51</v>
      </c>
      <c r="B9" s="37">
        <f t="shared" si="0"/>
        <v>111.4374</v>
      </c>
      <c r="C9" s="33"/>
      <c r="D9" s="37">
        <f>IF(ISERROR(TER_gezond_gas_kWh/1000),0,TER_gezond_gas_kWh/1000)*0.902</f>
        <v>253.85286989210201</v>
      </c>
      <c r="E9" s="33">
        <f>$C$29*'E Balans VL '!I10/100/3.6*1000000</f>
        <v>8.8711377977935282E-2</v>
      </c>
      <c r="F9" s="33">
        <f>$C$29*('E Balans VL '!L10+'E Balans VL '!N10)/100/3.6*1000000</f>
        <v>13.546826385480776</v>
      </c>
      <c r="G9" s="34"/>
      <c r="H9" s="33"/>
      <c r="I9" s="33"/>
      <c r="J9" s="33">
        <f>$C$29*('E Balans VL '!D10+'E Balans VL '!E10)/100/3.6*1000000</f>
        <v>0</v>
      </c>
      <c r="K9" s="33"/>
      <c r="L9" s="33"/>
      <c r="M9" s="33"/>
      <c r="N9" s="33">
        <f>$C$29*'E Balans VL '!Y10/100/3.6*1000000</f>
        <v>0.90016179380066685</v>
      </c>
      <c r="O9" s="33"/>
      <c r="P9" s="33"/>
      <c r="R9" s="32"/>
    </row>
    <row r="10" spans="1:18">
      <c r="A10" s="32" t="s">
        <v>50</v>
      </c>
      <c r="B10" s="37">
        <f t="shared" si="0"/>
        <v>1274.7170000000001</v>
      </c>
      <c r="C10" s="33"/>
      <c r="D10" s="37">
        <f>IF(ISERROR(TER_ander_gas_kWh/1000),0,TER_ander_gas_kWh/1000)*0.902</f>
        <v>432.67899695797814</v>
      </c>
      <c r="E10" s="33">
        <f>$C$30*'E Balans VL '!I14/100/3.6*1000000</f>
        <v>4.3685221240472005</v>
      </c>
      <c r="F10" s="33">
        <f>$C$30*('E Balans VL '!L14+'E Balans VL '!N14)/100/3.6*1000000</f>
        <v>284.71997940278999</v>
      </c>
      <c r="G10" s="34"/>
      <c r="H10" s="33"/>
      <c r="I10" s="33"/>
      <c r="J10" s="33">
        <f>$C$30*('E Balans VL '!D14+'E Balans VL '!E14)/100/3.6*1000000</f>
        <v>0</v>
      </c>
      <c r="K10" s="33"/>
      <c r="L10" s="33"/>
      <c r="M10" s="33"/>
      <c r="N10" s="33">
        <f>$C$30*'E Balans VL '!Y14/100/3.6*1000000</f>
        <v>897.91761844285065</v>
      </c>
      <c r="O10" s="33"/>
      <c r="P10" s="33"/>
      <c r="R10" s="32"/>
    </row>
    <row r="11" spans="1:18">
      <c r="A11" s="32" t="s">
        <v>55</v>
      </c>
      <c r="B11" s="37">
        <f t="shared" si="0"/>
        <v>48.412320000000001</v>
      </c>
      <c r="C11" s="33"/>
      <c r="D11" s="37">
        <f>IF(ISERROR(TER_onderwijs_gas_kWh/1000),0,TER_onderwijs_gas_kWh/1000)*0.902</f>
        <v>337.05723688669758</v>
      </c>
      <c r="E11" s="33">
        <f>$C$31*'E Balans VL '!I11/100/3.6*1000000</f>
        <v>3.3465945833886145E-2</v>
      </c>
      <c r="F11" s="33">
        <f>$C$31*('E Balans VL '!L11+'E Balans VL '!N11)/100/3.6*1000000</f>
        <v>12.672939093522558</v>
      </c>
      <c r="G11" s="34"/>
      <c r="H11" s="33"/>
      <c r="I11" s="33"/>
      <c r="J11" s="33">
        <f>$C$31*('E Balans VL '!D11+'E Balans VL '!E11)/100/3.6*1000000</f>
        <v>0</v>
      </c>
      <c r="K11" s="33"/>
      <c r="L11" s="33"/>
      <c r="M11" s="33"/>
      <c r="N11" s="33">
        <f>$C$31*'E Balans VL '!Y11/100/3.6*1000000</f>
        <v>4.819034112024477E-2</v>
      </c>
      <c r="O11" s="33"/>
      <c r="P11" s="33"/>
      <c r="R11" s="32"/>
    </row>
    <row r="12" spans="1:18">
      <c r="A12" s="32" t="s">
        <v>260</v>
      </c>
      <c r="B12" s="37">
        <f t="shared" si="0"/>
        <v>1234.049</v>
      </c>
      <c r="C12" s="33"/>
      <c r="D12" s="37">
        <f>IF(ISERROR(TER_rest_gas_kWh/1000),0,TER_rest_gas_kWh/1000)*0.902</f>
        <v>2147.9025446620326</v>
      </c>
      <c r="E12" s="33">
        <f>$C$32*'E Balans VL '!I8/100/3.6*1000000</f>
        <v>11.157222535186564</v>
      </c>
      <c r="F12" s="33">
        <f>$C$32*('E Balans VL '!L8+'E Balans VL '!N8)/100/3.6*1000000</f>
        <v>181.90875524337659</v>
      </c>
      <c r="G12" s="34"/>
      <c r="H12" s="33"/>
      <c r="I12" s="33"/>
      <c r="J12" s="33">
        <f>$C$32*('E Balans VL '!D8+'E Balans VL '!E8)/100/3.6*1000000</f>
        <v>0</v>
      </c>
      <c r="K12" s="33"/>
      <c r="L12" s="33"/>
      <c r="M12" s="33"/>
      <c r="N12" s="33">
        <f>$C$32*'E Balans VL '!Y8/100/3.6*1000000</f>
        <v>105.24787231146374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8766.4293200000011</v>
      </c>
      <c r="C16" s="21">
        <f t="shared" ca="1" si="1"/>
        <v>0</v>
      </c>
      <c r="D16" s="21">
        <f t="shared" ca="1" si="1"/>
        <v>14593.155549950867</v>
      </c>
      <c r="E16" s="21">
        <f t="shared" si="1"/>
        <v>68.58480771129183</v>
      </c>
      <c r="F16" s="21">
        <f t="shared" ca="1" si="1"/>
        <v>1266.4345634391605</v>
      </c>
      <c r="G16" s="21">
        <f t="shared" si="1"/>
        <v>0</v>
      </c>
      <c r="H16" s="21">
        <f t="shared" si="1"/>
        <v>0</v>
      </c>
      <c r="I16" s="21">
        <f t="shared" si="1"/>
        <v>0</v>
      </c>
      <c r="J16" s="21">
        <f t="shared" si="1"/>
        <v>0</v>
      </c>
      <c r="K16" s="21">
        <f t="shared" si="1"/>
        <v>0</v>
      </c>
      <c r="L16" s="21">
        <f t="shared" ca="1" si="1"/>
        <v>0</v>
      </c>
      <c r="M16" s="21">
        <f t="shared" si="1"/>
        <v>0</v>
      </c>
      <c r="N16" s="21">
        <f t="shared" ca="1" si="1"/>
        <v>1056.4685128532381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0.21263748554720874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1864.0714878321271</v>
      </c>
      <c r="C20" s="23">
        <f t="shared" ref="C20:P20" ca="1" si="2">C16*C18</f>
        <v>0</v>
      </c>
      <c r="D20" s="23">
        <f t="shared" ca="1" si="2"/>
        <v>2947.8174210900752</v>
      </c>
      <c r="E20" s="23">
        <f t="shared" si="2"/>
        <v>15.568751350463247</v>
      </c>
      <c r="F20" s="23">
        <f t="shared" ca="1" si="2"/>
        <v>338.13802843825584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3582.8870000000002</v>
      </c>
      <c r="C26" s="39">
        <f>IF(ISERROR(B26*3.6/1000000/'E Balans VL '!Z12*100),0,B26*3.6/1000000/'E Balans VL '!Z12*100)</f>
        <v>7.8702255187163714E-2</v>
      </c>
      <c r="D26" s="237" t="s">
        <v>692</v>
      </c>
      <c r="F26" s="6"/>
    </row>
    <row r="27" spans="1:18">
      <c r="A27" s="231" t="s">
        <v>53</v>
      </c>
      <c r="B27" s="33">
        <f>IF(ISERROR(TER_horeca_ele_kWh/1000),0,TER_horeca_ele_kWh/1000)</f>
        <v>497.63559999999995</v>
      </c>
      <c r="C27" s="39">
        <f>IF(ISERROR(B27*3.6/1000000/'E Balans VL '!Z9*100),0,B27*3.6/1000000/'E Balans VL '!Z9*100)</f>
        <v>3.998998095024954E-2</v>
      </c>
      <c r="D27" s="237" t="s">
        <v>692</v>
      </c>
      <c r="F27" s="6"/>
    </row>
    <row r="28" spans="1:18">
      <c r="A28" s="171" t="s">
        <v>52</v>
      </c>
      <c r="B28" s="33">
        <f>IF(ISERROR(TER_handel_ele_kWh/1000),0,TER_handel_ele_kWh/1000)</f>
        <v>2017.2909999999999</v>
      </c>
      <c r="C28" s="39">
        <f>IF(ISERROR(B28*3.6/1000000/'E Balans VL '!Z13*100),0,B28*3.6/1000000/'E Balans VL '!Z13*100)</f>
        <v>5.9649885560916736E-2</v>
      </c>
      <c r="D28" s="237" t="s">
        <v>692</v>
      </c>
      <c r="F28" s="6"/>
    </row>
    <row r="29" spans="1:18">
      <c r="A29" s="231" t="s">
        <v>51</v>
      </c>
      <c r="B29" s="33">
        <f>IF(ISERROR(TER_gezond_ele_kWh/1000),0,TER_gezond_ele_kWh/1000)</f>
        <v>111.4374</v>
      </c>
      <c r="C29" s="39">
        <f>IF(ISERROR(B29*3.6/1000000/'E Balans VL '!Z10*100),0,B29*3.6/1000000/'E Balans VL '!Z10*100)</f>
        <v>1.2556117919945486E-2</v>
      </c>
      <c r="D29" s="237" t="s">
        <v>692</v>
      </c>
      <c r="F29" s="6"/>
    </row>
    <row r="30" spans="1:18">
      <c r="A30" s="231" t="s">
        <v>50</v>
      </c>
      <c r="B30" s="33">
        <f>IF(ISERROR(TER_ander_ele_kWh/1000),0,TER_ander_ele_kWh/1000)</f>
        <v>1274.7170000000001</v>
      </c>
      <c r="C30" s="39">
        <f>IF(ISERROR(B30*3.6/1000000/'E Balans VL '!Z14*100),0,B30*3.6/1000000/'E Balans VL '!Z14*100)</f>
        <v>9.6404667679715436E-2</v>
      </c>
      <c r="D30" s="237" t="s">
        <v>692</v>
      </c>
      <c r="F30" s="6"/>
    </row>
    <row r="31" spans="1:18">
      <c r="A31" s="231" t="s">
        <v>55</v>
      </c>
      <c r="B31" s="33">
        <f>IF(ISERROR(TER_onderwijs_ele_kWh/1000),0,TER_onderwijs_ele_kWh/1000)</f>
        <v>48.412320000000001</v>
      </c>
      <c r="C31" s="39">
        <f>IF(ISERROR(B31*3.6/1000000/'E Balans VL '!Z11*100),0,B31*3.6/1000000/'E Balans VL '!Z11*100)</f>
        <v>1.004927378823829E-2</v>
      </c>
      <c r="D31" s="237" t="s">
        <v>692</v>
      </c>
    </row>
    <row r="32" spans="1:18">
      <c r="A32" s="231" t="s">
        <v>260</v>
      </c>
      <c r="B32" s="33">
        <f>IF(ISERROR(TER_rest_ele_kWh/1000),0,TER_rest_ele_kWh/1000)</f>
        <v>1234.049</v>
      </c>
      <c r="C32" s="39">
        <f>IF(ISERROR(B32*3.6/1000000/'E Balans VL '!Z8*100),0,B32*3.6/1000000/'E Balans VL '!Z8*100)</f>
        <v>1.0396136858557895E-2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730.74835000000007</v>
      </c>
      <c r="C5" s="17">
        <f>IF(ISERROR('Eigen informatie GS &amp; warmtenet'!B59),0,'Eigen informatie GS &amp; warmtenet'!B59)</f>
        <v>0</v>
      </c>
      <c r="D5" s="30">
        <f>SUM(D6:D15)</f>
        <v>1257.5840609851043</v>
      </c>
      <c r="E5" s="17">
        <f>SUM(E6:E15)</f>
        <v>100.94643865902307</v>
      </c>
      <c r="F5" s="17">
        <f>SUM(F6:F15)</f>
        <v>396.9164905329082</v>
      </c>
      <c r="G5" s="18"/>
      <c r="H5" s="17"/>
      <c r="I5" s="17"/>
      <c r="J5" s="17">
        <f>SUM(J6:J15)</f>
        <v>1.9082295399343394</v>
      </c>
      <c r="K5" s="17"/>
      <c r="L5" s="17"/>
      <c r="M5" s="17"/>
      <c r="N5" s="17">
        <f>SUM(N6:N15)</f>
        <v>199.55586760077173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66.452539999999999</v>
      </c>
      <c r="C8" s="33"/>
      <c r="D8" s="37">
        <f>IF( ISERROR(IND_metaal_Gas_kWH/1000),0,IND_metaal_Gas_kWH/1000)*0.902</f>
        <v>0</v>
      </c>
      <c r="E8" s="33">
        <f>C30*'E Balans VL '!I18/100/3.6*1000000</f>
        <v>1.6630744972926783</v>
      </c>
      <c r="F8" s="33">
        <f>C30*'E Balans VL '!L18/100/3.6*1000000+C30*'E Balans VL '!N18/100/3.6*1000000</f>
        <v>20.826556587933574</v>
      </c>
      <c r="G8" s="34"/>
      <c r="H8" s="33"/>
      <c r="I8" s="33"/>
      <c r="J8" s="40">
        <f>C30*'E Balans VL '!D18/100/3.6*1000000+C30*'E Balans VL '!E18/100/3.6*1000000</f>
        <v>0</v>
      </c>
      <c r="K8" s="33"/>
      <c r="L8" s="33"/>
      <c r="M8" s="33"/>
      <c r="N8" s="33">
        <f>C30*'E Balans VL '!Y18/100/3.6*1000000</f>
        <v>1.6694602641798739</v>
      </c>
      <c r="O8" s="33"/>
      <c r="P8" s="33"/>
      <c r="R8" s="32"/>
    </row>
    <row r="9" spans="1:18">
      <c r="A9" s="6" t="s">
        <v>33</v>
      </c>
      <c r="B9" s="37">
        <f t="shared" si="0"/>
        <v>315.25400000000002</v>
      </c>
      <c r="C9" s="33"/>
      <c r="D9" s="37">
        <f>IF( ISERROR(IND_andere_gas_kWh/1000),0,IND_andere_gas_kWh/1000)*0.902</f>
        <v>437.41469504398094</v>
      </c>
      <c r="E9" s="33">
        <f>C31*'E Balans VL '!I19/100/3.6*1000000</f>
        <v>86.68191983966372</v>
      </c>
      <c r="F9" s="33">
        <f>C31*'E Balans VL '!L19/100/3.6*1000000+C31*'E Balans VL '!N19/100/3.6*1000000</f>
        <v>248.47501013470216</v>
      </c>
      <c r="G9" s="34"/>
      <c r="H9" s="33"/>
      <c r="I9" s="33"/>
      <c r="J9" s="40">
        <f>C31*'E Balans VL '!D19/100/3.6*1000000+C31*'E Balans VL '!E19/100/3.6*1000000</f>
        <v>0</v>
      </c>
      <c r="K9" s="33"/>
      <c r="L9" s="33"/>
      <c r="M9" s="33"/>
      <c r="N9" s="33">
        <f>C31*'E Balans VL '!Y19/100/3.6*1000000</f>
        <v>102.05604111311858</v>
      </c>
      <c r="O9" s="33"/>
      <c r="P9" s="33"/>
      <c r="R9" s="32"/>
    </row>
    <row r="10" spans="1:18">
      <c r="A10" s="6" t="s">
        <v>41</v>
      </c>
      <c r="B10" s="37">
        <f t="shared" si="0"/>
        <v>38.178470000000004</v>
      </c>
      <c r="C10" s="33"/>
      <c r="D10" s="37">
        <f>IF( ISERROR(IND_voed_gas_kWh/1000),0,IND_voed_gas_kWh/1000)*0.902</f>
        <v>196.45418734680277</v>
      </c>
      <c r="E10" s="33">
        <f>C32*'E Balans VL '!I20/100/3.6*1000000</f>
        <v>0.38920846901086431</v>
      </c>
      <c r="F10" s="33">
        <f>C32*'E Balans VL '!L20/100/3.6*1000000+C32*'E Balans VL '!N20/100/3.6*1000000</f>
        <v>72.118891046720137</v>
      </c>
      <c r="G10" s="34"/>
      <c r="H10" s="33"/>
      <c r="I10" s="33"/>
      <c r="J10" s="40">
        <f>C32*'E Balans VL '!D20/100/3.6*1000000+C32*'E Balans VL '!E20/100/3.6*1000000</f>
        <v>0.91373570761940492</v>
      </c>
      <c r="K10" s="33"/>
      <c r="L10" s="33"/>
      <c r="M10" s="33"/>
      <c r="N10" s="33">
        <f>C32*'E Balans VL '!Y20/100/3.6*1000000</f>
        <v>20.124451310492095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73.815539999999999</v>
      </c>
      <c r="C13" s="33"/>
      <c r="D13" s="37">
        <f>IF( ISERROR(IND_papier_gas_kWh/1000),0,IND_papier_gas_kWh/1000)*0.902</f>
        <v>167.7446080213706</v>
      </c>
      <c r="E13" s="33">
        <f>C35*'E Balans VL '!I23/100/3.6*1000000</f>
        <v>0.15287696576897525</v>
      </c>
      <c r="F13" s="33">
        <f>C35*'E Balans VL '!L23/100/3.6*1000000+C35*'E Balans VL '!N23/100/3.6*1000000</f>
        <v>1.4639204061400901</v>
      </c>
      <c r="G13" s="34"/>
      <c r="H13" s="33"/>
      <c r="I13" s="33"/>
      <c r="J13" s="40">
        <f>C35*'E Balans VL '!D23/100/3.6*1000000+C35*'E Balans VL '!E23/100/3.6*1000000</f>
        <v>0</v>
      </c>
      <c r="K13" s="33"/>
      <c r="L13" s="33"/>
      <c r="M13" s="33"/>
      <c r="N13" s="33">
        <f>C35*'E Balans VL '!Y23/100/3.6*1000000</f>
        <v>31.168454447863621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237.0478</v>
      </c>
      <c r="C15" s="33"/>
      <c r="D15" s="37">
        <f>IF( ISERROR(IND_rest_gas_kWh/1000),0,IND_rest_gas_kWh/1000)*0.902</f>
        <v>455.9705705729499</v>
      </c>
      <c r="E15" s="33">
        <f>C37*'E Balans VL '!I15/100/3.6*1000000</f>
        <v>12.059358887286818</v>
      </c>
      <c r="F15" s="33">
        <f>C37*'E Balans VL '!L15/100/3.6*1000000+C37*'E Balans VL '!N15/100/3.6*1000000</f>
        <v>54.032112357412259</v>
      </c>
      <c r="G15" s="34"/>
      <c r="H15" s="33"/>
      <c r="I15" s="33"/>
      <c r="J15" s="40">
        <f>C37*'E Balans VL '!D15/100/3.6*1000000+C37*'E Balans VL '!E15/100/3.6*1000000</f>
        <v>0.99449383231493449</v>
      </c>
      <c r="K15" s="33"/>
      <c r="L15" s="33"/>
      <c r="M15" s="33"/>
      <c r="N15" s="33">
        <f>C37*'E Balans VL '!Y15/100/3.6*1000000</f>
        <v>44.537460465117569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730.74835000000007</v>
      </c>
      <c r="C18" s="21">
        <f>C5+C16</f>
        <v>0</v>
      </c>
      <c r="D18" s="21">
        <f>MAX((D5+D16),0)</f>
        <v>1257.5840609851043</v>
      </c>
      <c r="E18" s="21">
        <f>MAX((E5+E16),0)</f>
        <v>100.94643865902307</v>
      </c>
      <c r="F18" s="21">
        <f>MAX((F5+F16),0)</f>
        <v>396.9164905329082</v>
      </c>
      <c r="G18" s="21"/>
      <c r="H18" s="21"/>
      <c r="I18" s="21"/>
      <c r="J18" s="21">
        <f>MAX((J5+J16),0)</f>
        <v>1.9082295399343394</v>
      </c>
      <c r="K18" s="21"/>
      <c r="L18" s="21">
        <f>MAX((L5+L16),0)</f>
        <v>0</v>
      </c>
      <c r="M18" s="21"/>
      <c r="N18" s="21">
        <f>MAX((N5+N16),0)</f>
        <v>199.55586760077173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0.21263748554720874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155.38449171177166</v>
      </c>
      <c r="C22" s="23">
        <f ca="1">C18*C20</f>
        <v>0</v>
      </c>
      <c r="D22" s="23">
        <f>D18*D20</f>
        <v>254.03198031899109</v>
      </c>
      <c r="E22" s="23">
        <f>E18*E20</f>
        <v>22.914841575598238</v>
      </c>
      <c r="F22" s="23">
        <f>F18*F20</f>
        <v>105.97670297228649</v>
      </c>
      <c r="G22" s="23"/>
      <c r="H22" s="23"/>
      <c r="I22" s="23"/>
      <c r="J22" s="23">
        <f>J18*J20</f>
        <v>0.67551325713675614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66.452539999999999</v>
      </c>
      <c r="C30" s="39">
        <f>IF(ISERROR(B30*3.6/1000000/'E Balans VL '!Z18*100),0,B30*3.6/1000000/'E Balans VL '!Z18*100)</f>
        <v>9.3011410446396312E-3</v>
      </c>
      <c r="D30" s="237" t="s">
        <v>692</v>
      </c>
    </row>
    <row r="31" spans="1:18">
      <c r="A31" s="6" t="s">
        <v>33</v>
      </c>
      <c r="B31" s="37">
        <f>IF( ISERROR(IND_ander_ele_kWh/1000),0,IND_ander_ele_kWh/1000)</f>
        <v>315.25400000000002</v>
      </c>
      <c r="C31" s="39">
        <f>IF(ISERROR(B31*3.6/1000000/'E Balans VL '!Z19*100),0,B31*3.6/1000000/'E Balans VL '!Z19*100)</f>
        <v>1.3798616438535312E-2</v>
      </c>
      <c r="D31" s="237" t="s">
        <v>692</v>
      </c>
    </row>
    <row r="32" spans="1:18">
      <c r="A32" s="171" t="s">
        <v>41</v>
      </c>
      <c r="B32" s="37">
        <f>IF( ISERROR(IND_voed_ele_kWh/1000),0,IND_voed_ele_kWh/1000)</f>
        <v>38.178470000000004</v>
      </c>
      <c r="C32" s="39">
        <f>IF(ISERROR(B32*3.6/1000000/'E Balans VL '!Z20*100),0,B32*3.6/1000000/'E Balans VL '!Z20*100)</f>
        <v>9.4517213275483371E-3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73.815539999999999</v>
      </c>
      <c r="C35" s="39">
        <f>IF(ISERROR(B35*3.6/1000000/'E Balans VL '!Z22*100),0,B35*3.6/1000000/'E Balans VL '!Z22*100)</f>
        <v>2.0945838739820084E-3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237.0478</v>
      </c>
      <c r="C37" s="39">
        <f>IF(ISERROR(B37*3.6/1000000/'E Balans VL '!Z15*100),0,B37*3.6/1000000/'E Balans VL '!Z15*100)</f>
        <v>1.7576688526992567E-3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101.59804000000001</v>
      </c>
      <c r="C5" s="17">
        <f>'Eigen informatie GS &amp; warmtenet'!B60</f>
        <v>0</v>
      </c>
      <c r="D5" s="30">
        <f>IF(ISERROR(SUM(LB_lb_gas_kWh,LB_rest_gas_kWh)/1000),0,SUM(LB_lb_gas_kWh,LB_rest_gas_kWh)/1000)*0.902</f>
        <v>179.18198281701541</v>
      </c>
      <c r="E5" s="17">
        <f>B17*'E Balans VL '!I25/3.6*1000000/100</f>
        <v>0.94104359965072137</v>
      </c>
      <c r="F5" s="17">
        <f>B17*('E Balans VL '!L25/3.6*1000000+'E Balans VL '!N25/3.6*1000000)/100</f>
        <v>257.77358188675817</v>
      </c>
      <c r="G5" s="18"/>
      <c r="H5" s="17"/>
      <c r="I5" s="17"/>
      <c r="J5" s="17">
        <f>('E Balans VL '!D25+'E Balans VL '!E25)/3.6*1000000*landbouw!B17/100</f>
        <v>15.576113369435614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101.59804000000001</v>
      </c>
      <c r="C8" s="21">
        <f>C5+C6</f>
        <v>0</v>
      </c>
      <c r="D8" s="21">
        <f>MAX((D5+D6),0)</f>
        <v>179.18198281701541</v>
      </c>
      <c r="E8" s="21">
        <f>MAX((E5+E6),0)</f>
        <v>0.94104359965072137</v>
      </c>
      <c r="F8" s="21">
        <f>MAX((F5+F6),0)</f>
        <v>257.77358188675817</v>
      </c>
      <c r="G8" s="21"/>
      <c r="H8" s="21"/>
      <c r="I8" s="21"/>
      <c r="J8" s="21">
        <f>MAX((J5+J6),0)</f>
        <v>15.576113369435614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0.21263748554720874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21.603551762124738</v>
      </c>
      <c r="C12" s="23">
        <f ca="1">C8*C10</f>
        <v>0</v>
      </c>
      <c r="D12" s="23">
        <f>D8*D10</f>
        <v>36.194760529037119</v>
      </c>
      <c r="E12" s="23">
        <f>E8*E10</f>
        <v>0.21361689712071377</v>
      </c>
      <c r="F12" s="23">
        <f>F8*F10</f>
        <v>68.825546363764431</v>
      </c>
      <c r="G12" s="23"/>
      <c r="H12" s="23"/>
      <c r="I12" s="23"/>
      <c r="J12" s="23">
        <f>J8*J10</f>
        <v>5.5139441327802068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1.4445087037191752E-2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10.089908340708417</v>
      </c>
      <c r="C26" s="247">
        <f>B26*'GWP N2O_CH4'!B5</f>
        <v>211.88807515487676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0.80801325388292333</v>
      </c>
      <c r="C27" s="247">
        <f>B27*'GWP N2O_CH4'!B5</f>
        <v>16.968278331541391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0.12717854515773808</v>
      </c>
      <c r="C28" s="247">
        <f>B28*'GWP N2O_CH4'!B4</f>
        <v>39.425348998898805</v>
      </c>
      <c r="D28" s="50"/>
    </row>
    <row r="29" spans="1:4">
      <c r="A29" s="41" t="s">
        <v>277</v>
      </c>
      <c r="B29" s="247">
        <f>B34*'ha_N2O bodem landbouw'!B4</f>
        <v>0.58916105613545466</v>
      </c>
      <c r="C29" s="247">
        <f>B29*'GWP N2O_CH4'!B4</f>
        <v>182.63992740199095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1.3213844545800077E-4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1.0916093000793497E-4</v>
      </c>
      <c r="C5" s="464" t="s">
        <v>211</v>
      </c>
      <c r="D5" s="449">
        <f>SUM(D6:D11)</f>
        <v>2.9363474646275513E-4</v>
      </c>
      <c r="E5" s="449">
        <f>SUM(E6:E11)</f>
        <v>2.1787928702404805E-3</v>
      </c>
      <c r="F5" s="462" t="s">
        <v>211</v>
      </c>
      <c r="G5" s="449">
        <f>SUM(G6:G11)</f>
        <v>0.53929763644937556</v>
      </c>
      <c r="H5" s="449">
        <f>SUM(H6:H11)</f>
        <v>0.1140914833440865</v>
      </c>
      <c r="I5" s="464" t="s">
        <v>211</v>
      </c>
      <c r="J5" s="464" t="s">
        <v>211</v>
      </c>
      <c r="K5" s="464" t="s">
        <v>211</v>
      </c>
      <c r="L5" s="464" t="s">
        <v>211</v>
      </c>
      <c r="M5" s="449">
        <f>SUM(M6:M11)</f>
        <v>3.4708092876702346E-2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1.2881367208042701E-5</v>
      </c>
      <c r="C6" s="450"/>
      <c r="D6" s="893">
        <f>vkm_2011_GW_PW*SUMIFS(TableVerdeelsleutelVkm[CNG],TableVerdeelsleutelVkm[Voertuigtype],"Lichte voertuigen")*SUMIFS(TableECFTransport[EnergieConsumptieFactor (PJ per km)],TableECFTransport[Index],CONCATENATE($A6,"_CNG_CNG"))</f>
        <v>2.9796020531984713E-5</v>
      </c>
      <c r="E6" s="893">
        <f>vkm_2011_GW_PW*SUMIFS(TableVerdeelsleutelVkm[LPG],TableVerdeelsleutelVkm[Voertuigtype],"Lichte voertuigen")*SUMIFS(TableECFTransport[EnergieConsumptieFactor (PJ per km)],TableECFTransport[Index],CONCATENATE($A6,"_LPG_LPG"))</f>
        <v>1.9401369239149029E-4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4.0304909228669229E-2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1.1361120985727065E-2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2.6811991349499848E-3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1.0063553452175331E-2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3.4415525179997697E-6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5.8223361001798885E-4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1.8207160245706221E-5</v>
      </c>
      <c r="C8" s="450"/>
      <c r="D8" s="452">
        <f>vkm_2011_NGW_PW*SUMIFS(TableVerdeelsleutelVkm[CNG],TableVerdeelsleutelVkm[Voertuigtype],"Lichte voertuigen")*SUMIFS(TableECFTransport[EnergieConsumptieFactor (PJ per km)],TableECFTransport[Index],CONCATENATE($A8,"_CNG_CNG"))</f>
        <v>7.4489421058818791E-5</v>
      </c>
      <c r="E8" s="452">
        <f>vkm_2011_NGW_PW*SUMIFS(TableVerdeelsleutelVkm[LPG],TableVerdeelsleutelVkm[Voertuigtype],"Lichte voertuigen")*SUMIFS(TableECFTransport[EnergieConsumptieFactor (PJ per km)],TableECFTransport[Index],CONCATENATE($A8,"_LPG_LPG"))</f>
        <v>4.4763234571797752E-4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8.6929543937632345E-2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2.7463273101423054E-2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5.8739179469824796E-3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1.2543609450535322E-2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4.0589659016414313E-6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7.2571180430167396E-4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7.8072402554186051E-5</v>
      </c>
      <c r="C10" s="450"/>
      <c r="D10" s="452">
        <f>vkm_2011_SW_PW*SUMIFS(TableVerdeelsleutelVkm[CNG],TableVerdeelsleutelVkm[Voertuigtype],"Lichte voertuigen")*SUMIFS(TableECFTransport[EnergieConsumptieFactor (PJ per km)],TableECFTransport[Index],CONCATENATE($A10,"_CNG_CNG"))</f>
        <v>1.8934930487195164E-4</v>
      </c>
      <c r="E10" s="452">
        <f>vkm_2011_SW_PW*SUMIFS(TableVerdeelsleutelVkm[LPG],TableVerdeelsleutelVkm[Voertuigtype],"Lichte voertuigen")*SUMIFS(TableECFTransport[EnergieConsumptieFactor (PJ per km)],TableECFTransport[Index],CONCATENATE($A10,"_LPG_LPG"))</f>
        <v>1.5371468321310128E-3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0.28749059291371881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7.5222008129855397E-2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1.8945668998202377E-2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0.10196542746664444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3.7580608661358195E-5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5.8993613822478381E-3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30.322480557759711</v>
      </c>
      <c r="C14" s="21"/>
      <c r="D14" s="21">
        <f t="shared" ref="D14:M14" si="0">((D5)*10^9/3600)+D12</f>
        <v>81.56520735076532</v>
      </c>
      <c r="E14" s="21">
        <f t="shared" si="0"/>
        <v>605.22024173346688</v>
      </c>
      <c r="F14" s="21"/>
      <c r="G14" s="21">
        <f t="shared" si="0"/>
        <v>149804.89901371542</v>
      </c>
      <c r="H14" s="21">
        <f t="shared" si="0"/>
        <v>31692.078706690692</v>
      </c>
      <c r="I14" s="21"/>
      <c r="J14" s="21"/>
      <c r="K14" s="21"/>
      <c r="L14" s="21"/>
      <c r="M14" s="21">
        <f t="shared" si="0"/>
        <v>9641.1369101950968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0.21263748554720874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6.4476960213561485</v>
      </c>
      <c r="C18" s="23"/>
      <c r="D18" s="23">
        <f t="shared" ref="D18:M18" si="1">D14*D16</f>
        <v>16.476171884854594</v>
      </c>
      <c r="E18" s="23">
        <f t="shared" si="1"/>
        <v>137.38499487349699</v>
      </c>
      <c r="F18" s="23"/>
      <c r="G18" s="23">
        <f t="shared" si="1"/>
        <v>39997.908036662018</v>
      </c>
      <c r="H18" s="23">
        <f t="shared" si="1"/>
        <v>7891.327597965982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4.1035530258060598E-3</v>
      </c>
      <c r="H50" s="321">
        <f t="shared" si="2"/>
        <v>0</v>
      </c>
      <c r="I50" s="321">
        <f t="shared" si="2"/>
        <v>0</v>
      </c>
      <c r="J50" s="321">
        <f t="shared" si="2"/>
        <v>0</v>
      </c>
      <c r="K50" s="321">
        <f t="shared" si="2"/>
        <v>0</v>
      </c>
      <c r="L50" s="321">
        <f t="shared" si="2"/>
        <v>0</v>
      </c>
      <c r="M50" s="321">
        <f t="shared" si="2"/>
        <v>2.3401366655843796E-4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4.1035530258060598E-3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2.3401366655843796E-4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1139.8758405016831</v>
      </c>
      <c r="H54" s="21">
        <f t="shared" si="3"/>
        <v>0</v>
      </c>
      <c r="I54" s="21">
        <f t="shared" si="3"/>
        <v>0</v>
      </c>
      <c r="J54" s="21">
        <f t="shared" si="3"/>
        <v>0</v>
      </c>
      <c r="K54" s="21">
        <f t="shared" si="3"/>
        <v>0</v>
      </c>
      <c r="L54" s="21">
        <f t="shared" si="3"/>
        <v>0</v>
      </c>
      <c r="M54" s="21">
        <f t="shared" si="3"/>
        <v>65.003796266232769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0.21263748554720874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304.34684941394943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9476.0633200000011</v>
      </c>
      <c r="D10" s="1025">
        <f ca="1">tertiair!C16</f>
        <v>0</v>
      </c>
      <c r="E10" s="1025">
        <f ca="1">tertiair!D16</f>
        <v>14593.155549950867</v>
      </c>
      <c r="F10" s="1025">
        <f>tertiair!E16</f>
        <v>68.58480771129183</v>
      </c>
      <c r="G10" s="1025">
        <f ca="1">tertiair!F16</f>
        <v>1266.4345634391605</v>
      </c>
      <c r="H10" s="1025">
        <f>tertiair!G16</f>
        <v>0</v>
      </c>
      <c r="I10" s="1025">
        <f>tertiair!H16</f>
        <v>0</v>
      </c>
      <c r="J10" s="1025">
        <f>tertiair!I16</f>
        <v>0</v>
      </c>
      <c r="K10" s="1025">
        <f>tertiair!J16</f>
        <v>0</v>
      </c>
      <c r="L10" s="1025">
        <f>tertiair!K16</f>
        <v>0</v>
      </c>
      <c r="M10" s="1025">
        <f ca="1">tertiair!L16</f>
        <v>0</v>
      </c>
      <c r="N10" s="1025">
        <f>tertiair!M16</f>
        <v>0</v>
      </c>
      <c r="O10" s="1025">
        <f ca="1">tertiair!N16</f>
        <v>1056.4685128532381</v>
      </c>
      <c r="P10" s="1025">
        <f>tertiair!O16</f>
        <v>1.5633333333333335</v>
      </c>
      <c r="Q10" s="1026">
        <f>tertiair!P16</f>
        <v>38.133333333333333</v>
      </c>
      <c r="R10" s="701">
        <f ca="1">SUM(C10:Q10)</f>
        <v>26500.403420621227</v>
      </c>
      <c r="S10" s="67"/>
    </row>
    <row r="11" spans="1:19" s="474" customFormat="1">
      <c r="A11" s="810" t="s">
        <v>225</v>
      </c>
      <c r="B11" s="815"/>
      <c r="C11" s="1025">
        <f>huishoudens!B8</f>
        <v>18709.456302319159</v>
      </c>
      <c r="D11" s="1025">
        <f>huishoudens!C8</f>
        <v>0</v>
      </c>
      <c r="E11" s="1025">
        <f>huishoudens!D8</f>
        <v>51393.774925827805</v>
      </c>
      <c r="F11" s="1025">
        <f>huishoudens!E8</f>
        <v>1073.4425211940029</v>
      </c>
      <c r="G11" s="1025">
        <f>huishoudens!F8</f>
        <v>14619.731005826141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4824.6209160920462</v>
      </c>
      <c r="P11" s="1025">
        <f>huishoudens!O8</f>
        <v>137.57333333333335</v>
      </c>
      <c r="Q11" s="1026">
        <f>huishoudens!P8</f>
        <v>324.13333333333333</v>
      </c>
      <c r="R11" s="701">
        <f>SUM(C11:Q11)</f>
        <v>91082.732337925801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730.74835000000007</v>
      </c>
      <c r="D13" s="1025">
        <f>industrie!C18</f>
        <v>0</v>
      </c>
      <c r="E13" s="1025">
        <f>industrie!D18</f>
        <v>1257.5840609851043</v>
      </c>
      <c r="F13" s="1025">
        <f>industrie!E18</f>
        <v>100.94643865902307</v>
      </c>
      <c r="G13" s="1025">
        <f>industrie!F18</f>
        <v>396.9164905329082</v>
      </c>
      <c r="H13" s="1025">
        <f>industrie!G18</f>
        <v>0</v>
      </c>
      <c r="I13" s="1025">
        <f>industrie!H18</f>
        <v>0</v>
      </c>
      <c r="J13" s="1025">
        <f>industrie!I18</f>
        <v>0</v>
      </c>
      <c r="K13" s="1025">
        <f>industrie!J18</f>
        <v>1.9082295399343394</v>
      </c>
      <c r="L13" s="1025">
        <f>industrie!K18</f>
        <v>0</v>
      </c>
      <c r="M13" s="1025">
        <f>industrie!L18</f>
        <v>0</v>
      </c>
      <c r="N13" s="1025">
        <f>industrie!M18</f>
        <v>0</v>
      </c>
      <c r="O13" s="1025">
        <f>industrie!N18</f>
        <v>199.55586760077173</v>
      </c>
      <c r="P13" s="1025">
        <f>industrie!O18</f>
        <v>0</v>
      </c>
      <c r="Q13" s="1026">
        <f>industrie!P18</f>
        <v>0</v>
      </c>
      <c r="R13" s="701">
        <f>SUM(C13:Q13)</f>
        <v>2687.6594373177418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28916.267972319161</v>
      </c>
      <c r="D16" s="733">
        <f t="shared" ref="D16:R16" ca="1" si="0">SUM(D9:D15)</f>
        <v>0</v>
      </c>
      <c r="E16" s="733">
        <f t="shared" ca="1" si="0"/>
        <v>67244.514536763774</v>
      </c>
      <c r="F16" s="733">
        <f t="shared" si="0"/>
        <v>1242.9737675643178</v>
      </c>
      <c r="G16" s="733">
        <f t="shared" ca="1" si="0"/>
        <v>16283.082059798211</v>
      </c>
      <c r="H16" s="733">
        <f t="shared" si="0"/>
        <v>0</v>
      </c>
      <c r="I16" s="733">
        <f t="shared" si="0"/>
        <v>0</v>
      </c>
      <c r="J16" s="733">
        <f t="shared" si="0"/>
        <v>0</v>
      </c>
      <c r="K16" s="733">
        <f t="shared" si="0"/>
        <v>1.9082295399343394</v>
      </c>
      <c r="L16" s="733">
        <f t="shared" si="0"/>
        <v>0</v>
      </c>
      <c r="M16" s="733">
        <f t="shared" ca="1" si="0"/>
        <v>0</v>
      </c>
      <c r="N16" s="733">
        <f t="shared" si="0"/>
        <v>0</v>
      </c>
      <c r="O16" s="733">
        <f t="shared" ca="1" si="0"/>
        <v>6080.6452965460558</v>
      </c>
      <c r="P16" s="733">
        <f t="shared" si="0"/>
        <v>139.13666666666668</v>
      </c>
      <c r="Q16" s="733">
        <f t="shared" si="0"/>
        <v>362.26666666666665</v>
      </c>
      <c r="R16" s="733">
        <f t="shared" ca="1" si="0"/>
        <v>120270.79519586476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1139.8758405016831</v>
      </c>
      <c r="I19" s="1025">
        <f>transport!H54</f>
        <v>0</v>
      </c>
      <c r="J19" s="1025">
        <f>transport!I54</f>
        <v>0</v>
      </c>
      <c r="K19" s="1025">
        <f>transport!J54</f>
        <v>0</v>
      </c>
      <c r="L19" s="1025">
        <f>transport!K54</f>
        <v>0</v>
      </c>
      <c r="M19" s="1025">
        <f>transport!L54</f>
        <v>0</v>
      </c>
      <c r="N19" s="1025">
        <f>transport!M54</f>
        <v>65.003796266232769</v>
      </c>
      <c r="O19" s="1025">
        <f>transport!N54</f>
        <v>0</v>
      </c>
      <c r="P19" s="1025">
        <f>transport!O54</f>
        <v>0</v>
      </c>
      <c r="Q19" s="1026">
        <f>transport!P54</f>
        <v>0</v>
      </c>
      <c r="R19" s="701">
        <f>SUM(C19:Q19)</f>
        <v>1204.8796367679158</v>
      </c>
      <c r="S19" s="67"/>
    </row>
    <row r="20" spans="1:19" s="474" customFormat="1">
      <c r="A20" s="810" t="s">
        <v>307</v>
      </c>
      <c r="B20" s="815"/>
      <c r="C20" s="1025">
        <f>transport!B14</f>
        <v>30.322480557759711</v>
      </c>
      <c r="D20" s="1025">
        <f>transport!C14</f>
        <v>0</v>
      </c>
      <c r="E20" s="1025">
        <f>transport!D14</f>
        <v>81.56520735076532</v>
      </c>
      <c r="F20" s="1025">
        <f>transport!E14</f>
        <v>605.22024173346688</v>
      </c>
      <c r="G20" s="1025">
        <f>transport!F14</f>
        <v>0</v>
      </c>
      <c r="H20" s="1025">
        <f>transport!G14</f>
        <v>149804.89901371542</v>
      </c>
      <c r="I20" s="1025">
        <f>transport!H14</f>
        <v>31692.078706690692</v>
      </c>
      <c r="J20" s="1025">
        <f>transport!I14</f>
        <v>0</v>
      </c>
      <c r="K20" s="1025">
        <f>transport!J14</f>
        <v>0</v>
      </c>
      <c r="L20" s="1025">
        <f>transport!K14</f>
        <v>0</v>
      </c>
      <c r="M20" s="1025">
        <f>transport!L14</f>
        <v>0</v>
      </c>
      <c r="N20" s="1025">
        <f>transport!M14</f>
        <v>9641.1369101950968</v>
      </c>
      <c r="O20" s="1025">
        <f>transport!N14</f>
        <v>0</v>
      </c>
      <c r="P20" s="1025">
        <f>transport!O14</f>
        <v>0</v>
      </c>
      <c r="Q20" s="1026">
        <f>transport!P14</f>
        <v>0</v>
      </c>
      <c r="R20" s="701">
        <f>SUM(C20:Q20)</f>
        <v>191855.22256024319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30.322480557759711</v>
      </c>
      <c r="D22" s="813">
        <f t="shared" ref="D22:R22" si="1">SUM(D18:D21)</f>
        <v>0</v>
      </c>
      <c r="E22" s="813">
        <f t="shared" si="1"/>
        <v>81.56520735076532</v>
      </c>
      <c r="F22" s="813">
        <f t="shared" si="1"/>
        <v>605.22024173346688</v>
      </c>
      <c r="G22" s="813">
        <f t="shared" si="1"/>
        <v>0</v>
      </c>
      <c r="H22" s="813">
        <f t="shared" si="1"/>
        <v>150944.7748542171</v>
      </c>
      <c r="I22" s="813">
        <f t="shared" si="1"/>
        <v>31692.078706690692</v>
      </c>
      <c r="J22" s="813">
        <f t="shared" si="1"/>
        <v>0</v>
      </c>
      <c r="K22" s="813">
        <f t="shared" si="1"/>
        <v>0</v>
      </c>
      <c r="L22" s="813">
        <f t="shared" si="1"/>
        <v>0</v>
      </c>
      <c r="M22" s="813">
        <f t="shared" si="1"/>
        <v>0</v>
      </c>
      <c r="N22" s="813">
        <f t="shared" si="1"/>
        <v>9706.1407064613304</v>
      </c>
      <c r="O22" s="813">
        <f t="shared" si="1"/>
        <v>0</v>
      </c>
      <c r="P22" s="813">
        <f t="shared" si="1"/>
        <v>0</v>
      </c>
      <c r="Q22" s="813">
        <f t="shared" si="1"/>
        <v>0</v>
      </c>
      <c r="R22" s="813">
        <f t="shared" si="1"/>
        <v>193060.10219701109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101.59804000000001</v>
      </c>
      <c r="D24" s="1025">
        <f>+landbouw!C8</f>
        <v>0</v>
      </c>
      <c r="E24" s="1025">
        <f>+landbouw!D8</f>
        <v>179.18198281701541</v>
      </c>
      <c r="F24" s="1025">
        <f>+landbouw!E8</f>
        <v>0.94104359965072137</v>
      </c>
      <c r="G24" s="1025">
        <f>+landbouw!F8</f>
        <v>257.77358188675817</v>
      </c>
      <c r="H24" s="1025">
        <f>+landbouw!G8</f>
        <v>0</v>
      </c>
      <c r="I24" s="1025">
        <f>+landbouw!H8</f>
        <v>0</v>
      </c>
      <c r="J24" s="1025">
        <f>+landbouw!I8</f>
        <v>0</v>
      </c>
      <c r="K24" s="1025">
        <f>+landbouw!J8</f>
        <v>15.576113369435614</v>
      </c>
      <c r="L24" s="1025">
        <f>+landbouw!K8</f>
        <v>0</v>
      </c>
      <c r="M24" s="1025">
        <f>+landbouw!L8</f>
        <v>0</v>
      </c>
      <c r="N24" s="1025">
        <f>+landbouw!M8</f>
        <v>0</v>
      </c>
      <c r="O24" s="1025">
        <f>+landbouw!N8</f>
        <v>0</v>
      </c>
      <c r="P24" s="1025">
        <f>+landbouw!O8</f>
        <v>0</v>
      </c>
      <c r="Q24" s="1026">
        <f>+landbouw!P8</f>
        <v>0</v>
      </c>
      <c r="R24" s="701">
        <f>SUM(C24:Q24)</f>
        <v>555.07076167285993</v>
      </c>
      <c r="S24" s="67"/>
    </row>
    <row r="25" spans="1:19" s="474" customFormat="1" ht="15" thickBot="1">
      <c r="A25" s="832" t="s">
        <v>864</v>
      </c>
      <c r="B25" s="1028"/>
      <c r="C25" s="1029">
        <f>IF(Onbekend_ele_kWh="---",0,Onbekend_ele_kWh)/1000+IF(REST_rest_ele_kWh="---",0,REST_rest_ele_kWh)/1000</f>
        <v>1715.9970000000001</v>
      </c>
      <c r="D25" s="1029"/>
      <c r="E25" s="1029">
        <f>IF(onbekend_gas_kWh="---",0,onbekend_gas_kWh)/1000+IF(REST_rest_gas_kWh="---",0,REST_rest_gas_kWh)/1000</f>
        <v>1605.5276719263402</v>
      </c>
      <c r="F25" s="1029"/>
      <c r="G25" s="1029"/>
      <c r="H25" s="1029"/>
      <c r="I25" s="1029"/>
      <c r="J25" s="1029"/>
      <c r="K25" s="1029"/>
      <c r="L25" s="1029"/>
      <c r="M25" s="1029"/>
      <c r="N25" s="1029"/>
      <c r="O25" s="1029"/>
      <c r="P25" s="1029"/>
      <c r="Q25" s="1030"/>
      <c r="R25" s="701">
        <f>SUM(C25:Q25)</f>
        <v>3321.5246719263405</v>
      </c>
      <c r="S25" s="67"/>
    </row>
    <row r="26" spans="1:19" s="474" customFormat="1" ht="15.75" thickBot="1">
      <c r="A26" s="706" t="s">
        <v>865</v>
      </c>
      <c r="B26" s="818"/>
      <c r="C26" s="813">
        <f>SUM(C24:C25)</f>
        <v>1817.5950400000002</v>
      </c>
      <c r="D26" s="813">
        <f t="shared" ref="D26:R26" si="2">SUM(D24:D25)</f>
        <v>0</v>
      </c>
      <c r="E26" s="813">
        <f t="shared" si="2"/>
        <v>1784.7096547433557</v>
      </c>
      <c r="F26" s="813">
        <f t="shared" si="2"/>
        <v>0.94104359965072137</v>
      </c>
      <c r="G26" s="813">
        <f t="shared" si="2"/>
        <v>257.77358188675817</v>
      </c>
      <c r="H26" s="813">
        <f t="shared" si="2"/>
        <v>0</v>
      </c>
      <c r="I26" s="813">
        <f t="shared" si="2"/>
        <v>0</v>
      </c>
      <c r="J26" s="813">
        <f t="shared" si="2"/>
        <v>0</v>
      </c>
      <c r="K26" s="813">
        <f t="shared" si="2"/>
        <v>15.576113369435614</v>
      </c>
      <c r="L26" s="813">
        <f t="shared" si="2"/>
        <v>0</v>
      </c>
      <c r="M26" s="813">
        <f t="shared" si="2"/>
        <v>0</v>
      </c>
      <c r="N26" s="813">
        <f t="shared" si="2"/>
        <v>0</v>
      </c>
      <c r="O26" s="813">
        <f t="shared" si="2"/>
        <v>0</v>
      </c>
      <c r="P26" s="813">
        <f t="shared" si="2"/>
        <v>0</v>
      </c>
      <c r="Q26" s="813">
        <f t="shared" si="2"/>
        <v>0</v>
      </c>
      <c r="R26" s="813">
        <f t="shared" si="2"/>
        <v>3876.5954335992005</v>
      </c>
      <c r="S26" s="67"/>
    </row>
    <row r="27" spans="1:19" s="474" customFormat="1" ht="17.25" thickTop="1" thickBot="1">
      <c r="A27" s="707" t="s">
        <v>116</v>
      </c>
      <c r="B27" s="806"/>
      <c r="C27" s="708">
        <f ca="1">C22+C16+C26</f>
        <v>30764.185492876921</v>
      </c>
      <c r="D27" s="708">
        <f t="shared" ref="D27:R27" ca="1" si="3">D22+D16+D26</f>
        <v>0</v>
      </c>
      <c r="E27" s="708">
        <f t="shared" ca="1" si="3"/>
        <v>69110.789398857902</v>
      </c>
      <c r="F27" s="708">
        <f t="shared" si="3"/>
        <v>1849.1350528974356</v>
      </c>
      <c r="G27" s="708">
        <f t="shared" ca="1" si="3"/>
        <v>16540.855641684968</v>
      </c>
      <c r="H27" s="708">
        <f t="shared" si="3"/>
        <v>150944.7748542171</v>
      </c>
      <c r="I27" s="708">
        <f t="shared" si="3"/>
        <v>31692.078706690692</v>
      </c>
      <c r="J27" s="708">
        <f t="shared" si="3"/>
        <v>0</v>
      </c>
      <c r="K27" s="708">
        <f t="shared" si="3"/>
        <v>17.484342909369953</v>
      </c>
      <c r="L27" s="708">
        <f t="shared" si="3"/>
        <v>0</v>
      </c>
      <c r="M27" s="708">
        <f t="shared" ca="1" si="3"/>
        <v>0</v>
      </c>
      <c r="N27" s="708">
        <f t="shared" si="3"/>
        <v>9706.1407064613304</v>
      </c>
      <c r="O27" s="708">
        <f t="shared" ca="1" si="3"/>
        <v>6080.6452965460558</v>
      </c>
      <c r="P27" s="708">
        <f t="shared" si="3"/>
        <v>139.13666666666668</v>
      </c>
      <c r="Q27" s="708">
        <f t="shared" si="3"/>
        <v>362.26666666666665</v>
      </c>
      <c r="R27" s="708">
        <f t="shared" ca="1" si="3"/>
        <v>317207.49282647506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2014.966277250935</v>
      </c>
      <c r="D40" s="1025">
        <f ca="1">tertiair!C20</f>
        <v>0</v>
      </c>
      <c r="E40" s="1025">
        <f ca="1">tertiair!D20</f>
        <v>2947.8174210900752</v>
      </c>
      <c r="F40" s="1025">
        <f>tertiair!E20</f>
        <v>15.568751350463247</v>
      </c>
      <c r="G40" s="1025">
        <f ca="1">tertiair!F20</f>
        <v>338.13802843825584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5316.49047812973</v>
      </c>
    </row>
    <row r="41" spans="1:18">
      <c r="A41" s="823" t="s">
        <v>225</v>
      </c>
      <c r="B41" s="830"/>
      <c r="C41" s="1025">
        <f ca="1">huishoudens!B12</f>
        <v>3978.3317440805235</v>
      </c>
      <c r="D41" s="1025">
        <f ca="1">huishoudens!C12</f>
        <v>0</v>
      </c>
      <c r="E41" s="1025">
        <f>huishoudens!D12</f>
        <v>10381.542535017217</v>
      </c>
      <c r="F41" s="1025">
        <f>huishoudens!E12</f>
        <v>243.67145231103868</v>
      </c>
      <c r="G41" s="1025">
        <f>huishoudens!F12</f>
        <v>3903.4681785555799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18507.01390996436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155.38449171177166</v>
      </c>
      <c r="D43" s="1025">
        <f ca="1">industrie!C22</f>
        <v>0</v>
      </c>
      <c r="E43" s="1025">
        <f>industrie!D22</f>
        <v>254.03198031899109</v>
      </c>
      <c r="F43" s="1025">
        <f>industrie!E22</f>
        <v>22.914841575598238</v>
      </c>
      <c r="G43" s="1025">
        <f>industrie!F22</f>
        <v>105.97670297228649</v>
      </c>
      <c r="H43" s="1025">
        <f>industrie!G22</f>
        <v>0</v>
      </c>
      <c r="I43" s="1025">
        <f>industrie!H22</f>
        <v>0</v>
      </c>
      <c r="J43" s="1025">
        <f>industrie!I22</f>
        <v>0</v>
      </c>
      <c r="K43" s="1025">
        <f>industrie!J22</f>
        <v>0.67551325713675614</v>
      </c>
      <c r="L43" s="1025">
        <f>industrie!K22</f>
        <v>0</v>
      </c>
      <c r="M43" s="1025">
        <f>industrie!L22</f>
        <v>0</v>
      </c>
      <c r="N43" s="1025">
        <f>industrie!M22</f>
        <v>0</v>
      </c>
      <c r="O43" s="1025">
        <f>industrie!N22</f>
        <v>0</v>
      </c>
      <c r="P43" s="1025">
        <f>industrie!O22</f>
        <v>0</v>
      </c>
      <c r="Q43" s="775">
        <f>industrie!P22</f>
        <v>0</v>
      </c>
      <c r="R43" s="850">
        <f t="shared" ca="1" si="4"/>
        <v>538.98352983578434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6148.6825130432298</v>
      </c>
      <c r="D46" s="733">
        <f t="shared" ref="D46:Q46" ca="1" si="5">SUM(D39:D45)</f>
        <v>0</v>
      </c>
      <c r="E46" s="733">
        <f t="shared" ca="1" si="5"/>
        <v>13583.391936426282</v>
      </c>
      <c r="F46" s="733">
        <f t="shared" si="5"/>
        <v>282.15504523710018</v>
      </c>
      <c r="G46" s="733">
        <f t="shared" ca="1" si="5"/>
        <v>4347.5829099661223</v>
      </c>
      <c r="H46" s="733">
        <f t="shared" si="5"/>
        <v>0</v>
      </c>
      <c r="I46" s="733">
        <f t="shared" si="5"/>
        <v>0</v>
      </c>
      <c r="J46" s="733">
        <f t="shared" si="5"/>
        <v>0</v>
      </c>
      <c r="K46" s="733">
        <f t="shared" si="5"/>
        <v>0.67551325713675614</v>
      </c>
      <c r="L46" s="733">
        <f t="shared" si="5"/>
        <v>0</v>
      </c>
      <c r="M46" s="733">
        <f t="shared" ca="1" si="5"/>
        <v>0</v>
      </c>
      <c r="N46" s="733">
        <f t="shared" si="5"/>
        <v>0</v>
      </c>
      <c r="O46" s="733">
        <f t="shared" ca="1" si="5"/>
        <v>0</v>
      </c>
      <c r="P46" s="733">
        <f t="shared" si="5"/>
        <v>0</v>
      </c>
      <c r="Q46" s="733">
        <f t="shared" si="5"/>
        <v>0</v>
      </c>
      <c r="R46" s="733">
        <f ca="1">SUM(R39:R45)</f>
        <v>24362.487917929873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304.34684941394943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304.34684941394943</v>
      </c>
    </row>
    <row r="50" spans="1:18">
      <c r="A50" s="826" t="s">
        <v>307</v>
      </c>
      <c r="B50" s="836"/>
      <c r="C50" s="704">
        <f ca="1">transport!B18</f>
        <v>6.4476960213561485</v>
      </c>
      <c r="D50" s="704">
        <f>transport!C18</f>
        <v>0</v>
      </c>
      <c r="E50" s="704">
        <f>transport!D18</f>
        <v>16.476171884854594</v>
      </c>
      <c r="F50" s="704">
        <f>transport!E18</f>
        <v>137.38499487349699</v>
      </c>
      <c r="G50" s="704">
        <f>transport!F18</f>
        <v>0</v>
      </c>
      <c r="H50" s="704">
        <f>transport!G18</f>
        <v>39997.908036662018</v>
      </c>
      <c r="I50" s="704">
        <f>transport!H18</f>
        <v>7891.327597965982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48049.544497407704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6.4476960213561485</v>
      </c>
      <c r="D52" s="733">
        <f t="shared" ref="D52:Q52" ca="1" si="6">SUM(D48:D51)</f>
        <v>0</v>
      </c>
      <c r="E52" s="733">
        <f t="shared" si="6"/>
        <v>16.476171884854594</v>
      </c>
      <c r="F52" s="733">
        <f t="shared" si="6"/>
        <v>137.38499487349699</v>
      </c>
      <c r="G52" s="733">
        <f t="shared" si="6"/>
        <v>0</v>
      </c>
      <c r="H52" s="733">
        <f t="shared" si="6"/>
        <v>40302.254886075971</v>
      </c>
      <c r="I52" s="733">
        <f t="shared" si="6"/>
        <v>7891.327597965982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48353.891346821656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21.603551762124738</v>
      </c>
      <c r="D54" s="704">
        <f ca="1">+landbouw!C12</f>
        <v>0</v>
      </c>
      <c r="E54" s="704">
        <f>+landbouw!D12</f>
        <v>36.194760529037119</v>
      </c>
      <c r="F54" s="704">
        <f>+landbouw!E12</f>
        <v>0.21361689712071377</v>
      </c>
      <c r="G54" s="704">
        <f>+landbouw!F12</f>
        <v>68.825546363764431</v>
      </c>
      <c r="H54" s="704">
        <f>+landbouw!G12</f>
        <v>0</v>
      </c>
      <c r="I54" s="704">
        <f>+landbouw!H12</f>
        <v>0</v>
      </c>
      <c r="J54" s="704">
        <f>+landbouw!I12</f>
        <v>0</v>
      </c>
      <c r="K54" s="704">
        <f>+landbouw!J12</f>
        <v>5.5139441327802068</v>
      </c>
      <c r="L54" s="704">
        <f>+landbouw!K12</f>
        <v>0</v>
      </c>
      <c r="M54" s="704">
        <f>+landbouw!L12</f>
        <v>0</v>
      </c>
      <c r="N54" s="704">
        <f>+landbouw!M12</f>
        <v>0</v>
      </c>
      <c r="O54" s="704">
        <f>+landbouw!N12</f>
        <v>0</v>
      </c>
      <c r="P54" s="704">
        <f>+landbouw!O12</f>
        <v>0</v>
      </c>
      <c r="Q54" s="705">
        <f>+landbouw!P12</f>
        <v>0</v>
      </c>
      <c r="R54" s="732">
        <f ca="1">SUM(C54:Q54)</f>
        <v>132.35141968482722</v>
      </c>
    </row>
    <row r="55" spans="1:18" ht="15" thickBot="1">
      <c r="A55" s="826" t="s">
        <v>864</v>
      </c>
      <c r="B55" s="836"/>
      <c r="C55" s="704">
        <f ca="1">C25*'EF ele_warmte'!B12</f>
        <v>364.88528728655359</v>
      </c>
      <c r="D55" s="704"/>
      <c r="E55" s="704">
        <f>E25*EF_CO2_aardgas</f>
        <v>324.31658972912072</v>
      </c>
      <c r="F55" s="704"/>
      <c r="G55" s="704"/>
      <c r="H55" s="704"/>
      <c r="I55" s="704"/>
      <c r="J55" s="704"/>
      <c r="K55" s="704"/>
      <c r="L55" s="704"/>
      <c r="M55" s="704"/>
      <c r="N55" s="704"/>
      <c r="O55" s="704"/>
      <c r="P55" s="704"/>
      <c r="Q55" s="705"/>
      <c r="R55" s="732">
        <f ca="1">SUM(C55:Q55)</f>
        <v>689.20187701567431</v>
      </c>
    </row>
    <row r="56" spans="1:18" ht="15.75" thickBot="1">
      <c r="A56" s="824" t="s">
        <v>865</v>
      </c>
      <c r="B56" s="837"/>
      <c r="C56" s="733">
        <f ca="1">SUM(C54:C55)</f>
        <v>386.4888390486783</v>
      </c>
      <c r="D56" s="733">
        <f t="shared" ref="D56:Q56" ca="1" si="7">SUM(D54:D55)</f>
        <v>0</v>
      </c>
      <c r="E56" s="733">
        <f t="shared" si="7"/>
        <v>360.51135025815785</v>
      </c>
      <c r="F56" s="733">
        <f t="shared" si="7"/>
        <v>0.21361689712071377</v>
      </c>
      <c r="G56" s="733">
        <f t="shared" si="7"/>
        <v>68.825546363764431</v>
      </c>
      <c r="H56" s="733">
        <f t="shared" si="7"/>
        <v>0</v>
      </c>
      <c r="I56" s="733">
        <f t="shared" si="7"/>
        <v>0</v>
      </c>
      <c r="J56" s="733">
        <f t="shared" si="7"/>
        <v>0</v>
      </c>
      <c r="K56" s="733">
        <f t="shared" si="7"/>
        <v>5.5139441327802068</v>
      </c>
      <c r="L56" s="733">
        <f t="shared" si="7"/>
        <v>0</v>
      </c>
      <c r="M56" s="733">
        <f t="shared" si="7"/>
        <v>0</v>
      </c>
      <c r="N56" s="733">
        <f t="shared" si="7"/>
        <v>0</v>
      </c>
      <c r="O56" s="733">
        <f t="shared" si="7"/>
        <v>0</v>
      </c>
      <c r="P56" s="733">
        <f t="shared" si="7"/>
        <v>0</v>
      </c>
      <c r="Q56" s="734">
        <f t="shared" si="7"/>
        <v>0</v>
      </c>
      <c r="R56" s="735">
        <f ca="1">SUM(R54:R55)</f>
        <v>821.55329670050151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6541.6190481132644</v>
      </c>
      <c r="D61" s="741">
        <f t="shared" ref="D61:Q61" ca="1" si="8">D46+D52+D56</f>
        <v>0</v>
      </c>
      <c r="E61" s="741">
        <f t="shared" ca="1" si="8"/>
        <v>13960.379458569294</v>
      </c>
      <c r="F61" s="741">
        <f t="shared" si="8"/>
        <v>419.75365700771783</v>
      </c>
      <c r="G61" s="741">
        <f t="shared" ca="1" si="8"/>
        <v>4416.4084563298866</v>
      </c>
      <c r="H61" s="741">
        <f t="shared" si="8"/>
        <v>40302.254886075971</v>
      </c>
      <c r="I61" s="741">
        <f t="shared" si="8"/>
        <v>7891.327597965982</v>
      </c>
      <c r="J61" s="741">
        <f t="shared" si="8"/>
        <v>0</v>
      </c>
      <c r="K61" s="741">
        <f t="shared" si="8"/>
        <v>6.1894573899169627</v>
      </c>
      <c r="L61" s="741">
        <f t="shared" si="8"/>
        <v>0</v>
      </c>
      <c r="M61" s="741">
        <f t="shared" ca="1" si="8"/>
        <v>0</v>
      </c>
      <c r="N61" s="741">
        <f t="shared" si="8"/>
        <v>0</v>
      </c>
      <c r="O61" s="741">
        <f t="shared" ca="1" si="8"/>
        <v>0</v>
      </c>
      <c r="P61" s="741">
        <f t="shared" si="8"/>
        <v>0</v>
      </c>
      <c r="Q61" s="741">
        <f t="shared" si="8"/>
        <v>0</v>
      </c>
      <c r="R61" s="741">
        <f ca="1">R46+R52+R56</f>
        <v>73537.932561452035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0.21263748554720871</v>
      </c>
      <c r="D63" s="782">
        <f t="shared" ca="1" si="9"/>
        <v>0</v>
      </c>
      <c r="E63" s="1036">
        <f t="shared" ca="1" si="9"/>
        <v>0.20199999999999996</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1164.09930231916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1164.09930231916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1164.09930231916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1164.09930231916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18709.456302319159</v>
      </c>
      <c r="C4" s="478">
        <f>huishoudens!C8</f>
        <v>0</v>
      </c>
      <c r="D4" s="478">
        <f>huishoudens!D8</f>
        <v>51393.774925827805</v>
      </c>
      <c r="E4" s="478">
        <f>huishoudens!E8</f>
        <v>1073.4425211940029</v>
      </c>
      <c r="F4" s="478">
        <f>huishoudens!F8</f>
        <v>14619.731005826141</v>
      </c>
      <c r="G4" s="478">
        <f>huishoudens!G8</f>
        <v>0</v>
      </c>
      <c r="H4" s="478">
        <f>huishoudens!H8</f>
        <v>0</v>
      </c>
      <c r="I4" s="478">
        <f>huishoudens!I8</f>
        <v>0</v>
      </c>
      <c r="J4" s="478">
        <f>huishoudens!J8</f>
        <v>0</v>
      </c>
      <c r="K4" s="478">
        <f>huishoudens!K8</f>
        <v>0</v>
      </c>
      <c r="L4" s="478">
        <f>huishoudens!L8</f>
        <v>0</v>
      </c>
      <c r="M4" s="478">
        <f>huishoudens!M8</f>
        <v>0</v>
      </c>
      <c r="N4" s="478">
        <f>huishoudens!N8</f>
        <v>4824.6209160920462</v>
      </c>
      <c r="O4" s="478">
        <f>huishoudens!O8</f>
        <v>137.57333333333335</v>
      </c>
      <c r="P4" s="479">
        <f>huishoudens!P8</f>
        <v>324.13333333333333</v>
      </c>
      <c r="Q4" s="480">
        <f>SUM(B4:P4)</f>
        <v>91082.732337925801</v>
      </c>
    </row>
    <row r="5" spans="1:17">
      <c r="A5" s="477" t="s">
        <v>156</v>
      </c>
      <c r="B5" s="478">
        <f ca="1">tertiair!B16</f>
        <v>8766.4293200000011</v>
      </c>
      <c r="C5" s="478">
        <f ca="1">tertiair!C16</f>
        <v>0</v>
      </c>
      <c r="D5" s="478">
        <f ca="1">tertiair!D16</f>
        <v>14593.155549950867</v>
      </c>
      <c r="E5" s="478">
        <f>tertiair!E16</f>
        <v>68.58480771129183</v>
      </c>
      <c r="F5" s="478">
        <f ca="1">tertiair!F16</f>
        <v>1266.4345634391605</v>
      </c>
      <c r="G5" s="478">
        <f>tertiair!G16</f>
        <v>0</v>
      </c>
      <c r="H5" s="478">
        <f>tertiair!H16</f>
        <v>0</v>
      </c>
      <c r="I5" s="478">
        <f>tertiair!I16</f>
        <v>0</v>
      </c>
      <c r="J5" s="478">
        <f>tertiair!J16</f>
        <v>0</v>
      </c>
      <c r="K5" s="478">
        <f>tertiair!K16</f>
        <v>0</v>
      </c>
      <c r="L5" s="478">
        <f ca="1">tertiair!L16</f>
        <v>0</v>
      </c>
      <c r="M5" s="478">
        <f>tertiair!M16</f>
        <v>0</v>
      </c>
      <c r="N5" s="478">
        <f ca="1">tertiair!N16</f>
        <v>1056.4685128532381</v>
      </c>
      <c r="O5" s="478">
        <f>tertiair!O16</f>
        <v>1.5633333333333335</v>
      </c>
      <c r="P5" s="479">
        <f>tertiair!P16</f>
        <v>38.133333333333333</v>
      </c>
      <c r="Q5" s="477">
        <f t="shared" ref="Q5:Q14" ca="1" si="0">SUM(B5:P5)</f>
        <v>25790.769420621225</v>
      </c>
    </row>
    <row r="6" spans="1:17">
      <c r="A6" s="477" t="s">
        <v>194</v>
      </c>
      <c r="B6" s="478">
        <f>'openbare verlichting'!B8</f>
        <v>709.63400000000001</v>
      </c>
      <c r="C6" s="478"/>
      <c r="D6" s="478"/>
      <c r="E6" s="478"/>
      <c r="F6" s="478"/>
      <c r="G6" s="478"/>
      <c r="H6" s="478"/>
      <c r="I6" s="478"/>
      <c r="J6" s="478"/>
      <c r="K6" s="478"/>
      <c r="L6" s="478"/>
      <c r="M6" s="478"/>
      <c r="N6" s="478"/>
      <c r="O6" s="478"/>
      <c r="P6" s="479"/>
      <c r="Q6" s="477">
        <f t="shared" si="0"/>
        <v>709.63400000000001</v>
      </c>
    </row>
    <row r="7" spans="1:17">
      <c r="A7" s="477" t="s">
        <v>112</v>
      </c>
      <c r="B7" s="478">
        <f>landbouw!B8</f>
        <v>101.59804000000001</v>
      </c>
      <c r="C7" s="478">
        <f>landbouw!C8</f>
        <v>0</v>
      </c>
      <c r="D7" s="478">
        <f>landbouw!D8</f>
        <v>179.18198281701541</v>
      </c>
      <c r="E7" s="478">
        <f>landbouw!E8</f>
        <v>0.94104359965072137</v>
      </c>
      <c r="F7" s="478">
        <f>landbouw!F8</f>
        <v>257.77358188675817</v>
      </c>
      <c r="G7" s="478">
        <f>landbouw!G8</f>
        <v>0</v>
      </c>
      <c r="H7" s="478">
        <f>landbouw!H8</f>
        <v>0</v>
      </c>
      <c r="I7" s="478">
        <f>landbouw!I8</f>
        <v>0</v>
      </c>
      <c r="J7" s="478">
        <f>landbouw!J8</f>
        <v>15.576113369435614</v>
      </c>
      <c r="K7" s="478">
        <f>landbouw!K8</f>
        <v>0</v>
      </c>
      <c r="L7" s="478">
        <f>landbouw!L8</f>
        <v>0</v>
      </c>
      <c r="M7" s="478">
        <f>landbouw!M8</f>
        <v>0</v>
      </c>
      <c r="N7" s="478">
        <f>landbouw!N8</f>
        <v>0</v>
      </c>
      <c r="O7" s="478">
        <f>landbouw!O8</f>
        <v>0</v>
      </c>
      <c r="P7" s="479">
        <f>landbouw!P8</f>
        <v>0</v>
      </c>
      <c r="Q7" s="477">
        <f t="shared" si="0"/>
        <v>555.07076167285993</v>
      </c>
    </row>
    <row r="8" spans="1:17">
      <c r="A8" s="477" t="s">
        <v>650</v>
      </c>
      <c r="B8" s="478">
        <f>industrie!B18</f>
        <v>730.74835000000007</v>
      </c>
      <c r="C8" s="478">
        <f>industrie!C18</f>
        <v>0</v>
      </c>
      <c r="D8" s="478">
        <f>industrie!D18</f>
        <v>1257.5840609851043</v>
      </c>
      <c r="E8" s="478">
        <f>industrie!E18</f>
        <v>100.94643865902307</v>
      </c>
      <c r="F8" s="478">
        <f>industrie!F18</f>
        <v>396.9164905329082</v>
      </c>
      <c r="G8" s="478">
        <f>industrie!G18</f>
        <v>0</v>
      </c>
      <c r="H8" s="478">
        <f>industrie!H18</f>
        <v>0</v>
      </c>
      <c r="I8" s="478">
        <f>industrie!I18</f>
        <v>0</v>
      </c>
      <c r="J8" s="478">
        <f>industrie!J18</f>
        <v>1.9082295399343394</v>
      </c>
      <c r="K8" s="478">
        <f>industrie!K18</f>
        <v>0</v>
      </c>
      <c r="L8" s="478">
        <f>industrie!L18</f>
        <v>0</v>
      </c>
      <c r="M8" s="478">
        <f>industrie!M18</f>
        <v>0</v>
      </c>
      <c r="N8" s="478">
        <f>industrie!N18</f>
        <v>199.55586760077173</v>
      </c>
      <c r="O8" s="478">
        <f>industrie!O18</f>
        <v>0</v>
      </c>
      <c r="P8" s="479">
        <f>industrie!P18</f>
        <v>0</v>
      </c>
      <c r="Q8" s="477">
        <f t="shared" si="0"/>
        <v>2687.6594373177418</v>
      </c>
    </row>
    <row r="9" spans="1:17" s="483" customFormat="1">
      <c r="A9" s="481" t="s">
        <v>571</v>
      </c>
      <c r="B9" s="482">
        <f>transport!B14</f>
        <v>30.322480557759711</v>
      </c>
      <c r="C9" s="482">
        <f>transport!C14</f>
        <v>0</v>
      </c>
      <c r="D9" s="482">
        <f>transport!D14</f>
        <v>81.56520735076532</v>
      </c>
      <c r="E9" s="482">
        <f>transport!E14</f>
        <v>605.22024173346688</v>
      </c>
      <c r="F9" s="482">
        <f>transport!F14</f>
        <v>0</v>
      </c>
      <c r="G9" s="482">
        <f>transport!G14</f>
        <v>149804.89901371542</v>
      </c>
      <c r="H9" s="482">
        <f>transport!H14</f>
        <v>31692.078706690692</v>
      </c>
      <c r="I9" s="482">
        <f>transport!I14</f>
        <v>0</v>
      </c>
      <c r="J9" s="482">
        <f>transport!J14</f>
        <v>0</v>
      </c>
      <c r="K9" s="482">
        <f>transport!K14</f>
        <v>0</v>
      </c>
      <c r="L9" s="482">
        <f>transport!L14</f>
        <v>0</v>
      </c>
      <c r="M9" s="482">
        <f>transport!M14</f>
        <v>9641.1369101950968</v>
      </c>
      <c r="N9" s="482">
        <f>transport!N14</f>
        <v>0</v>
      </c>
      <c r="O9" s="482">
        <f>transport!O14</f>
        <v>0</v>
      </c>
      <c r="P9" s="482">
        <f>transport!P14</f>
        <v>0</v>
      </c>
      <c r="Q9" s="481">
        <f>SUM(B9:P9)</f>
        <v>191855.22256024319</v>
      </c>
    </row>
    <row r="10" spans="1:17">
      <c r="A10" s="477" t="s">
        <v>561</v>
      </c>
      <c r="B10" s="478">
        <f>transport!B54</f>
        <v>0</v>
      </c>
      <c r="C10" s="478">
        <f>transport!C54</f>
        <v>0</v>
      </c>
      <c r="D10" s="478">
        <f>transport!D54</f>
        <v>0</v>
      </c>
      <c r="E10" s="478">
        <f>transport!E54</f>
        <v>0</v>
      </c>
      <c r="F10" s="478">
        <f>transport!F54</f>
        <v>0</v>
      </c>
      <c r="G10" s="478">
        <f>transport!G54</f>
        <v>1139.8758405016831</v>
      </c>
      <c r="H10" s="478">
        <f>transport!H54</f>
        <v>0</v>
      </c>
      <c r="I10" s="478">
        <f>transport!I54</f>
        <v>0</v>
      </c>
      <c r="J10" s="478">
        <f>transport!J54</f>
        <v>0</v>
      </c>
      <c r="K10" s="478">
        <f>transport!K54</f>
        <v>0</v>
      </c>
      <c r="L10" s="478">
        <f>transport!L54</f>
        <v>0</v>
      </c>
      <c r="M10" s="478">
        <f>transport!M54</f>
        <v>65.003796266232769</v>
      </c>
      <c r="N10" s="478">
        <f>transport!N54</f>
        <v>0</v>
      </c>
      <c r="O10" s="478">
        <f>transport!O54</f>
        <v>0</v>
      </c>
      <c r="P10" s="479">
        <f>transport!P54</f>
        <v>0</v>
      </c>
      <c r="Q10" s="477">
        <f t="shared" si="0"/>
        <v>1204.8796367679158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1715.9970000000001</v>
      </c>
      <c r="C14" s="485"/>
      <c r="D14" s="485">
        <f>'SEAP template'!E25</f>
        <v>1605.5276719263402</v>
      </c>
      <c r="E14" s="485"/>
      <c r="F14" s="485"/>
      <c r="G14" s="485"/>
      <c r="H14" s="485"/>
      <c r="I14" s="485"/>
      <c r="J14" s="485"/>
      <c r="K14" s="485"/>
      <c r="L14" s="485"/>
      <c r="M14" s="485"/>
      <c r="N14" s="485"/>
      <c r="O14" s="485"/>
      <c r="P14" s="486"/>
      <c r="Q14" s="477">
        <f t="shared" si="0"/>
        <v>3321.5246719263405</v>
      </c>
    </row>
    <row r="15" spans="1:17" s="487" customFormat="1">
      <c r="A15" s="1051" t="s">
        <v>565</v>
      </c>
      <c r="B15" s="991">
        <f ca="1">SUM(B4:B14)</f>
        <v>30764.185492876921</v>
      </c>
      <c r="C15" s="991">
        <f t="shared" ref="C15:Q15" ca="1" si="1">SUM(C4:C14)</f>
        <v>0</v>
      </c>
      <c r="D15" s="991">
        <f t="shared" ca="1" si="1"/>
        <v>69110.789398857887</v>
      </c>
      <c r="E15" s="991">
        <f t="shared" si="1"/>
        <v>1849.1350528974353</v>
      </c>
      <c r="F15" s="991">
        <f t="shared" ca="1" si="1"/>
        <v>16540.855641684968</v>
      </c>
      <c r="G15" s="991">
        <f t="shared" si="1"/>
        <v>150944.7748542171</v>
      </c>
      <c r="H15" s="991">
        <f t="shared" si="1"/>
        <v>31692.078706690692</v>
      </c>
      <c r="I15" s="991">
        <f t="shared" si="1"/>
        <v>0</v>
      </c>
      <c r="J15" s="991">
        <f t="shared" si="1"/>
        <v>17.484342909369953</v>
      </c>
      <c r="K15" s="991">
        <f t="shared" si="1"/>
        <v>0</v>
      </c>
      <c r="L15" s="991">
        <f t="shared" ca="1" si="1"/>
        <v>0</v>
      </c>
      <c r="M15" s="991">
        <f t="shared" si="1"/>
        <v>9706.1407064613304</v>
      </c>
      <c r="N15" s="991">
        <f t="shared" ca="1" si="1"/>
        <v>6080.6452965460558</v>
      </c>
      <c r="O15" s="991">
        <f t="shared" si="1"/>
        <v>139.13666666666668</v>
      </c>
      <c r="P15" s="991">
        <f t="shared" si="1"/>
        <v>362.26666666666665</v>
      </c>
      <c r="Q15" s="991">
        <f t="shared" ca="1" si="1"/>
        <v>317207.49282647506</v>
      </c>
    </row>
    <row r="17" spans="1:17">
      <c r="A17" s="488" t="s">
        <v>566</v>
      </c>
      <c r="B17" s="787">
        <f ca="1">huishoudens!B10</f>
        <v>0.21263748554720874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3978.3317440805235</v>
      </c>
      <c r="C22" s="478">
        <f t="shared" ref="C22:C32" ca="1" si="3">C4*$C$17</f>
        <v>0</v>
      </c>
      <c r="D22" s="478">
        <f t="shared" ref="D22:D32" si="4">D4*$D$17</f>
        <v>10381.542535017217</v>
      </c>
      <c r="E22" s="478">
        <f t="shared" ref="E22:E32" si="5">E4*$E$17</f>
        <v>243.67145231103868</v>
      </c>
      <c r="F22" s="478">
        <f t="shared" ref="F22:F32" si="6">F4*$F$17</f>
        <v>3903.4681785555799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18507.01390996436</v>
      </c>
    </row>
    <row r="23" spans="1:17">
      <c r="A23" s="477" t="s">
        <v>156</v>
      </c>
      <c r="B23" s="478">
        <f t="shared" ca="1" si="2"/>
        <v>1864.0714878321271</v>
      </c>
      <c r="C23" s="478">
        <f t="shared" ca="1" si="3"/>
        <v>0</v>
      </c>
      <c r="D23" s="478">
        <f t="shared" ca="1" si="4"/>
        <v>2947.8174210900752</v>
      </c>
      <c r="E23" s="478">
        <f t="shared" si="5"/>
        <v>15.568751350463247</v>
      </c>
      <c r="F23" s="478">
        <f t="shared" ca="1" si="6"/>
        <v>338.13802843825584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5165.5956887109214</v>
      </c>
    </row>
    <row r="24" spans="1:17">
      <c r="A24" s="477" t="s">
        <v>194</v>
      </c>
      <c r="B24" s="478">
        <f t="shared" ca="1" si="2"/>
        <v>150.89478941880793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150.89478941880793</v>
      </c>
    </row>
    <row r="25" spans="1:17">
      <c r="A25" s="477" t="s">
        <v>112</v>
      </c>
      <c r="B25" s="478">
        <f t="shared" ca="1" si="2"/>
        <v>21.603551762124738</v>
      </c>
      <c r="C25" s="478">
        <f t="shared" ca="1" si="3"/>
        <v>0</v>
      </c>
      <c r="D25" s="478">
        <f t="shared" si="4"/>
        <v>36.194760529037119</v>
      </c>
      <c r="E25" s="478">
        <f t="shared" si="5"/>
        <v>0.21361689712071377</v>
      </c>
      <c r="F25" s="478">
        <f t="shared" si="6"/>
        <v>68.825546363764431</v>
      </c>
      <c r="G25" s="478">
        <f t="shared" si="7"/>
        <v>0</v>
      </c>
      <c r="H25" s="478">
        <f t="shared" si="8"/>
        <v>0</v>
      </c>
      <c r="I25" s="478">
        <f t="shared" si="9"/>
        <v>0</v>
      </c>
      <c r="J25" s="478">
        <f t="shared" si="10"/>
        <v>5.5139441327802068</v>
      </c>
      <c r="K25" s="478">
        <f t="shared" si="11"/>
        <v>0</v>
      </c>
      <c r="L25" s="478">
        <f t="shared" si="12"/>
        <v>0</v>
      </c>
      <c r="M25" s="478">
        <f t="shared" si="13"/>
        <v>0</v>
      </c>
      <c r="N25" s="478">
        <f t="shared" si="14"/>
        <v>0</v>
      </c>
      <c r="O25" s="478">
        <f t="shared" si="15"/>
        <v>0</v>
      </c>
      <c r="P25" s="479">
        <f t="shared" si="16"/>
        <v>0</v>
      </c>
      <c r="Q25" s="477">
        <f t="shared" ca="1" si="17"/>
        <v>132.35141968482722</v>
      </c>
    </row>
    <row r="26" spans="1:17">
      <c r="A26" s="477" t="s">
        <v>650</v>
      </c>
      <c r="B26" s="478">
        <f t="shared" ca="1" si="2"/>
        <v>155.38449171177166</v>
      </c>
      <c r="C26" s="478">
        <f t="shared" ca="1" si="3"/>
        <v>0</v>
      </c>
      <c r="D26" s="478">
        <f t="shared" si="4"/>
        <v>254.03198031899109</v>
      </c>
      <c r="E26" s="478">
        <f t="shared" si="5"/>
        <v>22.914841575598238</v>
      </c>
      <c r="F26" s="478">
        <f t="shared" si="6"/>
        <v>105.97670297228649</v>
      </c>
      <c r="G26" s="478">
        <f t="shared" si="7"/>
        <v>0</v>
      </c>
      <c r="H26" s="478">
        <f t="shared" si="8"/>
        <v>0</v>
      </c>
      <c r="I26" s="478">
        <f t="shared" si="9"/>
        <v>0</v>
      </c>
      <c r="J26" s="478">
        <f t="shared" si="10"/>
        <v>0.67551325713675614</v>
      </c>
      <c r="K26" s="478">
        <f t="shared" si="11"/>
        <v>0</v>
      </c>
      <c r="L26" s="478">
        <f t="shared" si="12"/>
        <v>0</v>
      </c>
      <c r="M26" s="478">
        <f t="shared" si="13"/>
        <v>0</v>
      </c>
      <c r="N26" s="478">
        <f t="shared" si="14"/>
        <v>0</v>
      </c>
      <c r="O26" s="478">
        <f t="shared" si="15"/>
        <v>0</v>
      </c>
      <c r="P26" s="479">
        <f t="shared" si="16"/>
        <v>0</v>
      </c>
      <c r="Q26" s="477">
        <f t="shared" ca="1" si="17"/>
        <v>538.98352983578434</v>
      </c>
    </row>
    <row r="27" spans="1:17" s="483" customFormat="1">
      <c r="A27" s="481" t="s">
        <v>571</v>
      </c>
      <c r="B27" s="781">
        <f t="shared" ca="1" si="2"/>
        <v>6.4476960213561485</v>
      </c>
      <c r="C27" s="482">
        <f t="shared" ca="1" si="3"/>
        <v>0</v>
      </c>
      <c r="D27" s="482">
        <f t="shared" si="4"/>
        <v>16.476171884854594</v>
      </c>
      <c r="E27" s="482">
        <f t="shared" si="5"/>
        <v>137.38499487349699</v>
      </c>
      <c r="F27" s="482">
        <f t="shared" si="6"/>
        <v>0</v>
      </c>
      <c r="G27" s="482">
        <f t="shared" si="7"/>
        <v>39997.908036662018</v>
      </c>
      <c r="H27" s="482">
        <f t="shared" si="8"/>
        <v>7891.327597965982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48049.544497407704</v>
      </c>
    </row>
    <row r="28" spans="1:17">
      <c r="A28" s="477" t="s">
        <v>561</v>
      </c>
      <c r="B28" s="478">
        <f t="shared" ca="1" si="2"/>
        <v>0</v>
      </c>
      <c r="C28" s="478">
        <f t="shared" ca="1" si="3"/>
        <v>0</v>
      </c>
      <c r="D28" s="478">
        <f t="shared" si="4"/>
        <v>0</v>
      </c>
      <c r="E28" s="478">
        <f t="shared" si="5"/>
        <v>0</v>
      </c>
      <c r="F28" s="478">
        <f t="shared" si="6"/>
        <v>0</v>
      </c>
      <c r="G28" s="478">
        <f t="shared" si="7"/>
        <v>304.34684941394943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304.34684941394943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364.88528728655359</v>
      </c>
      <c r="C32" s="478">
        <f t="shared" ca="1" si="3"/>
        <v>0</v>
      </c>
      <c r="D32" s="478">
        <f t="shared" si="4"/>
        <v>324.31658972912072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689.20187701567431</v>
      </c>
    </row>
    <row r="33" spans="1:17" s="487" customFormat="1">
      <c r="A33" s="1051" t="s">
        <v>565</v>
      </c>
      <c r="B33" s="991">
        <f ca="1">SUM(B22:B32)</f>
        <v>6541.6190481132644</v>
      </c>
      <c r="C33" s="991">
        <f t="shared" ref="C33:Q33" ca="1" si="18">SUM(C22:C32)</f>
        <v>0</v>
      </c>
      <c r="D33" s="991">
        <f t="shared" ca="1" si="18"/>
        <v>13960.379458569294</v>
      </c>
      <c r="E33" s="991">
        <f t="shared" si="18"/>
        <v>419.75365700771783</v>
      </c>
      <c r="F33" s="991">
        <f t="shared" ca="1" si="18"/>
        <v>4416.4084563298866</v>
      </c>
      <c r="G33" s="991">
        <f t="shared" si="18"/>
        <v>40302.254886075971</v>
      </c>
      <c r="H33" s="991">
        <f t="shared" si="18"/>
        <v>7891.327597965982</v>
      </c>
      <c r="I33" s="991">
        <f t="shared" si="18"/>
        <v>0</v>
      </c>
      <c r="J33" s="991">
        <f t="shared" si="18"/>
        <v>6.1894573899169627</v>
      </c>
      <c r="K33" s="991">
        <f t="shared" si="18"/>
        <v>0</v>
      </c>
      <c r="L33" s="991">
        <f t="shared" ca="1" si="18"/>
        <v>0</v>
      </c>
      <c r="M33" s="991">
        <f t="shared" si="18"/>
        <v>0</v>
      </c>
      <c r="N33" s="991">
        <f t="shared" ca="1" si="18"/>
        <v>0</v>
      </c>
      <c r="O33" s="991">
        <f t="shared" si="18"/>
        <v>0</v>
      </c>
      <c r="P33" s="991">
        <f t="shared" si="18"/>
        <v>0</v>
      </c>
      <c r="Q33" s="991">
        <f t="shared" ca="1" si="18"/>
        <v>73537.93256145202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1164.09930231916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1164.09930231916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0.21263748554720874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0.21263748554720874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2019-08-12T08:07:25Z</dcterms:modified>
</cp:coreProperties>
</file>