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C19"/>
  <c r="D89" i="14" s="1"/>
  <c r="D19" i="59" s="1"/>
  <c r="B19" i="18"/>
  <c r="N18"/>
  <c r="M18"/>
  <c r="L18"/>
  <c r="L20" s="1"/>
  <c r="K18"/>
  <c r="J18"/>
  <c r="J88" i="14" s="1"/>
  <c r="J18" i="59" s="1"/>
  <c r="I18" i="18"/>
  <c r="H18"/>
  <c r="M88" i="14" s="1"/>
  <c r="M18" i="59" s="1"/>
  <c r="G18" i="18"/>
  <c r="H88" i="14" s="1"/>
  <c r="F18" i="18"/>
  <c r="F20" s="1"/>
  <c r="E18"/>
  <c r="D18"/>
  <c r="C18"/>
  <c r="B18"/>
  <c r="L9"/>
  <c r="K9"/>
  <c r="N77" i="14" s="1"/>
  <c r="G9" i="18"/>
  <c r="G10" s="1"/>
  <c r="F9"/>
  <c r="F10" s="1"/>
  <c r="D9"/>
  <c r="C9"/>
  <c r="B9"/>
  <c r="K22"/>
  <c r="J22"/>
  <c r="I22"/>
  <c r="H22"/>
  <c r="K12"/>
  <c r="J12"/>
  <c r="I12"/>
  <c r="H12"/>
  <c r="W92"/>
  <c r="V92"/>
  <c r="U92"/>
  <c r="T92"/>
  <c r="S92"/>
  <c r="R92"/>
  <c r="Q92"/>
  <c r="N6" i="17" s="1"/>
  <c r="P92" i="18"/>
  <c r="O92"/>
  <c r="N92"/>
  <c r="M92"/>
  <c r="W91"/>
  <c r="V91"/>
  <c r="U91"/>
  <c r="T91"/>
  <c r="S91"/>
  <c r="R91"/>
  <c r="Q91"/>
  <c r="P91"/>
  <c r="O91"/>
  <c r="N91"/>
  <c r="M91"/>
  <c r="W90"/>
  <c r="V90"/>
  <c r="U90"/>
  <c r="T90"/>
  <c r="S90"/>
  <c r="R90"/>
  <c r="Q90"/>
  <c r="P90"/>
  <c r="O90"/>
  <c r="C16" i="16" s="1"/>
  <c r="N90" i="18"/>
  <c r="B16" i="16" s="1"/>
  <c r="M90" i="18"/>
  <c r="W89"/>
  <c r="V89"/>
  <c r="U89"/>
  <c r="I9" s="1"/>
  <c r="T89"/>
  <c r="S89"/>
  <c r="E9" s="1"/>
  <c r="R89"/>
  <c r="Q89"/>
  <c r="J9" s="1"/>
  <c r="J77" i="14" s="1"/>
  <c r="J9" i="59" s="1"/>
  <c r="P89" i="18"/>
  <c r="O89"/>
  <c r="N89"/>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E77" i="14"/>
  <c r="E9" i="59" s="1"/>
  <c r="B6" i="18"/>
  <c r="B5"/>
  <c r="B4"/>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O31"/>
  <c r="P27"/>
  <c r="O89" i="14"/>
  <c r="O19" i="59" s="1"/>
  <c r="M89" i="14"/>
  <c r="M19" i="59" s="1"/>
  <c r="L89" i="14"/>
  <c r="L19" i="59" s="1"/>
  <c r="K89" i="14"/>
  <c r="K19" i="59" s="1"/>
  <c r="K20" s="1"/>
  <c r="H89" i="14"/>
  <c r="H19" i="59" s="1"/>
  <c r="E89" i="14"/>
  <c r="E19" i="59" s="1"/>
  <c r="L88" i="14"/>
  <c r="K88"/>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L54"/>
  <c r="L56" s="1"/>
  <c r="J54"/>
  <c r="I54"/>
  <c r="I56" s="1"/>
  <c r="H54"/>
  <c r="H56" s="1"/>
  <c r="Q24"/>
  <c r="P24"/>
  <c r="P26" s="1"/>
  <c r="N24"/>
  <c r="N26" s="1"/>
  <c r="L24"/>
  <c r="J24"/>
  <c r="I24"/>
  <c r="H24"/>
  <c r="Q50"/>
  <c r="Q52" s="1"/>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J56"/>
  <c r="P52"/>
  <c r="R44"/>
  <c r="E25"/>
  <c r="E55" s="1"/>
  <c r="C25"/>
  <c r="B14" i="48" s="1"/>
  <c r="Q26" i="14"/>
  <c r="L26"/>
  <c r="J26"/>
  <c r="I26"/>
  <c r="H26"/>
  <c r="J22"/>
  <c r="G22"/>
  <c r="N78" l="1"/>
  <c r="N9" i="59"/>
  <c r="N10" s="1"/>
  <c r="Q14" i="48"/>
  <c r="L90" i="14"/>
  <c r="L18" i="59"/>
  <c r="Q22" i="14"/>
  <c r="D22"/>
  <c r="E10" i="59"/>
  <c r="L20"/>
  <c r="F13" i="15"/>
  <c r="O10" i="59"/>
  <c r="H20"/>
  <c r="P29" i="48"/>
  <c r="P32"/>
  <c r="B98" i="18"/>
  <c r="E102" s="1"/>
  <c r="E17" s="1"/>
  <c r="H90" i="14"/>
  <c r="H18" i="59"/>
  <c r="L78" i="14"/>
  <c r="D14" i="48"/>
  <c r="K10" i="18"/>
  <c r="K78" i="14"/>
  <c r="B20" i="18"/>
  <c r="H9"/>
  <c r="M77" i="14" s="1"/>
  <c r="M9" i="59" s="1"/>
  <c r="P22" i="14"/>
  <c r="L10" i="59"/>
  <c r="L22" i="14"/>
  <c r="B8" i="18"/>
  <c r="B10" s="1"/>
  <c r="G77" i="14"/>
  <c r="G9" i="59" s="1"/>
  <c r="G10" s="1"/>
  <c r="I77" i="14"/>
  <c r="I9" i="59" s="1"/>
  <c r="B13" i="15"/>
  <c r="N13"/>
  <c r="L13"/>
  <c r="F77" i="14"/>
  <c r="F9" i="59" s="1"/>
  <c r="I101" i="18"/>
  <c r="H8" s="1"/>
  <c r="E101"/>
  <c r="E8" s="1"/>
  <c r="F101"/>
  <c r="H101"/>
  <c r="D101"/>
  <c r="G101"/>
  <c r="I8" s="1"/>
  <c r="C101"/>
  <c r="B101"/>
  <c r="C8" s="1"/>
  <c r="O9"/>
  <c r="C102"/>
  <c r="F102"/>
  <c r="H102"/>
  <c r="D102"/>
  <c r="B102"/>
  <c r="C17" s="1"/>
  <c r="O19"/>
  <c r="O78" i="14"/>
  <c r="N88"/>
  <c r="D10" i="18"/>
  <c r="E78" i="14"/>
  <c r="D77"/>
  <c r="D9" i="59" s="1"/>
  <c r="H77" i="14"/>
  <c r="O88"/>
  <c r="G89"/>
  <c r="G19" i="59" s="1"/>
  <c r="G20" s="1"/>
  <c r="G20" i="18"/>
  <c r="O18"/>
  <c r="O25" i="48"/>
  <c r="O27"/>
  <c r="Q11"/>
  <c r="O29"/>
  <c r="P31"/>
  <c r="O28"/>
  <c r="Q12"/>
  <c r="O24"/>
  <c r="O30"/>
  <c r="P24"/>
  <c r="P30"/>
  <c r="E90" i="14"/>
  <c r="R9"/>
  <c r="R25"/>
  <c r="K90"/>
  <c r="B89" l="1"/>
  <c r="B19" i="59" s="1"/>
  <c r="J17" i="18"/>
  <c r="J20" s="1"/>
  <c r="G78" i="14"/>
  <c r="G102" i="18"/>
  <c r="I17" s="1"/>
  <c r="O17" s="1"/>
  <c r="O20" s="1"/>
  <c r="N90" i="14"/>
  <c r="N18" i="59"/>
  <c r="N20" s="1"/>
  <c r="H78" i="14"/>
  <c r="H9" i="59"/>
  <c r="H10" s="1"/>
  <c r="G90" i="14"/>
  <c r="C89"/>
  <c r="C19" i="59" s="1"/>
  <c r="I102" i="18"/>
  <c r="H17" s="1"/>
  <c r="M87" i="14" s="1"/>
  <c r="O90"/>
  <c r="O18" i="59"/>
  <c r="O20" s="1"/>
  <c r="Q89" i="14"/>
  <c r="P19" i="59" s="1"/>
  <c r="Q77" i="14"/>
  <c r="P9" i="59" s="1"/>
  <c r="C77" i="14"/>
  <c r="C9" i="59" s="1"/>
  <c r="H20" i="18"/>
  <c r="F76" i="14"/>
  <c r="E10" i="18"/>
  <c r="C20"/>
  <c r="D87" i="14"/>
  <c r="D17" i="59" s="1"/>
  <c r="D20" s="1"/>
  <c r="H10" i="18"/>
  <c r="M76" i="14"/>
  <c r="B88"/>
  <c r="B18" i="59" s="1"/>
  <c r="D76" i="14"/>
  <c r="D8" i="59" s="1"/>
  <c r="D10" s="1"/>
  <c r="C10" i="18"/>
  <c r="J8"/>
  <c r="O8" s="1"/>
  <c r="O10" s="1"/>
  <c r="C88" i="14"/>
  <c r="C18" i="59" s="1"/>
  <c r="I10" i="18"/>
  <c r="I76" i="14"/>
  <c r="I8" i="59" s="1"/>
  <c r="I10" s="1"/>
  <c r="B77" i="14"/>
  <c r="B9" i="59" s="1"/>
  <c r="E20" i="18"/>
  <c r="F87" i="14"/>
  <c r="Q88"/>
  <c r="P18" i="59" s="1"/>
  <c r="H14" i="15"/>
  <c r="H16" s="1"/>
  <c r="G14"/>
  <c r="G16" s="1"/>
  <c r="M90" i="14" l="1"/>
  <c r="M17" i="59"/>
  <c r="M20" s="1"/>
  <c r="H10" i="14"/>
  <c r="H16" s="1"/>
  <c r="G5" i="48"/>
  <c r="I10" i="14"/>
  <c r="I16" s="1"/>
  <c r="H5" i="48"/>
  <c r="F90" i="14"/>
  <c r="F17" i="59"/>
  <c r="F20" s="1"/>
  <c r="J87" i="14"/>
  <c r="M78"/>
  <c r="M8" i="59"/>
  <c r="M10" s="1"/>
  <c r="F78" i="14"/>
  <c r="F8" i="59"/>
  <c r="F10" s="1"/>
  <c r="Q76" i="14"/>
  <c r="D78"/>
  <c r="I78"/>
  <c r="B76"/>
  <c r="J10" i="18"/>
  <c r="J76" i="14"/>
  <c r="I87"/>
  <c r="I17" i="59" s="1"/>
  <c r="I20" s="1"/>
  <c r="I20" i="18"/>
  <c r="Q87" i="14"/>
  <c r="D90"/>
  <c r="A31" i="23"/>
  <c r="A32"/>
  <c r="A33"/>
  <c r="J78" i="14" l="1"/>
  <c r="J8" i="59"/>
  <c r="J10" s="1"/>
  <c r="C87" i="14"/>
  <c r="B78"/>
  <c r="B8" i="59"/>
  <c r="B10" s="1"/>
  <c r="J90" i="14"/>
  <c r="J17" i="59"/>
  <c r="J20" s="1"/>
  <c r="Q90" i="14"/>
  <c r="B17" i="6" s="1"/>
  <c r="P17" i="59"/>
  <c r="P20" s="1"/>
  <c r="Q78" i="14"/>
  <c r="B9" i="6" s="1"/>
  <c r="P8" i="59"/>
  <c r="P10" s="1"/>
  <c r="B87" i="14"/>
  <c r="I90"/>
  <c r="C76"/>
  <c r="B11" i="44"/>
  <c r="B25"/>
  <c r="B24"/>
  <c r="C78" i="14" l="1"/>
  <c r="C8" i="59"/>
  <c r="C10" s="1"/>
  <c r="C90" i="14"/>
  <c r="C17" i="59"/>
  <c r="C2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28"/>
  <c r="I22"/>
  <c r="I32"/>
  <c r="I31"/>
  <c r="I25"/>
  <c r="I27"/>
  <c r="I26"/>
  <c r="I29"/>
  <c r="I30"/>
  <c r="I24"/>
  <c r="D4"/>
  <c r="D22" s="1"/>
  <c r="E11" i="14"/>
  <c r="H29" i="48"/>
  <c r="H28"/>
  <c r="H26"/>
  <c r="H32"/>
  <c r="H22"/>
  <c r="H30"/>
  <c r="H25"/>
  <c r="H24"/>
  <c r="H23"/>
  <c r="C4"/>
  <c r="D11" i="14"/>
  <c r="G24" i="48"/>
  <c r="G25"/>
  <c r="G30"/>
  <c r="G29"/>
  <c r="G26"/>
  <c r="G32"/>
  <c r="G22"/>
  <c r="G23"/>
  <c r="K28"/>
  <c r="K32"/>
  <c r="K29"/>
  <c r="K26"/>
  <c r="K22"/>
  <c r="K27"/>
  <c r="K31"/>
  <c r="K24"/>
  <c r="K25"/>
  <c r="K30"/>
  <c r="C24" i="14"/>
  <c r="C26" s="1"/>
  <c r="B7" i="48"/>
  <c r="J24"/>
  <c r="J30"/>
  <c r="J27"/>
  <c r="J32"/>
  <c r="J29"/>
  <c r="J28"/>
  <c r="J31"/>
  <c r="P11" i="14"/>
  <c r="O4" i="48"/>
  <c r="C11" i="14"/>
  <c r="B4" i="48"/>
  <c r="F29"/>
  <c r="F30"/>
  <c r="F27"/>
  <c r="F31"/>
  <c r="F24"/>
  <c r="F32"/>
  <c r="F28"/>
  <c r="N27"/>
  <c r="N31"/>
  <c r="N24"/>
  <c r="N32"/>
  <c r="N29"/>
  <c r="N30"/>
  <c r="N28"/>
  <c r="C19" i="14"/>
  <c r="B10" i="48"/>
  <c r="E32"/>
  <c r="E31"/>
  <c r="E28"/>
  <c r="E29"/>
  <c r="E30"/>
  <c r="E24"/>
  <c r="M25"/>
  <c r="M32"/>
  <c r="M26"/>
  <c r="M30"/>
  <c r="M22"/>
  <c r="M29"/>
  <c r="M24"/>
  <c r="M23"/>
  <c r="L10" i="14"/>
  <c r="L16" s="1"/>
  <c r="L27" s="1"/>
  <c r="K5" i="48"/>
  <c r="D30"/>
  <c r="D29"/>
  <c r="D28"/>
  <c r="D24"/>
  <c r="D31"/>
  <c r="D32"/>
  <c r="L32"/>
  <c r="L29"/>
  <c r="L28"/>
  <c r="L22"/>
  <c r="L30"/>
  <c r="L24"/>
  <c r="L31"/>
  <c r="L27"/>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J10"/>
  <c r="J16" s="1"/>
  <c r="J27" s="1"/>
  <c r="I5" i="48"/>
  <c r="K23"/>
  <c r="K15"/>
  <c r="E9"/>
  <c r="E27" s="1"/>
  <c r="F20" i="14"/>
  <c r="F22" s="1"/>
  <c r="Q16"/>
  <c r="Q27" s="1"/>
  <c r="L63"/>
  <c r="J63"/>
  <c r="M12" i="22"/>
  <c r="M13" i="48"/>
  <c r="M31" s="1"/>
  <c r="N18" i="14"/>
  <c r="H18"/>
  <c r="R18" s="1"/>
  <c r="G13" i="48"/>
  <c r="I18" i="14"/>
  <c r="H13" i="48"/>
  <c r="H31" s="1"/>
  <c r="P22" i="16"/>
  <c r="Q43" i="14" s="1"/>
  <c r="P8" i="48"/>
  <c r="P26" s="1"/>
  <c r="Q13" i="14"/>
  <c r="O22" i="48"/>
  <c r="P22"/>
  <c r="D9"/>
  <c r="D27" s="1"/>
  <c r="E20" i="14"/>
  <c r="E22" s="1"/>
  <c r="O5" i="48"/>
  <c r="O23" s="1"/>
  <c r="P10" i="14"/>
  <c r="J7" i="48"/>
  <c r="J25" s="1"/>
  <c r="K24" i="14"/>
  <c r="K26" s="1"/>
  <c r="C20"/>
  <c r="B9" i="48"/>
  <c r="G11" i="14"/>
  <c r="F4" i="48"/>
  <c r="F22" s="1"/>
  <c r="K33"/>
  <c r="D10" i="14"/>
  <c r="J12" i="17"/>
  <c r="K54" i="14" s="1"/>
  <c r="K56" s="1"/>
  <c r="L46"/>
  <c r="L61"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E12" i="13"/>
  <c r="F41" i="14" s="1"/>
  <c r="F11"/>
  <c r="R11" s="1"/>
  <c r="E4" i="48"/>
  <c r="I23"/>
  <c r="I33" s="1"/>
  <c r="I15"/>
  <c r="P46" i="14"/>
  <c r="P61" s="1"/>
  <c r="O33" i="48"/>
  <c r="M9"/>
  <c r="N20" i="14"/>
  <c r="G9" i="48"/>
  <c r="H20" i="14"/>
  <c r="N19"/>
  <c r="N22" s="1"/>
  <c r="N27" s="1"/>
  <c r="M10" i="48"/>
  <c r="M28" s="1"/>
  <c r="O22" i="16"/>
  <c r="P43" i="14" s="1"/>
  <c r="P13"/>
  <c r="P16" s="1"/>
  <c r="P27" s="1"/>
  <c r="P63" s="1"/>
  <c r="O8" i="48"/>
  <c r="O26" s="1"/>
  <c r="O11" i="14"/>
  <c r="N4" i="48"/>
  <c r="N22" s="1"/>
  <c r="K11" i="14"/>
  <c r="J4" i="48"/>
  <c r="G31"/>
  <c r="Q13"/>
  <c r="F24" i="14"/>
  <c r="F26" s="1"/>
  <c r="E7" i="48"/>
  <c r="E25" s="1"/>
  <c r="Q63" i="14"/>
  <c r="Q46"/>
  <c r="Q61" s="1"/>
  <c r="O15" i="48"/>
  <c r="P15"/>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G28" i="48"/>
  <c r="Q10"/>
  <c r="J5"/>
  <c r="J23" s="1"/>
  <c r="K10" i="14"/>
  <c r="I20"/>
  <c r="H9" i="48"/>
  <c r="M27"/>
  <c r="M33" s="1"/>
  <c r="M15"/>
  <c r="E22"/>
  <c r="Q4"/>
  <c r="J22"/>
  <c r="F10" i="14"/>
  <c r="E5" i="48"/>
  <c r="E23" s="1"/>
  <c r="G27"/>
  <c r="G33" s="1"/>
  <c r="G15"/>
  <c r="R19" i="14"/>
  <c r="H22"/>
  <c r="H27" s="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J8" i="48"/>
  <c r="J26" s="1"/>
  <c r="J33" s="1"/>
  <c r="K13" i="14"/>
  <c r="F13"/>
  <c r="E8" i="48"/>
  <c r="I22" i="14"/>
  <c r="I27" s="1"/>
  <c r="I63" s="1"/>
  <c r="R20"/>
  <c r="H27" i="48"/>
  <c r="H33" s="1"/>
  <c r="H15"/>
  <c r="Q9"/>
  <c r="R22" i="14"/>
  <c r="H63"/>
  <c r="K16"/>
  <c r="K27" s="1"/>
  <c r="F16"/>
  <c r="F27" s="1"/>
  <c r="E22" i="16"/>
  <c r="F43" i="14" s="1"/>
  <c r="F46" s="1"/>
  <c r="F61" s="1"/>
  <c r="F63" s="1"/>
  <c r="O13"/>
  <c r="N8" i="48"/>
  <c r="N26" s="1"/>
  <c r="F8"/>
  <c r="G13" i="14"/>
  <c r="E26" i="48" l="1"/>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<sst xmlns="http://schemas.openxmlformats.org/spreadsheetml/2006/main" count="2419" uniqueCount="907">
  <si>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</si>
  <si>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</si>
  <si>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</si>
  <si>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</si>
  <si>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</si>
  <si>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</si>
  <si>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</si>
  <si>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</si>
  <si>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</si>
  <si>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</si>
  <si>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</si>
  <si>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</si>
  <si>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</si>
  <si>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</si>
  <si>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</si>
  <si>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</si>
  <si>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</si>
  <si>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</si>
  <si>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</si>
  <si>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</si>
  <si>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</si>
  <si>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</si>
  <si>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</si>
  <si>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</si>
  <si>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</si>
  <si>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</si>
  <si>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</si>
  <si>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</si>
  <si>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</si>
  <si>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</si>
  <si>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</si>
  <si>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</si>
  <si>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</si>
  <si>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</si>
  <si>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</si>
  <si>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</si>
  <si>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</si>
  <si>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</si>
  <si>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</si>
  <si>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</si>
  <si>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</si>
  <si>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</si>
  <si>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</si>
  <si>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</si>
  <si>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</si>
  <si>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</si>
  <si>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</si>
  <si>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</si>
  <si>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</si>
  <si>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</si>
  <si>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</si>
  <si>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</si>
  <si>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</si>
  <si>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</si>
  <si>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</si>
  <si>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</si>
  <si>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</si>
  <si>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</si>
  <si>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</si>
  <si>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</si>
  <si>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</si>
  <si>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</si>
  <si>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</si>
  <si>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</si>
  <si>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</si>
  <si>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</si>
  <si>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</si>
  <si>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</si>
  <si>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</si>
  <si>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</si>
  <si>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</si>
  <si>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</si>
  <si>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</si>
  <si>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</si>
  <si>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</si>
  <si>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</si>
  <si>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</si>
  <si>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</si>
  <si>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</si>
  <si>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</si>
  <si>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</si>
  <si>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</si>
  <si>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</si>
  <si>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</si>
  <si>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</si>
  <si>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</si>
  <si>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</si>
  <si>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</si>
  <si>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</si>
  <si>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</si>
  <si>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</si>
  <si>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</si>
  <si>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</si>
  <si>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</si>
  <si>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</si>
  <si>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</si>
  <si>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</si>
  <si>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</si>
  <si>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</si>
  <si>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</si>
  <si>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</si>
  <si>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</si>
  <si>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</si>
  <si>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</si>
  <si>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</si>
  <si>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</si>
  <si>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</si>
  <si>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</si>
  <si>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</si>
  <si>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</si>
  <si>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</si>
  <si>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</si>
  <si>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</si>
  <si>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</si>
  <si>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</si>
  <si>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</si>
  <si>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</si>
  <si>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</si>
  <si>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</si>
  <si>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</si>
  <si>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</si>
  <si>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</si>
  <si>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</si>
  <si>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</si>
  <si>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</si>
  <si>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</si>
  <si>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</si>
  <si>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</si>
  <si>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</si>
  <si>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</si>
  <si>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</si>
  <si>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</si>
  <si>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</si>
  <si>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</si>
  <si>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</si>
  <si>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</si>
  <si>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</si>
  <si>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</si>
  <si>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</si>
  <si>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</si>
  <si>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</si>
  <si>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</si>
  <si>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</si>
  <si>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</si>
  <si>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</si>
  <si>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</si>
  <si>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</si>
  <si>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</si>
  <si>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</si>
  <si>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</si>
  <si>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</si>
  <si>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</si>
  <si>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</si>
  <si>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</si>
  <si>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</si>
  <si>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</si>
  <si>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</si>
  <si>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</si>
  <si>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</si>
  <si>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</si>
  <si>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</si>
  <si>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</si>
  <si>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</si>
  <si>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</si>
  <si>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</si>
  <si>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</si>
  <si>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</si>
  <si>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</si>
  <si>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</si>
  <si>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</si>
  <si>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</si>
  <si>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</si>
  <si>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</si>
  <si>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</si>
  <si>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</si>
  <si>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</si>
  <si>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</si>
  <si>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</si>
  <si>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</si>
  <si>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</si>
  <si>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</si>
  <si>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</si>
  <si>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</si>
  <si>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</si>
  <si>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</si>
  <si>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</si>
  <si>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</si>
  <si>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</si>
  <si>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</si>
  <si>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</si>
  <si>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</si>
  <si>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</si>
  <si>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</si>
  <si>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</si>
  <si>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</si>
  <si>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</si>
  <si>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</si>
  <si>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</si>
  <si>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</si>
  <si>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</si>
  <si>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</si>
  <si>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</si>
  <si>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</si>
  <si>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</si>
  <si>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</si>
  <si>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</si>
  <si>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</si>
  <si>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</si>
  <si>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</si>
  <si>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</si>
  <si>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</si>
  <si>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</si>
  <si>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</si>
  <si>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</si>
  <si>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</si>
  <si>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</si>
  <si>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</si>
  <si>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</si>
  <si>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</si>
  <si>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</si>
  <si>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</si>
  <si>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</si>
  <si>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</si>
  <si>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</si>
  <si>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</si>
  <si>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</si>
  <si>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</si>
  <si>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</si>
  <si>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</si>
  <si>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</si>
  <si>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</si>
  <si>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</si>
  <si>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</si>
  <si>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</si>
  <si>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</si>
  <si>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</si>
  <si>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</si>
  <si>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</si>
  <si>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</si>
  <si>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</si>
  <si>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</si>
  <si>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</si>
  <si>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</si>
  <si>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</si>
  <si>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</si>
  <si>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</si>
  <si>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</si>
  <si>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</si>
  <si>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</si>
  <si>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</si>
  <si>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</si>
  <si>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</si>
  <si>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</si>
  <si>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</si>
  <si>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</si>
  <si>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</si>
  <si>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</si>
  <si>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</si>
  <si>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</si>
  <si>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</si>
  <si>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</si>
  <si>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</si>
  <si>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</si>
  <si>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</si>
  <si>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</si>
  <si>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</si>
  <si>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</si>
  <si>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</si>
  <si>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</si>
  <si>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</si>
  <si>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</si>
  <si>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</si>
  <si>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</si>
  <si>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</si>
  <si>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</si>
  <si>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</si>
  <si>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</si>
  <si>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</si>
  <si>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</si>
  <si>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</si>
  <si>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</si>
  <si>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</si>
  <si>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</si>
  <si>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</si>
  <si>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</si>
  <si>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</si>
  <si>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</si>
  <si>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</si>
  <si>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</si>
  <si>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</si>
  <si>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</si>
  <si>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</si>
  <si>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</si>
  <si>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</si>
  <si>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</si>
  <si>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</si>
  <si>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</si>
  <si>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</si>
  <si>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</si>
  <si>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</si>
  <si>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</si>
  <si>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</si>
  <si>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</si>
  <si>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</si>
  <si>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</si>
  <si>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</si>
  <si>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</si>
  <si>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</si>
  <si>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</si>
  <si>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</si>
  <si>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</si>
  <si>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</si>
  <si>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</si>
  <si>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</si>
  <si>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</si>
  <si>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</si>
  <si>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</si>
  <si>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</si>
  <si>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</si>
  <si>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</si>
  <si>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</si>
  <si>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</si>
  <si>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</si>
  <si>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</si>
  <si>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</si>
  <si>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</si>
  <si>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</si>
  <si>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</si>
  <si>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</si>
  <si>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</si>
  <si>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</si>
  <si>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</si>
  <si>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</si>
  <si>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</si>
  <si>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</si>
  <si>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</si>
  <si>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</si>
  <si>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</si>
  <si>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</si>
  <si>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</si>
  <si>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</si>
  <si>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</si>
  <si>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</si>
  <si>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</si>
  <si>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</si>
  <si>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</si>
  <si>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</si>
  <si>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</si>
  <si>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</si>
  <si>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</si>
  <si>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</si>
  <si>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</si>
  <si>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</si>
  <si>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</si>
  <si>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</si>
  <si>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</si>
  <si>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</si>
  <si>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</si>
  <si>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</si>
  <si>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</si>
  <si>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</si>
  <si>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</si>
  <si>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</si>
  <si>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</si>
  <si>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</si>
  <si>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</si>
  <si>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</si>
  <si>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</si>
  <si>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</si>
  <si>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</si>
  <si>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</si>
  <si>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</si>
  <si>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</si>
  <si>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</si>
  <si>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</si>
  <si>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</si>
  <si>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</si>
  <si>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</si>
  <si>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</si>
  <si>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</si>
  <si>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</si>
  <si>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</si>
  <si>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</si>
  <si>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</si>
  <si>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</si>
  <si>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</si>
  <si>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</si>
  <si>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</si>
  <si>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</si>
  <si>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</si>
  <si>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</si>
  <si>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</si>
  <si>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</si>
  <si>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</si>
  <si>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</si>
  <si>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</si>
  <si>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</si>
  <si>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</si>
  <si>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</si>
  <si>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</si>
  <si>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</si>
  <si>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</si>
  <si>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</si>
  <si>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</si>
  <si>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</si>
  <si>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</si>
  <si>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</si>
  <si>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</si>
  <si>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</si>
  <si>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</si>
  <si>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</si>
  <si>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</si>
  <si>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</si>
  <si>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</si>
  <si>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</si>
  <si>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</si>
  <si>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</si>
  <si>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</si>
  <si>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</si>
  <si>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</si>
  <si>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</si>
  <si>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</si>
  <si>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</si>
  <si>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</si>
  <si>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</si>
  <si>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</si>
  <si>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</si>
  <si>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</si>
  <si>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</si>
  <si>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</si>
  <si>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</si>
  <si>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</si>
  <si>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</si>
  <si>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</si>
  <si>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</si>
  <si>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</si>
  <si>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</si>
  <si>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</si>
  <si>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</si>
  <si>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</si>
  <si>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</si>
  <si>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</si>
  <si>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</si>
  <si>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</si>
  <si>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</si>
  <si>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</si>
  <si>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</si>
  <si>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</si>
  <si>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</si>
  <si>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</si>
  <si>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</si>
  <si>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</si>
  <si>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</si>
  <si>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</si>
  <si>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</si>
  <si>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</si>
  <si>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</si>
  <si>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</si>
  <si>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</si>
  <si>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</si>
  <si>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</si>
  <si>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</si>
  <si>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</si>
  <si>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</si>
  <si>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</si>
  <si>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</si>
  <si>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</si>
  <si>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</si>
  <si>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</si>
  <si>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</si>
  <si>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</si>
  <si>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</si>
  <si>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</si>
  <si>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</si>
  <si>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</si>
  <si>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</si>
  <si>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</si>
  <si>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</si>
  <si>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</si>
  <si>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</si>
  <si>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</si>
  <si>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</si>
  <si>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</si>
  <si>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</si>
  <si>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</si>
  <si>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</si>
  <si>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</si>
  <si>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</si>
  <si>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</si>
  <si>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</si>
  <si>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</si>
  <si>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</si>
  <si>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</si>
  <si>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</si>
  <si>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</si>
  <si>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</si>
  <si>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</si>
  <si>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</si>
  <si>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</si>
  <si>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</si>
  <si>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</si>
  <si>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</si>
  <si>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</si>
  <si>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</si>
  <si>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</si>
  <si>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</si>
  <si>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</si>
  <si>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</si>
  <si>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</si>
  <si>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</si>
  <si>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</si>
  <si>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</si>
  <si>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</si>
  <si>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</si>
  <si>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</si>
  <si>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</si>
  <si>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</si>
  <si>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</si>
  <si>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</si>
  <si>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</si>
  <si>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</si>
  <si>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</si>
  <si>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</si>
  <si>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</si>
  <si>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</si>
  <si>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</si>
  <si>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</si>
  <si>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</si>
  <si>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</si>
  <si>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</si>
  <si>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</si>
  <si>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</si>
  <si>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</si>
  <si>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</si>
  <si>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</si>
  <si>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</si>
  <si>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</si>
  <si>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</si>
  <si>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</si>
  <si>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</si>
  <si>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</si>
  <si>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</si>
  <si>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</si>
  <si>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</si>
  <si>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</si>
  <si>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</si>
  <si>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</si>
  <si>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</si>
  <si>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</si>
  <si>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</si>
  <si>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</si>
  <si>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</si>
  <si>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</si>
  <si>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</si>
  <si>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</si>
  <si>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</si>
  <si>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</si>
  <si>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</si>
  <si>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</si>
  <si>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</si>
  <si>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</si>
  <si>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</si>
  <si>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</si>
  <si>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</si>
  <si>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</si>
  <si>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</si>
  <si>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</si>
  <si>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</si>
  <si>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</si>
  <si>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</si>
  <si>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</si>
  <si>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</si>
  <si>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</si>
  <si>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</si>
  <si>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</si>
  <si>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</si>
  <si>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</si>
  <si>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</si>
  <si>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</si>
  <si>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</si>
  <si>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</si>
  <si>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</si>
  <si>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</si>
  <si>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</si>
  <si>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</si>
  <si>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</si>
  <si>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</si>
  <si>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</si>
  <si>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</si>
  <si>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</si>
  <si>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</si>
  <si>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</si>
  <si>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</si>
  <si>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</si>
  <si>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</si>
  <si>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</si>
  <si>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</si>
  <si>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</si>
  <si>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</si>
  <si>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</si>
  <si>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</si>
  <si>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</si>
  <si>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</si>
  <si>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</si>
  <si>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</si>
  <si>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</si>
  <si>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</si>
  <si>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</si>
  <si>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</si>
  <si>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</si>
  <si>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</si>
  <si>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</si>
  <si>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</si>
  <si>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</si>
  <si>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</si>
  <si>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</si>
  <si>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</si>
  <si>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</si>
  <si>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</si>
  <si>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</si>
  <si>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</si>
  <si>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</si>
  <si>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</si>
  <si>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</si>
  <si>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</si>
  <si>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</si>
  <si>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</si>
  <si>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</si>
  <si>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</si>
  <si>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</si>
  <si>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</si>
  <si>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</si>
  <si>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</si>
  <si>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</si>
  <si>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</si>
  <si>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</si>
  <si>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</si>
  <si>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</si>
  <si>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</si>
  <si>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</si>
  <si>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</si>
  <si>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</si>
  <si>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</si>
  <si>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</si>
  <si>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</si>
  <si>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</si>
  <si>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</si>
  <si>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</si>
  <si>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</si>
  <si>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</si>
  <si>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</si>
  <si>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</si>
  <si>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</si>
  <si>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</si>
  <si>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</si>
  <si>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</si>
  <si>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</si>
  <si>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</si>
  <si>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</si>
  <si>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</si>
  <si>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</si>
  <si>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</si>
  <si>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</si>
  <si>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</si>
  <si>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</si>
  <si>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</si>
  <si>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</si>
  <si>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</si>
  <si>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</si>
  <si>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</si>
  <si>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</si>
  <si>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</si>
  <si>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</si>
  <si>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</si>
  <si>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</si>
  <si>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</si>
  <si>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</si>
  <si>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</si>
  <si>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</si>
  <si>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</si>
  <si>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</si>
  <si>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</si>
  <si>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</si>
  <si>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</si>
  <si>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</si>
  <si>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</si>
  <si>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</si>
  <si>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</si>
  <si>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</si>
  <si>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</si>
  <si>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</si>
  <si>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</si>
  <si>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</si>
  <si>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</si>
  <si>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</si>
  <si>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</si>
  <si>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</si>
  <si>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</si>
  <si>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</si>
  <si>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</si>
  <si>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</si>
  <si>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</si>
  <si>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</si>
  <si>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</si>
  <si>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</si>
  <si>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</si>
  <si>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</si>
  <si>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</si>
  <si>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</si>
  <si>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</si>
  <si>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</si>
  <si>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</si>
  <si>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</si>
  <si>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</si>
  <si>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</si>
  <si>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</si>
  <si>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</si>
  <si>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</si>
  <si>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</si>
  <si>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</si>
  <si>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</si>
  <si>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</si>
  <si>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</si>
  <si>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</si>
  <si>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</si>
  <si>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</si>
  <si>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</si>
  <si>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</si>
  <si>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</si>
  <si>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</si>
  <si>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</si>
  <si>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</si>
  <si>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</si>
  <si>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</si>
  <si>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</si>
  <si>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</si>
  <si>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</si>
  <si>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</si>
  <si>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</si>
  <si>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</si>
  <si>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</si>
  <si>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</si>
  <si>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</si>
  <si>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</si>
  <si>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</si>
  <si>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</si>
  <si>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</si>
  <si>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</si>
  <si>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</si>
  <si>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</si>
  <si>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</si>
  <si>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</si>
  <si>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</si>
  <si>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</si>
  <si>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</si>
  <si>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</si>
  <si>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</si>
  <si>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</si>
  <si>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</si>
  <si>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</si>
  <si>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</si>
  <si>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</si>
  <si>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</si>
  <si>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</si>
  <si>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</si>
  <si>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</si>
  <si>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</si>
  <si>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</si>
  <si>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</si>
  <si>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</si>
  <si>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</si>
  <si>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</si>
  <si>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</si>
  <si>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</si>
  <si>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</si>
  <si>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</si>
  <si>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</si>
  <si>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</si>
  <si>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</si>
  <si>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</si>
  <si>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</si>
  <si>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</si>
  <si>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</si>
  <si>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</si>
  <si>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</si>
  <si>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</si>
  <si>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</si>
  <si>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</si>
  <si>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</si>
  <si>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</si>
  <si>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</si>
  <si>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</si>
  <si>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</si>
  <si>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</si>
  <si>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</si>
  <si>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</si>
  <si>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</si>
  <si>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</si>
  <si>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</si>
  <si>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</si>
  <si>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</si>
  <si>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</si>
  <si>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</si>
  <si>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</si>
  <si>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</si>
  <si>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</si>
  <si>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</si>
  <si>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</si>
  <si>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</si>
  <si>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</si>
  <si>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</si>
  <si>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</si>
  <si>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</si>
  <si>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</si>
  <si>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</si>
  <si>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</si>
  <si>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</si>
  <si>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</si>
  <si>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</si>
  <si>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</si>
  <si>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</si>
  <si>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</si>
  <si>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</si>
  <si>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</si>
  <si>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</si>
  <si>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</si>
  <si>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</si>
  <si>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</si>
  <si>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</si>
  <si>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</si>
  <si>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</si>
  <si>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</si>
  <si>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</si>
  <si>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</si>
  <si>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</si>
  <si>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</si>
  <si>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</si>
  <si>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</si>
  <si>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</si>
  <si>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</si>
  <si>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</si>
  <si>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</si>
  <si>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</si>
  <si>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</si>
  <si>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</si>
  <si>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</si>
  <si>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</si>
  <si>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</si>
  <si>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</si>
  <si>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</si>
  <si>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</si>
  <si>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</si>
  <si>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</si>
  <si>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</si>
  <si>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</si>
  <si>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</si>
  <si>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</si>
  <si>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</si>
  <si>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</si>
  <si>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</si>
  <si>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</si>
  <si>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</si>
  <si>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</si>
  <si>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</si>
  <si>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</si>
  <si>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</si>
  <si>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</si>
  <si>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</si>
  <si>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</si>
  <si>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</si>
  <si>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</si>
  <si>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</si>
  <si>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</si>
  <si>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</si>
  <si>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</si>
  <si>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</si>
  <si>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</si>
  <si>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</si>
  <si>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</si>
  <si>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</si>
  <si>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</si>
  <si>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</si>
  <si>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</si>
  <si>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</si>
  <si>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</si>
  <si>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</si>
  <si>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</si>
  <si>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</si>
  <si>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</si>
  <si>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</si>
  <si>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</si>
  <si>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</si>
  <si>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</si>
  <si>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</si>
  <si>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</si>
  <si>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</si>
  <si>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</si>
  <si>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</si>
  <si>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</si>
  <si>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13053</t>
  </si>
  <si>
    <t>LAAKDAL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</si>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</sst>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143902.40180603729</c:v>
                </c:pt>
                <c:pt idx="1">
                  <c:v>33709.828518096576</c:v>
                </c:pt>
                <c:pt idx="2">
                  <c:v>896.12599999999998</c:v>
                </c:pt>
                <c:pt idx="3">
                  <c:v>5568.0130241355428</c:v>
                </c:pt>
                <c:pt idx="4">
                  <c:v>6456.0052876688505</c:v>
                </c:pt>
                <c:pt idx="5">
                  <c:v>194224.61455550371</c:v>
                </c:pt>
                <c:pt idx="6">
                  <c:v>736.66122286249583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143902.40180603729</c:v>
                </c:pt>
                <c:pt idx="1">
                  <c:v>33709.828518096576</c:v>
                </c:pt>
                <c:pt idx="2">
                  <c:v>896.12599999999998</c:v>
                </c:pt>
                <c:pt idx="3">
                  <c:v>5568.0130241355428</c:v>
                </c:pt>
                <c:pt idx="4">
                  <c:v>6456.0052876688505</c:v>
                </c:pt>
                <c:pt idx="5">
                  <c:v>194224.61455550371</c:v>
                </c:pt>
                <c:pt idx="6">
                  <c:v>736.66122286249583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28708.808958867397</c:v>
                </c:pt>
                <c:pt idx="2">
                  <c:v>6260.4278735016278</c:v>
                </c:pt>
                <c:pt idx="3">
                  <c:v>165.24703013491339</c:v>
                </c:pt>
                <c:pt idx="4">
                  <c:v>1275.1009067059294</c:v>
                </c:pt>
                <c:pt idx="5">
                  <c:v>1264.6199765378426</c:v>
                </c:pt>
                <c:pt idx="6">
                  <c:v>48724.693909956048</c:v>
                </c:pt>
                <c:pt idx="7">
                  <c:v>186.0771112914189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28708.808958867397</c:v>
                </c:pt>
                <c:pt idx="2">
                  <c:v>6260.4278735016278</c:v>
                </c:pt>
                <c:pt idx="3">
                  <c:v>165.24703013491339</c:v>
                </c:pt>
                <c:pt idx="4">
                  <c:v>1275.1009067059294</c:v>
                </c:pt>
                <c:pt idx="5">
                  <c:v>1264.6199765378426</c:v>
                </c:pt>
                <c:pt idx="6">
                  <c:v>48724.693909956048</c:v>
                </c:pt>
                <c:pt idx="7">
                  <c:v>186.0771112914189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13053</v>
      </c>
      <c r="B6" s="416"/>
      <c r="C6" s="417"/>
    </row>
    <row r="7" spans="1:7" s="414" customFormat="1" ht="15.75" customHeight="1">
      <c r="A7" s="418" t="str">
        <f>txtMunicipality</f>
        <v>LAAKDAL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18315.961000000003</v>
      </c>
      <c r="D10" s="1025">
        <f ca="1">tertiair!C16</f>
        <v>0</v>
      </c>
      <c r="E10" s="1025">
        <f ca="1">tertiair!D16</f>
        <v>11383.622448000002</v>
      </c>
      <c r="F10" s="1025">
        <f>tertiair!E16</f>
        <v>190.90071845014089</v>
      </c>
      <c r="G10" s="1025">
        <f ca="1">tertiair!F16</f>
        <v>2641.7864050993885</v>
      </c>
      <c r="H10" s="1025">
        <f>tertiair!G16</f>
        <v>0</v>
      </c>
      <c r="I10" s="1025">
        <f>tertiair!H16</f>
        <v>0</v>
      </c>
      <c r="J10" s="1025">
        <f>tertiair!I16</f>
        <v>0</v>
      </c>
      <c r="K10" s="1025">
        <f>tertiair!J16</f>
        <v>0</v>
      </c>
      <c r="L10" s="1025">
        <f>tertiair!K16</f>
        <v>0</v>
      </c>
      <c r="M10" s="1025">
        <f ca="1">tertiair!L16</f>
        <v>0</v>
      </c>
      <c r="N10" s="1025">
        <f>tertiair!M16</f>
        <v>0</v>
      </c>
      <c r="O10" s="1025">
        <f ca="1">tertiair!N16</f>
        <v>2048.3639465470433</v>
      </c>
      <c r="P10" s="1025">
        <f>tertiair!O16</f>
        <v>6.2533333333333339</v>
      </c>
      <c r="Q10" s="1026">
        <f>tertiair!P16</f>
        <v>19.066666666666666</v>
      </c>
      <c r="R10" s="701">
        <f ca="1">SUM(C10:Q10)</f>
        <v>34605.95451809658</v>
      </c>
      <c r="S10" s="67"/>
    </row>
    <row r="11" spans="1:19" s="474" customFormat="1">
      <c r="A11" s="810" t="s">
        <v>225</v>
      </c>
      <c r="B11" s="815"/>
      <c r="C11" s="1025">
        <f>huishoudens!B8</f>
        <v>26332.995506036466</v>
      </c>
      <c r="D11" s="1025">
        <f>huishoudens!C8</f>
        <v>0</v>
      </c>
      <c r="E11" s="1025">
        <f>huishoudens!D8</f>
        <v>42121.465210000002</v>
      </c>
      <c r="F11" s="1025">
        <f>huishoudens!E8</f>
        <v>4719.6724381435533</v>
      </c>
      <c r="G11" s="1025">
        <f>huishoudens!F8</f>
        <v>53457.160889462953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15792.554429060998</v>
      </c>
      <c r="P11" s="1025">
        <f>huishoudens!O8</f>
        <v>334.55333333333334</v>
      </c>
      <c r="Q11" s="1026">
        <f>huishoudens!P8</f>
        <v>1144</v>
      </c>
      <c r="R11" s="701">
        <f>SUM(C11:Q11)</f>
        <v>143902.40180603729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2060.1190000000001</v>
      </c>
      <c r="D13" s="1025">
        <f>industrie!C18</f>
        <v>0</v>
      </c>
      <c r="E13" s="1025">
        <f>industrie!D18</f>
        <v>1529.6079919999997</v>
      </c>
      <c r="F13" s="1025">
        <f>industrie!E18</f>
        <v>292.28822739254065</v>
      </c>
      <c r="G13" s="1025">
        <f>industrie!F18</f>
        <v>1890.1029391143179</v>
      </c>
      <c r="H13" s="1025">
        <f>industrie!G18</f>
        <v>0</v>
      </c>
      <c r="I13" s="1025">
        <f>industrie!H18</f>
        <v>0</v>
      </c>
      <c r="J13" s="1025">
        <f>industrie!I18</f>
        <v>0</v>
      </c>
      <c r="K13" s="1025">
        <f>industrie!J18</f>
        <v>13.398580547891216</v>
      </c>
      <c r="L13" s="1025">
        <f>industrie!K18</f>
        <v>0</v>
      </c>
      <c r="M13" s="1025">
        <f>industrie!L18</f>
        <v>0</v>
      </c>
      <c r="N13" s="1025">
        <f>industrie!M18</f>
        <v>0</v>
      </c>
      <c r="O13" s="1025">
        <f>industrie!N18</f>
        <v>670.48854861410052</v>
      </c>
      <c r="P13" s="1025">
        <f>industrie!O18</f>
        <v>0</v>
      </c>
      <c r="Q13" s="1026">
        <f>industrie!P18</f>
        <v>0</v>
      </c>
      <c r="R13" s="701">
        <f>SUM(C13:Q13)</f>
        <v>6456.0052876688505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46709.075506036468</v>
      </c>
      <c r="D16" s="733">
        <f t="shared" ref="D16:R16" ca="1" si="0">SUM(D9:D15)</f>
        <v>0</v>
      </c>
      <c r="E16" s="733">
        <f t="shared" ca="1" si="0"/>
        <v>55034.695650000001</v>
      </c>
      <c r="F16" s="733">
        <f t="shared" si="0"/>
        <v>5202.8613839862346</v>
      </c>
      <c r="G16" s="733">
        <f t="shared" ca="1" si="0"/>
        <v>57989.050233676659</v>
      </c>
      <c r="H16" s="733">
        <f t="shared" si="0"/>
        <v>0</v>
      </c>
      <c r="I16" s="733">
        <f t="shared" si="0"/>
        <v>0</v>
      </c>
      <c r="J16" s="733">
        <f t="shared" si="0"/>
        <v>0</v>
      </c>
      <c r="K16" s="733">
        <f t="shared" si="0"/>
        <v>13.398580547891216</v>
      </c>
      <c r="L16" s="733">
        <f t="shared" si="0"/>
        <v>0</v>
      </c>
      <c r="M16" s="733">
        <f t="shared" ca="1" si="0"/>
        <v>0</v>
      </c>
      <c r="N16" s="733">
        <f t="shared" si="0"/>
        <v>0</v>
      </c>
      <c r="O16" s="733">
        <f t="shared" ca="1" si="0"/>
        <v>18511.406924222141</v>
      </c>
      <c r="P16" s="733">
        <f t="shared" si="0"/>
        <v>340.80666666666667</v>
      </c>
      <c r="Q16" s="733">
        <f t="shared" si="0"/>
        <v>1163.0666666666666</v>
      </c>
      <c r="R16" s="733">
        <f t="shared" ca="1" si="0"/>
        <v>184964.36161180271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696.91801981804826</v>
      </c>
      <c r="I19" s="1025">
        <f>transport!H54</f>
        <v>0</v>
      </c>
      <c r="J19" s="1025">
        <f>transport!I54</f>
        <v>0</v>
      </c>
      <c r="K19" s="1025">
        <f>transport!J54</f>
        <v>0</v>
      </c>
      <c r="L19" s="1025">
        <f>transport!K54</f>
        <v>0</v>
      </c>
      <c r="M19" s="1025">
        <f>transport!L54</f>
        <v>0</v>
      </c>
      <c r="N19" s="1025">
        <f>transport!M54</f>
        <v>39.743203044447611</v>
      </c>
      <c r="O19" s="1025">
        <f>transport!N54</f>
        <v>0</v>
      </c>
      <c r="P19" s="1025">
        <f>transport!O54</f>
        <v>0</v>
      </c>
      <c r="Q19" s="1026">
        <f>transport!P54</f>
        <v>0</v>
      </c>
      <c r="R19" s="701">
        <f>SUM(C19:Q19)</f>
        <v>736.66122286249583</v>
      </c>
      <c r="S19" s="67"/>
    </row>
    <row r="20" spans="1:19" s="474" customFormat="1">
      <c r="A20" s="810" t="s">
        <v>307</v>
      </c>
      <c r="B20" s="815"/>
      <c r="C20" s="1025">
        <f>transport!B14</f>
        <v>26.43270166798505</v>
      </c>
      <c r="D20" s="1025">
        <f>transport!C14</f>
        <v>0</v>
      </c>
      <c r="E20" s="1025">
        <f>transport!D14</f>
        <v>64.696021133314289</v>
      </c>
      <c r="F20" s="1025">
        <f>transport!E14</f>
        <v>468.30408395937525</v>
      </c>
      <c r="G20" s="1025">
        <f>transport!F14</f>
        <v>0</v>
      </c>
      <c r="H20" s="1025">
        <f>transport!G14</f>
        <v>158594.96303269707</v>
      </c>
      <c r="I20" s="1025">
        <f>transport!H14</f>
        <v>25122.855122655274</v>
      </c>
      <c r="J20" s="1025">
        <f>transport!I14</f>
        <v>0</v>
      </c>
      <c r="K20" s="1025">
        <f>transport!J14</f>
        <v>0</v>
      </c>
      <c r="L20" s="1025">
        <f>transport!K14</f>
        <v>0</v>
      </c>
      <c r="M20" s="1025">
        <f>transport!L14</f>
        <v>0</v>
      </c>
      <c r="N20" s="1025">
        <f>transport!M14</f>
        <v>9947.3635933906735</v>
      </c>
      <c r="O20" s="1025">
        <f>transport!N14</f>
        <v>0</v>
      </c>
      <c r="P20" s="1025">
        <f>transport!O14</f>
        <v>0</v>
      </c>
      <c r="Q20" s="1026">
        <f>transport!P14</f>
        <v>0</v>
      </c>
      <c r="R20" s="701">
        <f>SUM(C20:Q20)</f>
        <v>194224.61455550371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26.43270166798505</v>
      </c>
      <c r="D22" s="813">
        <f t="shared" ref="D22:R22" si="1">SUM(D18:D21)</f>
        <v>0</v>
      </c>
      <c r="E22" s="813">
        <f t="shared" si="1"/>
        <v>64.696021133314289</v>
      </c>
      <c r="F22" s="813">
        <f t="shared" si="1"/>
        <v>468.30408395937525</v>
      </c>
      <c r="G22" s="813">
        <f t="shared" si="1"/>
        <v>0</v>
      </c>
      <c r="H22" s="813">
        <f t="shared" si="1"/>
        <v>159291.88105251512</v>
      </c>
      <c r="I22" s="813">
        <f t="shared" si="1"/>
        <v>25122.855122655274</v>
      </c>
      <c r="J22" s="813">
        <f t="shared" si="1"/>
        <v>0</v>
      </c>
      <c r="K22" s="813">
        <f t="shared" si="1"/>
        <v>0</v>
      </c>
      <c r="L22" s="813">
        <f t="shared" si="1"/>
        <v>0</v>
      </c>
      <c r="M22" s="813">
        <f t="shared" si="1"/>
        <v>0</v>
      </c>
      <c r="N22" s="813">
        <f t="shared" si="1"/>
        <v>9987.1067964351205</v>
      </c>
      <c r="O22" s="813">
        <f t="shared" si="1"/>
        <v>0</v>
      </c>
      <c r="P22" s="813">
        <f t="shared" si="1"/>
        <v>0</v>
      </c>
      <c r="Q22" s="813">
        <f t="shared" si="1"/>
        <v>0</v>
      </c>
      <c r="R22" s="813">
        <f t="shared" si="1"/>
        <v>194961.27577836619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880.06399999999996</v>
      </c>
      <c r="D24" s="1025">
        <f>+landbouw!C8</f>
        <v>0</v>
      </c>
      <c r="E24" s="1025">
        <f>+landbouw!D8</f>
        <v>2311.9838500000001</v>
      </c>
      <c r="F24" s="1025">
        <f>+landbouw!E8</f>
        <v>8.1515213726860516</v>
      </c>
      <c r="G24" s="1025">
        <f>+landbouw!F8</f>
        <v>2232.8900200199519</v>
      </c>
      <c r="H24" s="1025">
        <f>+landbouw!G8</f>
        <v>0</v>
      </c>
      <c r="I24" s="1025">
        <f>+landbouw!H8</f>
        <v>0</v>
      </c>
      <c r="J24" s="1025">
        <f>+landbouw!I8</f>
        <v>0</v>
      </c>
      <c r="K24" s="1025">
        <f>+landbouw!J8</f>
        <v>134.92363274290511</v>
      </c>
      <c r="L24" s="1025">
        <f>+landbouw!K8</f>
        <v>0</v>
      </c>
      <c r="M24" s="1025">
        <f>+landbouw!L8</f>
        <v>0</v>
      </c>
      <c r="N24" s="1025">
        <f>+landbouw!M8</f>
        <v>0</v>
      </c>
      <c r="O24" s="1025">
        <f>+landbouw!N8</f>
        <v>0</v>
      </c>
      <c r="P24" s="1025">
        <f>+landbouw!O8</f>
        <v>0</v>
      </c>
      <c r="Q24" s="1026">
        <f>+landbouw!P8</f>
        <v>0</v>
      </c>
      <c r="R24" s="701">
        <f>SUM(C24:Q24)</f>
        <v>5568.0130241355428</v>
      </c>
      <c r="S24" s="67"/>
    </row>
    <row r="25" spans="1:19" s="474" customFormat="1" ht="15" thickBot="1">
      <c r="A25" s="832" t="s">
        <v>864</v>
      </c>
      <c r="B25" s="1028"/>
      <c r="C25" s="1029">
        <f>IF(Onbekend_ele_kWh="---",0,Onbekend_ele_kWh)/1000+IF(REST_rest_ele_kWh="---",0,REST_rest_ele_kWh)/1000</f>
        <v>597.09500000000003</v>
      </c>
      <c r="D25" s="1029"/>
      <c r="E25" s="1029">
        <f>IF(onbekend_gas_kWh="---",0,onbekend_gas_kWh)/1000+IF(REST_rest_gas_kWh="---",0,REST_rest_gas_kWh)/1000</f>
        <v>664.19200000000001</v>
      </c>
      <c r="F25" s="1029"/>
      <c r="G25" s="1029"/>
      <c r="H25" s="1029"/>
      <c r="I25" s="1029"/>
      <c r="J25" s="1029"/>
      <c r="K25" s="1029"/>
      <c r="L25" s="1029"/>
      <c r="M25" s="1029"/>
      <c r="N25" s="1029"/>
      <c r="O25" s="1029"/>
      <c r="P25" s="1029"/>
      <c r="Q25" s="1030"/>
      <c r="R25" s="701">
        <f>SUM(C25:Q25)</f>
        <v>1261.287</v>
      </c>
      <c r="S25" s="67"/>
    </row>
    <row r="26" spans="1:19" s="474" customFormat="1" ht="15.75" thickBot="1">
      <c r="A26" s="706" t="s">
        <v>865</v>
      </c>
      <c r="B26" s="818"/>
      <c r="C26" s="813">
        <f>SUM(C24:C25)</f>
        <v>1477.1590000000001</v>
      </c>
      <c r="D26" s="813">
        <f t="shared" ref="D26:R26" si="2">SUM(D24:D25)</f>
        <v>0</v>
      </c>
      <c r="E26" s="813">
        <f t="shared" si="2"/>
        <v>2976.1758500000001</v>
      </c>
      <c r="F26" s="813">
        <f t="shared" si="2"/>
        <v>8.1515213726860516</v>
      </c>
      <c r="G26" s="813">
        <f t="shared" si="2"/>
        <v>2232.8900200199519</v>
      </c>
      <c r="H26" s="813">
        <f t="shared" si="2"/>
        <v>0</v>
      </c>
      <c r="I26" s="813">
        <f t="shared" si="2"/>
        <v>0</v>
      </c>
      <c r="J26" s="813">
        <f t="shared" si="2"/>
        <v>0</v>
      </c>
      <c r="K26" s="813">
        <f t="shared" si="2"/>
        <v>134.92363274290511</v>
      </c>
      <c r="L26" s="813">
        <f t="shared" si="2"/>
        <v>0</v>
      </c>
      <c r="M26" s="813">
        <f t="shared" si="2"/>
        <v>0</v>
      </c>
      <c r="N26" s="813">
        <f t="shared" si="2"/>
        <v>0</v>
      </c>
      <c r="O26" s="813">
        <f t="shared" si="2"/>
        <v>0</v>
      </c>
      <c r="P26" s="813">
        <f t="shared" si="2"/>
        <v>0</v>
      </c>
      <c r="Q26" s="813">
        <f t="shared" si="2"/>
        <v>0</v>
      </c>
      <c r="R26" s="813">
        <f t="shared" si="2"/>
        <v>6829.300024135543</v>
      </c>
      <c r="S26" s="67"/>
    </row>
    <row r="27" spans="1:19" s="474" customFormat="1" ht="17.25" thickTop="1" thickBot="1">
      <c r="A27" s="707" t="s">
        <v>116</v>
      </c>
      <c r="B27" s="806"/>
      <c r="C27" s="708">
        <f ca="1">C22+C16+C26</f>
        <v>48212.66720770445</v>
      </c>
      <c r="D27" s="708">
        <f t="shared" ref="D27:R27" ca="1" si="3">D22+D16+D26</f>
        <v>0</v>
      </c>
      <c r="E27" s="708">
        <f t="shared" ca="1" si="3"/>
        <v>58075.567521133315</v>
      </c>
      <c r="F27" s="708">
        <f t="shared" si="3"/>
        <v>5679.3169893182958</v>
      </c>
      <c r="G27" s="708">
        <f t="shared" ca="1" si="3"/>
        <v>60221.940253696608</v>
      </c>
      <c r="H27" s="708">
        <f t="shared" si="3"/>
        <v>159291.88105251512</v>
      </c>
      <c r="I27" s="708">
        <f t="shared" si="3"/>
        <v>25122.855122655274</v>
      </c>
      <c r="J27" s="708">
        <f t="shared" si="3"/>
        <v>0</v>
      </c>
      <c r="K27" s="708">
        <f t="shared" si="3"/>
        <v>148.32221329079633</v>
      </c>
      <c r="L27" s="708">
        <f t="shared" si="3"/>
        <v>0</v>
      </c>
      <c r="M27" s="708">
        <f t="shared" ca="1" si="3"/>
        <v>0</v>
      </c>
      <c r="N27" s="708">
        <f t="shared" si="3"/>
        <v>9987.1067964351205</v>
      </c>
      <c r="O27" s="708">
        <f t="shared" ca="1" si="3"/>
        <v>18511.406924222141</v>
      </c>
      <c r="P27" s="708">
        <f t="shared" si="3"/>
        <v>340.80666666666667</v>
      </c>
      <c r="Q27" s="708">
        <f t="shared" si="3"/>
        <v>1163.0666666666666</v>
      </c>
      <c r="R27" s="708">
        <f t="shared" ca="1" si="3"/>
        <v>386754.93741430447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3377.4917358908224</v>
      </c>
      <c r="D40" s="1025">
        <f ca="1">tertiair!C20</f>
        <v>0</v>
      </c>
      <c r="E40" s="1025">
        <f ca="1">tertiair!D20</f>
        <v>2299.4917344960004</v>
      </c>
      <c r="F40" s="1025">
        <f>tertiair!E20</f>
        <v>43.334463088181984</v>
      </c>
      <c r="G40" s="1025">
        <f ca="1">tertiair!F20</f>
        <v>705.35697016153676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6425.6749036365418</v>
      </c>
    </row>
    <row r="41" spans="1:18">
      <c r="A41" s="823" t="s">
        <v>225</v>
      </c>
      <c r="B41" s="830"/>
      <c r="C41" s="1025">
        <f ca="1">huishoudens!B12</f>
        <v>4855.8453855022035</v>
      </c>
      <c r="D41" s="1025">
        <f ca="1">huishoudens!C12</f>
        <v>0</v>
      </c>
      <c r="E41" s="1025">
        <f>huishoudens!D12</f>
        <v>8508.5359724200007</v>
      </c>
      <c r="F41" s="1025">
        <f>huishoudens!E12</f>
        <v>1071.3656434585866</v>
      </c>
      <c r="G41" s="1025">
        <f>huishoudens!F12</f>
        <v>14273.061957486609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28708.808958867397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379.88915227825964</v>
      </c>
      <c r="D43" s="1025">
        <f ca="1">industrie!C22</f>
        <v>0</v>
      </c>
      <c r="E43" s="1025">
        <f>industrie!D22</f>
        <v>308.98081438399998</v>
      </c>
      <c r="F43" s="1025">
        <f>industrie!E22</f>
        <v>66.349427618106731</v>
      </c>
      <c r="G43" s="1025">
        <f>industrie!F22</f>
        <v>504.6574847435229</v>
      </c>
      <c r="H43" s="1025">
        <f>industrie!G22</f>
        <v>0</v>
      </c>
      <c r="I43" s="1025">
        <f>industrie!H22</f>
        <v>0</v>
      </c>
      <c r="J43" s="1025">
        <f>industrie!I22</f>
        <v>0</v>
      </c>
      <c r="K43" s="1025">
        <f>industrie!J22</f>
        <v>4.7430975139534901</v>
      </c>
      <c r="L43" s="1025">
        <f>industrie!K22</f>
        <v>0</v>
      </c>
      <c r="M43" s="1025">
        <f>industrie!L22</f>
        <v>0</v>
      </c>
      <c r="N43" s="1025">
        <f>industrie!M22</f>
        <v>0</v>
      </c>
      <c r="O43" s="1025">
        <f>industrie!N22</f>
        <v>0</v>
      </c>
      <c r="P43" s="1025">
        <f>industrie!O22</f>
        <v>0</v>
      </c>
      <c r="Q43" s="775">
        <f>industrie!P22</f>
        <v>0</v>
      </c>
      <c r="R43" s="850">
        <f t="shared" ca="1" si="4"/>
        <v>1264.6199765378426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8613.2262736712855</v>
      </c>
      <c r="D46" s="733">
        <f t="shared" ref="D46:Q46" ca="1" si="5">SUM(D39:D45)</f>
        <v>0</v>
      </c>
      <c r="E46" s="733">
        <f t="shared" ca="1" si="5"/>
        <v>11117.0085213</v>
      </c>
      <c r="F46" s="733">
        <f t="shared" si="5"/>
        <v>1181.0495341648755</v>
      </c>
      <c r="G46" s="733">
        <f t="shared" ca="1" si="5"/>
        <v>15483.076412391667</v>
      </c>
      <c r="H46" s="733">
        <f t="shared" si="5"/>
        <v>0</v>
      </c>
      <c r="I46" s="733">
        <f t="shared" si="5"/>
        <v>0</v>
      </c>
      <c r="J46" s="733">
        <f t="shared" si="5"/>
        <v>0</v>
      </c>
      <c r="K46" s="733">
        <f t="shared" si="5"/>
        <v>4.7430975139534901</v>
      </c>
      <c r="L46" s="733">
        <f t="shared" si="5"/>
        <v>0</v>
      </c>
      <c r="M46" s="733">
        <f t="shared" ca="1" si="5"/>
        <v>0</v>
      </c>
      <c r="N46" s="733">
        <f t="shared" si="5"/>
        <v>0</v>
      </c>
      <c r="O46" s="733">
        <f t="shared" ca="1" si="5"/>
        <v>0</v>
      </c>
      <c r="P46" s="733">
        <f t="shared" si="5"/>
        <v>0</v>
      </c>
      <c r="Q46" s="733">
        <f t="shared" si="5"/>
        <v>0</v>
      </c>
      <c r="R46" s="733">
        <f ca="1">SUM(R39:R45)</f>
        <v>36399.103839041782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186.0771112914189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186.0771112914189</v>
      </c>
    </row>
    <row r="50" spans="1:18">
      <c r="A50" s="826" t="s">
        <v>307</v>
      </c>
      <c r="B50" s="836"/>
      <c r="C50" s="704">
        <f ca="1">transport!B18</f>
        <v>4.874231357059946</v>
      </c>
      <c r="D50" s="704">
        <f>transport!C18</f>
        <v>0</v>
      </c>
      <c r="E50" s="704">
        <f>transport!D18</f>
        <v>13.068596268929488</v>
      </c>
      <c r="F50" s="704">
        <f>transport!E18</f>
        <v>106.30502705877818</v>
      </c>
      <c r="G50" s="704">
        <f>transport!F18</f>
        <v>0</v>
      </c>
      <c r="H50" s="704">
        <f>transport!G18</f>
        <v>42344.855129730116</v>
      </c>
      <c r="I50" s="704">
        <f>transport!H18</f>
        <v>6255.5909255411634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48724.693909956048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4.874231357059946</v>
      </c>
      <c r="D52" s="733">
        <f t="shared" ref="D52:Q52" ca="1" si="6">SUM(D48:D51)</f>
        <v>0</v>
      </c>
      <c r="E52" s="733">
        <f t="shared" si="6"/>
        <v>13.068596268929488</v>
      </c>
      <c r="F52" s="733">
        <f t="shared" si="6"/>
        <v>106.30502705877818</v>
      </c>
      <c r="G52" s="733">
        <f t="shared" si="6"/>
        <v>0</v>
      </c>
      <c r="H52" s="733">
        <f t="shared" si="6"/>
        <v>42530.932241021532</v>
      </c>
      <c r="I52" s="733">
        <f t="shared" si="6"/>
        <v>6255.5909255411634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48910.771021247463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162.28517231801379</v>
      </c>
      <c r="D54" s="704">
        <f ca="1">+landbouw!C12</f>
        <v>0</v>
      </c>
      <c r="E54" s="704">
        <f>+landbouw!D12</f>
        <v>467.02073770000004</v>
      </c>
      <c r="F54" s="704">
        <f>+landbouw!E12</f>
        <v>1.8503953515997338</v>
      </c>
      <c r="G54" s="704">
        <f>+landbouw!F12</f>
        <v>596.18163534532721</v>
      </c>
      <c r="H54" s="704">
        <f>+landbouw!G12</f>
        <v>0</v>
      </c>
      <c r="I54" s="704">
        <f>+landbouw!H12</f>
        <v>0</v>
      </c>
      <c r="J54" s="704">
        <f>+landbouw!I12</f>
        <v>0</v>
      </c>
      <c r="K54" s="704">
        <f>+landbouw!J12</f>
        <v>47.762965990988405</v>
      </c>
      <c r="L54" s="704">
        <f>+landbouw!K12</f>
        <v>0</v>
      </c>
      <c r="M54" s="704">
        <f>+landbouw!L12</f>
        <v>0</v>
      </c>
      <c r="N54" s="704">
        <f>+landbouw!M12</f>
        <v>0</v>
      </c>
      <c r="O54" s="704">
        <f>+landbouw!N12</f>
        <v>0</v>
      </c>
      <c r="P54" s="704">
        <f>+landbouw!O12</f>
        <v>0</v>
      </c>
      <c r="Q54" s="705">
        <f>+landbouw!P12</f>
        <v>0</v>
      </c>
      <c r="R54" s="732">
        <f ca="1">SUM(C54:Q54)</f>
        <v>1275.1009067059294</v>
      </c>
    </row>
    <row r="55" spans="1:18" ht="15" thickBot="1">
      <c r="A55" s="826" t="s">
        <v>864</v>
      </c>
      <c r="B55" s="836"/>
      <c r="C55" s="704">
        <f ca="1">C25*'EF ele_warmte'!B12</f>
        <v>110.10524798790139</v>
      </c>
      <c r="D55" s="704"/>
      <c r="E55" s="704">
        <f>E25*EF_CO2_aardgas</f>
        <v>134.16678400000001</v>
      </c>
      <c r="F55" s="704"/>
      <c r="G55" s="704"/>
      <c r="H55" s="704"/>
      <c r="I55" s="704"/>
      <c r="J55" s="704"/>
      <c r="K55" s="704"/>
      <c r="L55" s="704"/>
      <c r="M55" s="704"/>
      <c r="N55" s="704"/>
      <c r="O55" s="704"/>
      <c r="P55" s="704"/>
      <c r="Q55" s="705"/>
      <c r="R55" s="732">
        <f ca="1">SUM(C55:Q55)</f>
        <v>244.27203198790141</v>
      </c>
    </row>
    <row r="56" spans="1:18" ht="15.75" thickBot="1">
      <c r="A56" s="824" t="s">
        <v>865</v>
      </c>
      <c r="B56" s="837"/>
      <c r="C56" s="733">
        <f ca="1">SUM(C54:C55)</f>
        <v>272.3904203059152</v>
      </c>
      <c r="D56" s="733">
        <f t="shared" ref="D56:Q56" ca="1" si="7">SUM(D54:D55)</f>
        <v>0</v>
      </c>
      <c r="E56" s="733">
        <f t="shared" si="7"/>
        <v>601.18752170000005</v>
      </c>
      <c r="F56" s="733">
        <f t="shared" si="7"/>
        <v>1.8503953515997338</v>
      </c>
      <c r="G56" s="733">
        <f t="shared" si="7"/>
        <v>596.18163534532721</v>
      </c>
      <c r="H56" s="733">
        <f t="shared" si="7"/>
        <v>0</v>
      </c>
      <c r="I56" s="733">
        <f t="shared" si="7"/>
        <v>0</v>
      </c>
      <c r="J56" s="733">
        <f t="shared" si="7"/>
        <v>0</v>
      </c>
      <c r="K56" s="733">
        <f t="shared" si="7"/>
        <v>47.762965990988405</v>
      </c>
      <c r="L56" s="733">
        <f t="shared" si="7"/>
        <v>0</v>
      </c>
      <c r="M56" s="733">
        <f t="shared" si="7"/>
        <v>0</v>
      </c>
      <c r="N56" s="733">
        <f t="shared" si="7"/>
        <v>0</v>
      </c>
      <c r="O56" s="733">
        <f t="shared" si="7"/>
        <v>0</v>
      </c>
      <c r="P56" s="733">
        <f t="shared" si="7"/>
        <v>0</v>
      </c>
      <c r="Q56" s="734">
        <f t="shared" si="7"/>
        <v>0</v>
      </c>
      <c r="R56" s="735">
        <f ca="1">SUM(R54:R55)</f>
        <v>1519.3729386938307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8890.4909253342612</v>
      </c>
      <c r="D61" s="741">
        <f t="shared" ref="D61:Q61" ca="1" si="8">D46+D52+D56</f>
        <v>0</v>
      </c>
      <c r="E61" s="741">
        <f t="shared" ca="1" si="8"/>
        <v>11731.264639268929</v>
      </c>
      <c r="F61" s="741">
        <f t="shared" si="8"/>
        <v>1289.2049565752534</v>
      </c>
      <c r="G61" s="741">
        <f t="shared" ca="1" si="8"/>
        <v>16079.258047736994</v>
      </c>
      <c r="H61" s="741">
        <f t="shared" si="8"/>
        <v>42530.932241021532</v>
      </c>
      <c r="I61" s="741">
        <f t="shared" si="8"/>
        <v>6255.5909255411634</v>
      </c>
      <c r="J61" s="741">
        <f t="shared" si="8"/>
        <v>0</v>
      </c>
      <c r="K61" s="741">
        <f t="shared" si="8"/>
        <v>52.506063504941892</v>
      </c>
      <c r="L61" s="741">
        <f t="shared" si="8"/>
        <v>0</v>
      </c>
      <c r="M61" s="741">
        <f t="shared" ca="1" si="8"/>
        <v>0</v>
      </c>
      <c r="N61" s="741">
        <f t="shared" si="8"/>
        <v>0</v>
      </c>
      <c r="O61" s="741">
        <f t="shared" ca="1" si="8"/>
        <v>0</v>
      </c>
      <c r="P61" s="741">
        <f t="shared" si="8"/>
        <v>0</v>
      </c>
      <c r="Q61" s="741">
        <f t="shared" si="8"/>
        <v>0</v>
      </c>
      <c r="R61" s="741">
        <f ca="1">R46+R52+R56</f>
        <v>86829.24779898308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0.18440155752083237</v>
      </c>
      <c r="D63" s="782">
        <f t="shared" ca="1" si="9"/>
        <v>0</v>
      </c>
      <c r="E63" s="1036">
        <f t="shared" ca="1" si="9"/>
        <v>0.20199999999999999</v>
      </c>
      <c r="F63" s="782">
        <f t="shared" si="9"/>
        <v>0.22700000000000004</v>
      </c>
      <c r="G63" s="782">
        <f t="shared" ca="1" si="9"/>
        <v>0.26700000000000002</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7984.2014822100627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7984.2014822100627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26332.995506036466</v>
      </c>
      <c r="C4" s="478">
        <f>huishoudens!C8</f>
        <v>0</v>
      </c>
      <c r="D4" s="478">
        <f>huishoudens!D8</f>
        <v>42121.465210000002</v>
      </c>
      <c r="E4" s="478">
        <f>huishoudens!E8</f>
        <v>4719.6724381435533</v>
      </c>
      <c r="F4" s="478">
        <f>huishoudens!F8</f>
        <v>53457.160889462953</v>
      </c>
      <c r="G4" s="478">
        <f>huishoudens!G8</f>
        <v>0</v>
      </c>
      <c r="H4" s="478">
        <f>huishoudens!H8</f>
        <v>0</v>
      </c>
      <c r="I4" s="478">
        <f>huishoudens!I8</f>
        <v>0</v>
      </c>
      <c r="J4" s="478">
        <f>huishoudens!J8</f>
        <v>0</v>
      </c>
      <c r="K4" s="478">
        <f>huishoudens!K8</f>
        <v>0</v>
      </c>
      <c r="L4" s="478">
        <f>huishoudens!L8</f>
        <v>0</v>
      </c>
      <c r="M4" s="478">
        <f>huishoudens!M8</f>
        <v>0</v>
      </c>
      <c r="N4" s="478">
        <f>huishoudens!N8</f>
        <v>15792.554429060998</v>
      </c>
      <c r="O4" s="478">
        <f>huishoudens!O8</f>
        <v>334.55333333333334</v>
      </c>
      <c r="P4" s="479">
        <f>huishoudens!P8</f>
        <v>1144</v>
      </c>
      <c r="Q4" s="480">
        <f>SUM(B4:P4)</f>
        <v>143902.40180603729</v>
      </c>
    </row>
    <row r="5" spans="1:17">
      <c r="A5" s="477" t="s">
        <v>156</v>
      </c>
      <c r="B5" s="478">
        <f ca="1">tertiair!B16</f>
        <v>17419.835000000003</v>
      </c>
      <c r="C5" s="478">
        <f ca="1">tertiair!C16</f>
        <v>0</v>
      </c>
      <c r="D5" s="478">
        <f ca="1">tertiair!D16</f>
        <v>11383.622448000002</v>
      </c>
      <c r="E5" s="478">
        <f>tertiair!E16</f>
        <v>190.90071845014089</v>
      </c>
      <c r="F5" s="478">
        <f ca="1">tertiair!F16</f>
        <v>2641.7864050993885</v>
      </c>
      <c r="G5" s="478">
        <f>tertiair!G16</f>
        <v>0</v>
      </c>
      <c r="H5" s="478">
        <f>tertiair!H16</f>
        <v>0</v>
      </c>
      <c r="I5" s="478">
        <f>tertiair!I16</f>
        <v>0</v>
      </c>
      <c r="J5" s="478">
        <f>tertiair!J16</f>
        <v>0</v>
      </c>
      <c r="K5" s="478">
        <f>tertiair!K16</f>
        <v>0</v>
      </c>
      <c r="L5" s="478">
        <f ca="1">tertiair!L16</f>
        <v>0</v>
      </c>
      <c r="M5" s="478">
        <f>tertiair!M16</f>
        <v>0</v>
      </c>
      <c r="N5" s="478">
        <f ca="1">tertiair!N16</f>
        <v>2048.3639465470433</v>
      </c>
      <c r="O5" s="478">
        <f>tertiair!O16</f>
        <v>6.2533333333333339</v>
      </c>
      <c r="P5" s="479">
        <f>tertiair!P16</f>
        <v>19.066666666666666</v>
      </c>
      <c r="Q5" s="477">
        <f t="shared" ref="Q5:Q14" ca="1" si="0">SUM(B5:P5)</f>
        <v>33709.828518096576</v>
      </c>
    </row>
    <row r="6" spans="1:17">
      <c r="A6" s="477" t="s">
        <v>194</v>
      </c>
      <c r="B6" s="478">
        <f>'openbare verlichting'!B8</f>
        <v>896.12599999999998</v>
      </c>
      <c r="C6" s="478"/>
      <c r="D6" s="478"/>
      <c r="E6" s="478"/>
      <c r="F6" s="478"/>
      <c r="G6" s="478"/>
      <c r="H6" s="478"/>
      <c r="I6" s="478"/>
      <c r="J6" s="478"/>
      <c r="K6" s="478"/>
      <c r="L6" s="478"/>
      <c r="M6" s="478"/>
      <c r="N6" s="478"/>
      <c r="O6" s="478"/>
      <c r="P6" s="479"/>
      <c r="Q6" s="477">
        <f t="shared" si="0"/>
        <v>896.12599999999998</v>
      </c>
    </row>
    <row r="7" spans="1:17">
      <c r="A7" s="477" t="s">
        <v>112</v>
      </c>
      <c r="B7" s="478">
        <f>landbouw!B8</f>
        <v>880.06399999999996</v>
      </c>
      <c r="C7" s="478">
        <f>landbouw!C8</f>
        <v>0</v>
      </c>
      <c r="D7" s="478">
        <f>landbouw!D8</f>
        <v>2311.9838500000001</v>
      </c>
      <c r="E7" s="478">
        <f>landbouw!E8</f>
        <v>8.1515213726860516</v>
      </c>
      <c r="F7" s="478">
        <f>landbouw!F8</f>
        <v>2232.8900200199519</v>
      </c>
      <c r="G7" s="478">
        <f>landbouw!G8</f>
        <v>0</v>
      </c>
      <c r="H7" s="478">
        <f>landbouw!H8</f>
        <v>0</v>
      </c>
      <c r="I7" s="478">
        <f>landbouw!I8</f>
        <v>0</v>
      </c>
      <c r="J7" s="478">
        <f>landbouw!J8</f>
        <v>134.92363274290511</v>
      </c>
      <c r="K7" s="478">
        <f>landbouw!K8</f>
        <v>0</v>
      </c>
      <c r="L7" s="478">
        <f>landbouw!L8</f>
        <v>0</v>
      </c>
      <c r="M7" s="478">
        <f>landbouw!M8</f>
        <v>0</v>
      </c>
      <c r="N7" s="478">
        <f>landbouw!N8</f>
        <v>0</v>
      </c>
      <c r="O7" s="478">
        <f>landbouw!O8</f>
        <v>0</v>
      </c>
      <c r="P7" s="479">
        <f>landbouw!P8</f>
        <v>0</v>
      </c>
      <c r="Q7" s="477">
        <f t="shared" si="0"/>
        <v>5568.0130241355428</v>
      </c>
    </row>
    <row r="8" spans="1:17">
      <c r="A8" s="477" t="s">
        <v>650</v>
      </c>
      <c r="B8" s="478">
        <f>industrie!B18</f>
        <v>2060.1190000000001</v>
      </c>
      <c r="C8" s="478">
        <f>industrie!C18</f>
        <v>0</v>
      </c>
      <c r="D8" s="478">
        <f>industrie!D18</f>
        <v>1529.6079919999997</v>
      </c>
      <c r="E8" s="478">
        <f>industrie!E18</f>
        <v>292.28822739254065</v>
      </c>
      <c r="F8" s="478">
        <f>industrie!F18</f>
        <v>1890.1029391143179</v>
      </c>
      <c r="G8" s="478">
        <f>industrie!G18</f>
        <v>0</v>
      </c>
      <c r="H8" s="478">
        <f>industrie!H18</f>
        <v>0</v>
      </c>
      <c r="I8" s="478">
        <f>industrie!I18</f>
        <v>0</v>
      </c>
      <c r="J8" s="478">
        <f>industrie!J18</f>
        <v>13.398580547891216</v>
      </c>
      <c r="K8" s="478">
        <f>industrie!K18</f>
        <v>0</v>
      </c>
      <c r="L8" s="478">
        <f>industrie!L18</f>
        <v>0</v>
      </c>
      <c r="M8" s="478">
        <f>industrie!M18</f>
        <v>0</v>
      </c>
      <c r="N8" s="478">
        <f>industrie!N18</f>
        <v>670.48854861410052</v>
      </c>
      <c r="O8" s="478">
        <f>industrie!O18</f>
        <v>0</v>
      </c>
      <c r="P8" s="479">
        <f>industrie!P18</f>
        <v>0</v>
      </c>
      <c r="Q8" s="477">
        <f t="shared" si="0"/>
        <v>6456.0052876688505</v>
      </c>
    </row>
    <row r="9" spans="1:17" s="483" customFormat="1">
      <c r="A9" s="481" t="s">
        <v>571</v>
      </c>
      <c r="B9" s="482">
        <f>transport!B14</f>
        <v>26.43270166798505</v>
      </c>
      <c r="C9" s="482">
        <f>transport!C14</f>
        <v>0</v>
      </c>
      <c r="D9" s="482">
        <f>transport!D14</f>
        <v>64.696021133314289</v>
      </c>
      <c r="E9" s="482">
        <f>transport!E14</f>
        <v>468.30408395937525</v>
      </c>
      <c r="F9" s="482">
        <f>transport!F14</f>
        <v>0</v>
      </c>
      <c r="G9" s="482">
        <f>transport!G14</f>
        <v>158594.96303269707</v>
      </c>
      <c r="H9" s="482">
        <f>transport!H14</f>
        <v>25122.855122655274</v>
      </c>
      <c r="I9" s="482">
        <f>transport!I14</f>
        <v>0</v>
      </c>
      <c r="J9" s="482">
        <f>transport!J14</f>
        <v>0</v>
      </c>
      <c r="K9" s="482">
        <f>transport!K14</f>
        <v>0</v>
      </c>
      <c r="L9" s="482">
        <f>transport!L14</f>
        <v>0</v>
      </c>
      <c r="M9" s="482">
        <f>transport!M14</f>
        <v>9947.3635933906735</v>
      </c>
      <c r="N9" s="482">
        <f>transport!N14</f>
        <v>0</v>
      </c>
      <c r="O9" s="482">
        <f>transport!O14</f>
        <v>0</v>
      </c>
      <c r="P9" s="482">
        <f>transport!P14</f>
        <v>0</v>
      </c>
      <c r="Q9" s="481">
        <f>SUM(B9:P9)</f>
        <v>194224.61455550371</v>
      </c>
    </row>
    <row r="10" spans="1:17">
      <c r="A10" s="477" t="s">
        <v>561</v>
      </c>
      <c r="B10" s="478">
        <f>transport!B54</f>
        <v>0</v>
      </c>
      <c r="C10" s="478">
        <f>transport!C54</f>
        <v>0</v>
      </c>
      <c r="D10" s="478">
        <f>transport!D54</f>
        <v>0</v>
      </c>
      <c r="E10" s="478">
        <f>transport!E54</f>
        <v>0</v>
      </c>
      <c r="F10" s="478">
        <f>transport!F54</f>
        <v>0</v>
      </c>
      <c r="G10" s="478">
        <f>transport!G54</f>
        <v>696.91801981804826</v>
      </c>
      <c r="H10" s="478">
        <f>transport!H54</f>
        <v>0</v>
      </c>
      <c r="I10" s="478">
        <f>transport!I54</f>
        <v>0</v>
      </c>
      <c r="J10" s="478">
        <f>transport!J54</f>
        <v>0</v>
      </c>
      <c r="K10" s="478">
        <f>transport!K54</f>
        <v>0</v>
      </c>
      <c r="L10" s="478">
        <f>transport!L54</f>
        <v>0</v>
      </c>
      <c r="M10" s="478">
        <f>transport!M54</f>
        <v>39.743203044447611</v>
      </c>
      <c r="N10" s="478">
        <f>transport!N54</f>
        <v>0</v>
      </c>
      <c r="O10" s="478">
        <f>transport!O54</f>
        <v>0</v>
      </c>
      <c r="P10" s="479">
        <f>transport!P54</f>
        <v>0</v>
      </c>
      <c r="Q10" s="477">
        <f t="shared" si="0"/>
        <v>736.66122286249583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597.09500000000003</v>
      </c>
      <c r="C14" s="485"/>
      <c r="D14" s="485">
        <f>'SEAP template'!E25</f>
        <v>664.19200000000001</v>
      </c>
      <c r="E14" s="485"/>
      <c r="F14" s="485"/>
      <c r="G14" s="485"/>
      <c r="H14" s="485"/>
      <c r="I14" s="485"/>
      <c r="J14" s="485"/>
      <c r="K14" s="485"/>
      <c r="L14" s="485"/>
      <c r="M14" s="485"/>
      <c r="N14" s="485"/>
      <c r="O14" s="485"/>
      <c r="P14" s="486"/>
      <c r="Q14" s="477">
        <f t="shared" si="0"/>
        <v>1261.287</v>
      </c>
    </row>
    <row r="15" spans="1:17" s="487" customFormat="1">
      <c r="A15" s="1051" t="s">
        <v>565</v>
      </c>
      <c r="B15" s="991">
        <f ca="1">SUM(B4:B14)</f>
        <v>48212.667207704442</v>
      </c>
      <c r="C15" s="991">
        <f t="shared" ref="C15:Q15" ca="1" si="1">SUM(C4:C14)</f>
        <v>0</v>
      </c>
      <c r="D15" s="991">
        <f t="shared" ca="1" si="1"/>
        <v>58075.567521133315</v>
      </c>
      <c r="E15" s="991">
        <f t="shared" si="1"/>
        <v>5679.3169893182958</v>
      </c>
      <c r="F15" s="991">
        <f t="shared" ca="1" si="1"/>
        <v>60221.940253696608</v>
      </c>
      <c r="G15" s="991">
        <f t="shared" si="1"/>
        <v>159291.88105251512</v>
      </c>
      <c r="H15" s="991">
        <f t="shared" si="1"/>
        <v>25122.855122655274</v>
      </c>
      <c r="I15" s="991">
        <f t="shared" si="1"/>
        <v>0</v>
      </c>
      <c r="J15" s="991">
        <f t="shared" si="1"/>
        <v>148.32221329079633</v>
      </c>
      <c r="K15" s="991">
        <f t="shared" si="1"/>
        <v>0</v>
      </c>
      <c r="L15" s="991">
        <f t="shared" ca="1" si="1"/>
        <v>0</v>
      </c>
      <c r="M15" s="991">
        <f t="shared" si="1"/>
        <v>9987.1067964351205</v>
      </c>
      <c r="N15" s="991">
        <f t="shared" ca="1" si="1"/>
        <v>18511.406924222141</v>
      </c>
      <c r="O15" s="991">
        <f t="shared" si="1"/>
        <v>340.80666666666667</v>
      </c>
      <c r="P15" s="991">
        <f t="shared" si="1"/>
        <v>1163.0666666666666</v>
      </c>
      <c r="Q15" s="991">
        <f t="shared" ca="1" si="1"/>
        <v>386754.93741430447</v>
      </c>
    </row>
    <row r="17" spans="1:17">
      <c r="A17" s="488" t="s">
        <v>566</v>
      </c>
      <c r="B17" s="787">
        <f ca="1">huishoudens!B10</f>
        <v>0.18440155752083234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4855.8453855022035</v>
      </c>
      <c r="C22" s="478">
        <f t="shared" ref="C22:C32" ca="1" si="3">C4*$C$17</f>
        <v>0</v>
      </c>
      <c r="D22" s="478">
        <f t="shared" ref="D22:D32" si="4">D4*$D$17</f>
        <v>8508.5359724200007</v>
      </c>
      <c r="E22" s="478">
        <f t="shared" ref="E22:E32" si="5">E4*$E$17</f>
        <v>1071.3656434585866</v>
      </c>
      <c r="F22" s="478">
        <f t="shared" ref="F22:F32" si="6">F4*$F$17</f>
        <v>14273.061957486609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28708.808958867397</v>
      </c>
    </row>
    <row r="23" spans="1:17">
      <c r="A23" s="477" t="s">
        <v>156</v>
      </c>
      <c r="B23" s="478">
        <f t="shared" ca="1" si="2"/>
        <v>3212.2447057559089</v>
      </c>
      <c r="C23" s="478">
        <f t="shared" ca="1" si="3"/>
        <v>0</v>
      </c>
      <c r="D23" s="478">
        <f t="shared" ca="1" si="4"/>
        <v>2299.4917344960004</v>
      </c>
      <c r="E23" s="478">
        <f t="shared" si="5"/>
        <v>43.334463088181984</v>
      </c>
      <c r="F23" s="478">
        <f t="shared" ca="1" si="6"/>
        <v>705.35697016153676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6260.4278735016278</v>
      </c>
    </row>
    <row r="24" spans="1:17">
      <c r="A24" s="477" t="s">
        <v>194</v>
      </c>
      <c r="B24" s="478">
        <f t="shared" ca="1" si="2"/>
        <v>165.24703013491339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165.24703013491339</v>
      </c>
    </row>
    <row r="25" spans="1:17">
      <c r="A25" s="477" t="s">
        <v>112</v>
      </c>
      <c r="B25" s="478">
        <f t="shared" ca="1" si="2"/>
        <v>162.28517231801379</v>
      </c>
      <c r="C25" s="478">
        <f t="shared" ca="1" si="3"/>
        <v>0</v>
      </c>
      <c r="D25" s="478">
        <f t="shared" si="4"/>
        <v>467.02073770000004</v>
      </c>
      <c r="E25" s="478">
        <f t="shared" si="5"/>
        <v>1.8503953515997338</v>
      </c>
      <c r="F25" s="478">
        <f t="shared" si="6"/>
        <v>596.18163534532721</v>
      </c>
      <c r="G25" s="478">
        <f t="shared" si="7"/>
        <v>0</v>
      </c>
      <c r="H25" s="478">
        <f t="shared" si="8"/>
        <v>0</v>
      </c>
      <c r="I25" s="478">
        <f t="shared" si="9"/>
        <v>0</v>
      </c>
      <c r="J25" s="478">
        <f t="shared" si="10"/>
        <v>47.762965990988405</v>
      </c>
      <c r="K25" s="478">
        <f t="shared" si="11"/>
        <v>0</v>
      </c>
      <c r="L25" s="478">
        <f t="shared" si="12"/>
        <v>0</v>
      </c>
      <c r="M25" s="478">
        <f t="shared" si="13"/>
        <v>0</v>
      </c>
      <c r="N25" s="478">
        <f t="shared" si="14"/>
        <v>0</v>
      </c>
      <c r="O25" s="478">
        <f t="shared" si="15"/>
        <v>0</v>
      </c>
      <c r="P25" s="479">
        <f t="shared" si="16"/>
        <v>0</v>
      </c>
      <c r="Q25" s="477">
        <f t="shared" ca="1" si="17"/>
        <v>1275.1009067059294</v>
      </c>
    </row>
    <row r="26" spans="1:17">
      <c r="A26" s="477" t="s">
        <v>650</v>
      </c>
      <c r="B26" s="478">
        <f t="shared" ca="1" si="2"/>
        <v>379.88915227825964</v>
      </c>
      <c r="C26" s="478">
        <f t="shared" ca="1" si="3"/>
        <v>0</v>
      </c>
      <c r="D26" s="478">
        <f t="shared" si="4"/>
        <v>308.98081438399998</v>
      </c>
      <c r="E26" s="478">
        <f t="shared" si="5"/>
        <v>66.349427618106731</v>
      </c>
      <c r="F26" s="478">
        <f t="shared" si="6"/>
        <v>504.6574847435229</v>
      </c>
      <c r="G26" s="478">
        <f t="shared" si="7"/>
        <v>0</v>
      </c>
      <c r="H26" s="478">
        <f t="shared" si="8"/>
        <v>0</v>
      </c>
      <c r="I26" s="478">
        <f t="shared" si="9"/>
        <v>0</v>
      </c>
      <c r="J26" s="478">
        <f t="shared" si="10"/>
        <v>4.7430975139534901</v>
      </c>
      <c r="K26" s="478">
        <f t="shared" si="11"/>
        <v>0</v>
      </c>
      <c r="L26" s="478">
        <f t="shared" si="12"/>
        <v>0</v>
      </c>
      <c r="M26" s="478">
        <f t="shared" si="13"/>
        <v>0</v>
      </c>
      <c r="N26" s="478">
        <f t="shared" si="14"/>
        <v>0</v>
      </c>
      <c r="O26" s="478">
        <f t="shared" si="15"/>
        <v>0</v>
      </c>
      <c r="P26" s="479">
        <f t="shared" si="16"/>
        <v>0</v>
      </c>
      <c r="Q26" s="477">
        <f t="shared" ca="1" si="17"/>
        <v>1264.6199765378426</v>
      </c>
    </row>
    <row r="27" spans="1:17" s="483" customFormat="1">
      <c r="A27" s="481" t="s">
        <v>571</v>
      </c>
      <c r="B27" s="781">
        <f t="shared" ca="1" si="2"/>
        <v>4.874231357059946</v>
      </c>
      <c r="C27" s="482">
        <f t="shared" ca="1" si="3"/>
        <v>0</v>
      </c>
      <c r="D27" s="482">
        <f t="shared" si="4"/>
        <v>13.068596268929488</v>
      </c>
      <c r="E27" s="482">
        <f t="shared" si="5"/>
        <v>106.30502705877818</v>
      </c>
      <c r="F27" s="482">
        <f t="shared" si="6"/>
        <v>0</v>
      </c>
      <c r="G27" s="482">
        <f t="shared" si="7"/>
        <v>42344.855129730116</v>
      </c>
      <c r="H27" s="482">
        <f t="shared" si="8"/>
        <v>6255.5909255411634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48724.693909956048</v>
      </c>
    </row>
    <row r="28" spans="1:17">
      <c r="A28" s="477" t="s">
        <v>561</v>
      </c>
      <c r="B28" s="478">
        <f t="shared" ca="1" si="2"/>
        <v>0</v>
      </c>
      <c r="C28" s="478">
        <f t="shared" ca="1" si="3"/>
        <v>0</v>
      </c>
      <c r="D28" s="478">
        <f t="shared" si="4"/>
        <v>0</v>
      </c>
      <c r="E28" s="478">
        <f t="shared" si="5"/>
        <v>0</v>
      </c>
      <c r="F28" s="478">
        <f t="shared" si="6"/>
        <v>0</v>
      </c>
      <c r="G28" s="478">
        <f t="shared" si="7"/>
        <v>186.0771112914189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186.0771112914189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110.10524798790139</v>
      </c>
      <c r="C32" s="478">
        <f t="shared" ca="1" si="3"/>
        <v>0</v>
      </c>
      <c r="D32" s="478">
        <f t="shared" si="4"/>
        <v>134.16678400000001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244.27203198790141</v>
      </c>
    </row>
    <row r="33" spans="1:17" s="487" customFormat="1">
      <c r="A33" s="1051" t="s">
        <v>565</v>
      </c>
      <c r="B33" s="991">
        <f ca="1">SUM(B22:B32)</f>
        <v>8890.4909253342612</v>
      </c>
      <c r="C33" s="991">
        <f t="shared" ref="C33:Q33" ca="1" si="18">SUM(C22:C32)</f>
        <v>0</v>
      </c>
      <c r="D33" s="991">
        <f t="shared" ca="1" si="18"/>
        <v>11731.264639268931</v>
      </c>
      <c r="E33" s="991">
        <f t="shared" si="18"/>
        <v>1289.2049565752534</v>
      </c>
      <c r="F33" s="991">
        <f t="shared" ca="1" si="18"/>
        <v>16079.258047736994</v>
      </c>
      <c r="G33" s="991">
        <f t="shared" si="18"/>
        <v>42530.932241021532</v>
      </c>
      <c r="H33" s="991">
        <f t="shared" si="18"/>
        <v>6255.5909255411634</v>
      </c>
      <c r="I33" s="991">
        <f t="shared" si="18"/>
        <v>0</v>
      </c>
      <c r="J33" s="991">
        <f t="shared" si="18"/>
        <v>52.506063504941892</v>
      </c>
      <c r="K33" s="991">
        <f t="shared" si="18"/>
        <v>0</v>
      </c>
      <c r="L33" s="991">
        <f t="shared" ca="1" si="18"/>
        <v>0</v>
      </c>
      <c r="M33" s="991">
        <f t="shared" si="18"/>
        <v>0</v>
      </c>
      <c r="N33" s="991">
        <f t="shared" ca="1" si="18"/>
        <v>0</v>
      </c>
      <c r="O33" s="991">
        <f t="shared" si="18"/>
        <v>0</v>
      </c>
      <c r="P33" s="991">
        <f t="shared" si="18"/>
        <v>0</v>
      </c>
      <c r="Q33" s="991">
        <f t="shared" ca="1" si="18"/>
        <v>86829.24779898308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7984.2014822100627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7984.2014822100627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0.18440155752083234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0.18440155752083234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0.18440155752083234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0.18440155752083234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6556</v>
      </c>
      <c r="C9" s="342">
        <v>6719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1545</v>
      </c>
    </row>
    <row r="15" spans="1:6">
      <c r="A15" s="348" t="s">
        <v>184</v>
      </c>
      <c r="B15" s="334">
        <v>930</v>
      </c>
    </row>
    <row r="16" spans="1:6">
      <c r="A16" s="348" t="s">
        <v>6</v>
      </c>
      <c r="B16" s="334">
        <v>513</v>
      </c>
    </row>
    <row r="17" spans="1:6">
      <c r="A17" s="348" t="s">
        <v>7</v>
      </c>
      <c r="B17" s="334">
        <v>117</v>
      </c>
    </row>
    <row r="18" spans="1:6">
      <c r="A18" s="348" t="s">
        <v>8</v>
      </c>
      <c r="B18" s="334">
        <v>346</v>
      </c>
    </row>
    <row r="19" spans="1:6">
      <c r="A19" s="348" t="s">
        <v>9</v>
      </c>
      <c r="B19" s="334">
        <v>332</v>
      </c>
    </row>
    <row r="20" spans="1:6">
      <c r="A20" s="348" t="s">
        <v>10</v>
      </c>
      <c r="B20" s="334">
        <v>226</v>
      </c>
    </row>
    <row r="21" spans="1:6">
      <c r="A21" s="348" t="s">
        <v>11</v>
      </c>
      <c r="B21" s="334">
        <v>2144</v>
      </c>
    </row>
    <row r="22" spans="1:6">
      <c r="A22" s="348" t="s">
        <v>12</v>
      </c>
      <c r="B22" s="334">
        <v>4516</v>
      </c>
    </row>
    <row r="23" spans="1:6">
      <c r="A23" s="348" t="s">
        <v>13</v>
      </c>
      <c r="B23" s="334">
        <v>67</v>
      </c>
    </row>
    <row r="24" spans="1:6">
      <c r="A24" s="348" t="s">
        <v>14</v>
      </c>
      <c r="B24" s="334">
        <v>6</v>
      </c>
    </row>
    <row r="25" spans="1:6">
      <c r="A25" s="348" t="s">
        <v>15</v>
      </c>
      <c r="B25" s="334">
        <v>715</v>
      </c>
    </row>
    <row r="26" spans="1:6">
      <c r="A26" s="348" t="s">
        <v>16</v>
      </c>
      <c r="B26" s="334">
        <v>241</v>
      </c>
    </row>
    <row r="27" spans="1:6">
      <c r="A27" s="348" t="s">
        <v>17</v>
      </c>
      <c r="B27" s="334">
        <v>0</v>
      </c>
    </row>
    <row r="28" spans="1:6" s="356" customFormat="1">
      <c r="A28" s="355" t="s">
        <v>18</v>
      </c>
      <c r="B28" s="355">
        <v>63798</v>
      </c>
    </row>
    <row r="29" spans="1:6">
      <c r="A29" s="355" t="s">
        <v>901</v>
      </c>
      <c r="B29" s="355">
        <v>224</v>
      </c>
      <c r="C29" s="356"/>
      <c r="D29" s="356"/>
      <c r="E29" s="356"/>
      <c r="F29" s="356"/>
    </row>
    <row r="30" spans="1:6">
      <c r="A30" s="341" t="s">
        <v>902</v>
      </c>
      <c r="B30" s="341">
        <v>55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164029</v>
      </c>
      <c r="E38" s="334">
        <v>1</v>
      </c>
      <c r="F38" s="334">
        <v>14074</v>
      </c>
    </row>
    <row r="39" spans="1:6">
      <c r="A39" s="348" t="s">
        <v>30</v>
      </c>
      <c r="B39" s="348" t="s">
        <v>31</v>
      </c>
      <c r="C39" s="334">
        <v>3074</v>
      </c>
      <c r="D39" s="334">
        <v>46697855</v>
      </c>
      <c r="E39" s="334">
        <v>6497</v>
      </c>
      <c r="F39" s="334">
        <v>21527302</v>
      </c>
    </row>
    <row r="40" spans="1:6">
      <c r="A40" s="348" t="s">
        <v>30</v>
      </c>
      <c r="B40" s="348" t="s">
        <v>29</v>
      </c>
      <c r="C40" s="334">
        <v>0</v>
      </c>
      <c r="D40" s="334">
        <v>0</v>
      </c>
      <c r="E40" s="334">
        <v>0</v>
      </c>
      <c r="F40" s="334">
        <v>0</v>
      </c>
    </row>
    <row r="41" spans="1:6">
      <c r="A41" s="348" t="s">
        <v>32</v>
      </c>
      <c r="B41" s="348" t="s">
        <v>33</v>
      </c>
      <c r="C41" s="334">
        <v>42</v>
      </c>
      <c r="D41" s="334">
        <v>1157109</v>
      </c>
      <c r="E41" s="334">
        <v>120</v>
      </c>
      <c r="F41" s="334">
        <v>1017159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159830</v>
      </c>
    </row>
    <row r="45" spans="1:6">
      <c r="A45" s="348" t="s">
        <v>32</v>
      </c>
      <c r="B45" s="348" t="s">
        <v>37</v>
      </c>
      <c r="C45" s="334">
        <v>3</v>
      </c>
      <c r="D45" s="334">
        <v>32669</v>
      </c>
      <c r="E45" s="334">
        <v>5</v>
      </c>
      <c r="F45" s="334">
        <v>193505</v>
      </c>
    </row>
    <row r="46" spans="1:6">
      <c r="A46" s="348" t="s">
        <v>32</v>
      </c>
      <c r="B46" s="348" t="s">
        <v>38</v>
      </c>
      <c r="C46" s="334">
        <v>0</v>
      </c>
      <c r="D46" s="334">
        <v>0</v>
      </c>
      <c r="E46" s="334">
        <v>0</v>
      </c>
      <c r="F46" s="334">
        <v>0</v>
      </c>
    </row>
    <row r="47" spans="1:6">
      <c r="A47" s="348" t="s">
        <v>32</v>
      </c>
      <c r="B47" s="348" t="s">
        <v>39</v>
      </c>
      <c r="C47" s="334">
        <v>3</v>
      </c>
      <c r="D47" s="334">
        <v>64061</v>
      </c>
      <c r="E47" s="334">
        <v>4</v>
      </c>
      <c r="F47" s="334">
        <v>104417</v>
      </c>
    </row>
    <row r="48" spans="1:6">
      <c r="A48" s="348" t="s">
        <v>32</v>
      </c>
      <c r="B48" s="348" t="s">
        <v>29</v>
      </c>
      <c r="C48" s="334">
        <v>2</v>
      </c>
      <c r="D48" s="334">
        <v>32923</v>
      </c>
      <c r="E48" s="334">
        <v>4</v>
      </c>
      <c r="F48" s="334">
        <v>45308</v>
      </c>
    </row>
    <row r="49" spans="1:6">
      <c r="A49" s="348" t="s">
        <v>32</v>
      </c>
      <c r="B49" s="348" t="s">
        <v>40</v>
      </c>
      <c r="C49" s="334">
        <v>0</v>
      </c>
      <c r="D49" s="334">
        <v>0</v>
      </c>
      <c r="E49" s="334">
        <v>0</v>
      </c>
      <c r="F49" s="334">
        <v>0</v>
      </c>
    </row>
    <row r="50" spans="1:6">
      <c r="A50" s="348" t="s">
        <v>32</v>
      </c>
      <c r="B50" s="348" t="s">
        <v>41</v>
      </c>
      <c r="C50" s="334">
        <v>7</v>
      </c>
      <c r="D50" s="334">
        <v>409034</v>
      </c>
      <c r="E50" s="334">
        <v>14</v>
      </c>
      <c r="F50" s="334">
        <v>539900</v>
      </c>
    </row>
    <row r="51" spans="1:6">
      <c r="A51" s="348" t="s">
        <v>42</v>
      </c>
      <c r="B51" s="348" t="s">
        <v>43</v>
      </c>
      <c r="C51" s="334">
        <v>4</v>
      </c>
      <c r="D51" s="334">
        <v>2563175</v>
      </c>
      <c r="E51" s="334">
        <v>42</v>
      </c>
      <c r="F51" s="334">
        <v>880064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101</v>
      </c>
      <c r="F54" s="334">
        <v>896126</v>
      </c>
    </row>
    <row r="55" spans="1:6">
      <c r="A55" s="348" t="s">
        <v>46</v>
      </c>
      <c r="B55" s="348" t="s">
        <v>29</v>
      </c>
      <c r="C55" s="334">
        <v>0</v>
      </c>
      <c r="D55" s="334">
        <v>0</v>
      </c>
      <c r="E55" s="334">
        <v>0</v>
      </c>
      <c r="F55" s="334">
        <v>0</v>
      </c>
    </row>
    <row r="56" spans="1:6">
      <c r="A56" s="348" t="s">
        <v>48</v>
      </c>
      <c r="B56" s="348" t="s">
        <v>29</v>
      </c>
      <c r="C56" s="334">
        <v>42</v>
      </c>
      <c r="D56" s="334">
        <v>664192</v>
      </c>
      <c r="E56" s="334">
        <v>156</v>
      </c>
      <c r="F56" s="334">
        <v>597095</v>
      </c>
    </row>
    <row r="57" spans="1:6">
      <c r="A57" s="348" t="s">
        <v>49</v>
      </c>
      <c r="B57" s="348" t="s">
        <v>50</v>
      </c>
      <c r="C57" s="334">
        <v>33</v>
      </c>
      <c r="D57" s="334">
        <v>3461437</v>
      </c>
      <c r="E57" s="334">
        <v>79</v>
      </c>
      <c r="F57" s="334">
        <v>2751754</v>
      </c>
    </row>
    <row r="58" spans="1:6">
      <c r="A58" s="348" t="s">
        <v>49</v>
      </c>
      <c r="B58" s="348" t="s">
        <v>51</v>
      </c>
      <c r="C58" s="334">
        <v>9</v>
      </c>
      <c r="D58" s="334">
        <v>386270</v>
      </c>
      <c r="E58" s="334">
        <v>16</v>
      </c>
      <c r="F58" s="334">
        <v>112321</v>
      </c>
    </row>
    <row r="59" spans="1:6">
      <c r="A59" s="348" t="s">
        <v>49</v>
      </c>
      <c r="B59" s="348" t="s">
        <v>52</v>
      </c>
      <c r="C59" s="334">
        <v>55</v>
      </c>
      <c r="D59" s="334">
        <v>2265190</v>
      </c>
      <c r="E59" s="334">
        <v>146</v>
      </c>
      <c r="F59" s="334">
        <v>8216531</v>
      </c>
    </row>
    <row r="60" spans="1:6">
      <c r="A60" s="348" t="s">
        <v>49</v>
      </c>
      <c r="B60" s="348" t="s">
        <v>53</v>
      </c>
      <c r="C60" s="334">
        <v>35</v>
      </c>
      <c r="D60" s="334">
        <v>1919451</v>
      </c>
      <c r="E60" s="334">
        <v>63</v>
      </c>
      <c r="F60" s="334">
        <v>1926893</v>
      </c>
    </row>
    <row r="61" spans="1:6">
      <c r="A61" s="348" t="s">
        <v>49</v>
      </c>
      <c r="B61" s="348" t="s">
        <v>54</v>
      </c>
      <c r="C61" s="334">
        <v>65</v>
      </c>
      <c r="D61" s="334">
        <v>3993884</v>
      </c>
      <c r="E61" s="334">
        <v>204</v>
      </c>
      <c r="F61" s="334">
        <v>4167421</v>
      </c>
    </row>
    <row r="62" spans="1:6">
      <c r="A62" s="348" t="s">
        <v>49</v>
      </c>
      <c r="B62" s="348" t="s">
        <v>55</v>
      </c>
      <c r="C62" s="334">
        <v>6</v>
      </c>
      <c r="D62" s="334">
        <v>563320</v>
      </c>
      <c r="E62" s="334">
        <v>11</v>
      </c>
      <c r="F62" s="334">
        <v>244915</v>
      </c>
    </row>
    <row r="63" spans="1:6">
      <c r="A63" s="348" t="s">
        <v>49</v>
      </c>
      <c r="B63" s="348" t="s">
        <v>29</v>
      </c>
      <c r="C63" s="334">
        <v>1</v>
      </c>
      <c r="D63" s="334">
        <v>30872</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6100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434251</v>
      </c>
      <c r="E68" s="334">
        <v>19</v>
      </c>
      <c r="F68" s="334">
        <v>728347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91435385</v>
      </c>
      <c r="E73" s="476">
        <v>94800095.218634233</v>
      </c>
    </row>
    <row r="74" spans="1:6">
      <c r="A74" s="348" t="s">
        <v>64</v>
      </c>
      <c r="B74" s="348" t="s">
        <v>714</v>
      </c>
      <c r="C74" s="1311" t="s">
        <v>716</v>
      </c>
      <c r="D74" s="476">
        <v>4982069.2668988826</v>
      </c>
      <c r="E74" s="476">
        <v>5229026.0827380568</v>
      </c>
    </row>
    <row r="75" spans="1:6">
      <c r="A75" s="348" t="s">
        <v>65</v>
      </c>
      <c r="B75" s="348" t="s">
        <v>713</v>
      </c>
      <c r="C75" s="1311" t="s">
        <v>717</v>
      </c>
      <c r="D75" s="476">
        <v>8736228</v>
      </c>
      <c r="E75" s="476">
        <v>9057716.0498760324</v>
      </c>
    </row>
    <row r="76" spans="1:6">
      <c r="A76" s="348" t="s">
        <v>65</v>
      </c>
      <c r="B76" s="348" t="s">
        <v>714</v>
      </c>
      <c r="C76" s="1311" t="s">
        <v>718</v>
      </c>
      <c r="D76" s="476">
        <v>536226.26689888269</v>
      </c>
      <c r="E76" s="476">
        <v>567687.83287154208</v>
      </c>
    </row>
    <row r="77" spans="1:6">
      <c r="A77" s="348" t="s">
        <v>66</v>
      </c>
      <c r="B77" s="348" t="s">
        <v>713</v>
      </c>
      <c r="C77" s="1311" t="s">
        <v>719</v>
      </c>
      <c r="D77" s="476">
        <v>92692470</v>
      </c>
      <c r="E77" s="476">
        <v>104725636.79649438</v>
      </c>
    </row>
    <row r="78" spans="1:6">
      <c r="A78" s="341" t="s">
        <v>66</v>
      </c>
      <c r="B78" s="341" t="s">
        <v>714</v>
      </c>
      <c r="C78" s="341" t="s">
        <v>720</v>
      </c>
      <c r="D78" s="1307">
        <v>21096114</v>
      </c>
      <c r="E78" s="1307">
        <v>22676690.893445898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196853.46620223465</v>
      </c>
      <c r="C83" s="476">
        <v>194623.09999375304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4805.6935060364667</v>
      </c>
    </row>
    <row r="92" spans="1:6">
      <c r="A92" s="341" t="s">
        <v>69</v>
      </c>
      <c r="B92" s="342">
        <v>3178.507976173596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197</v>
      </c>
    </row>
    <row r="130" spans="1:6">
      <c r="A130" s="348" t="s">
        <v>295</v>
      </c>
      <c r="B130" s="334">
        <v>4</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48212.66720770445</v>
      </c>
      <c r="C3" s="43" t="s">
        <v>170</v>
      </c>
      <c r="D3" s="43"/>
      <c r="E3" s="154"/>
      <c r="F3" s="43"/>
      <c r="G3" s="43"/>
      <c r="H3" s="43"/>
      <c r="I3" s="43"/>
      <c r="J3" s="43"/>
      <c r="K3" s="96"/>
    </row>
    <row r="4" spans="1:11">
      <c r="A4" s="384" t="s">
        <v>171</v>
      </c>
      <c r="B4" s="49">
        <f>IF(ISERROR('SEAP template'!B78+'SEAP template'!C78),0,'SEAP template'!B78+'SEAP template'!C78)</f>
        <v>7984.2014822100627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0.18440155752083234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896.12599999999998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896.12599999999998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0.18440155752083234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165.24703013491339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21527.302</v>
      </c>
      <c r="C5" s="17">
        <f>IF(ISERROR('Eigen informatie GS &amp; warmtenet'!B57),0,'Eigen informatie GS &amp; warmtenet'!B57)</f>
        <v>0</v>
      </c>
      <c r="D5" s="30">
        <f>(SUM(HH_hh_gas_kWh,HH_rest_gas_kWh)/1000)*0.902</f>
        <v>42121.465210000002</v>
      </c>
      <c r="E5" s="17">
        <f>B46*B57</f>
        <v>4719.6724381435533</v>
      </c>
      <c r="F5" s="17">
        <f>B51*B62</f>
        <v>53457.160889462953</v>
      </c>
      <c r="G5" s="18"/>
      <c r="H5" s="17"/>
      <c r="I5" s="17"/>
      <c r="J5" s="17">
        <f>B50*B61+C50*C61</f>
        <v>0</v>
      </c>
      <c r="K5" s="17"/>
      <c r="L5" s="17"/>
      <c r="M5" s="17"/>
      <c r="N5" s="17">
        <f>B48*B59+C48*C59</f>
        <v>15792.554429060998</v>
      </c>
      <c r="O5" s="17">
        <f>B69*B70*B71</f>
        <v>334.55333333333334</v>
      </c>
      <c r="P5" s="17">
        <f>B77*B78*B79/1000-B77*B78*B79/1000/B80</f>
        <v>1144</v>
      </c>
    </row>
    <row r="6" spans="1:16">
      <c r="A6" s="16" t="s">
        <v>631</v>
      </c>
      <c r="B6" s="789">
        <f>kWh_PV_kleiner_dan_10kW</f>
        <v>4805.6935060364667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26332.995506036466</v>
      </c>
      <c r="C8" s="21">
        <f>C5</f>
        <v>0</v>
      </c>
      <c r="D8" s="21">
        <f>D5</f>
        <v>42121.465210000002</v>
      </c>
      <c r="E8" s="21">
        <f>E5</f>
        <v>4719.6724381435533</v>
      </c>
      <c r="F8" s="21">
        <f>F5</f>
        <v>53457.160889462953</v>
      </c>
      <c r="G8" s="21"/>
      <c r="H8" s="21"/>
      <c r="I8" s="21"/>
      <c r="J8" s="21">
        <f>J5</f>
        <v>0</v>
      </c>
      <c r="K8" s="21"/>
      <c r="L8" s="21">
        <f>L5</f>
        <v>0</v>
      </c>
      <c r="M8" s="21">
        <f>M5</f>
        <v>0</v>
      </c>
      <c r="N8" s="21">
        <f>N5</f>
        <v>15792.554429060998</v>
      </c>
      <c r="O8" s="21">
        <f>O5</f>
        <v>334.55333333333334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0.18440155752083234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4855.8453855022035</v>
      </c>
      <c r="C12" s="23">
        <f ca="1">C10*C8</f>
        <v>0</v>
      </c>
      <c r="D12" s="23">
        <f>D8*D10</f>
        <v>8508.5359724200007</v>
      </c>
      <c r="E12" s="23">
        <f>E10*E8</f>
        <v>1071.3656434585866</v>
      </c>
      <c r="F12" s="23">
        <f>F10*F8</f>
        <v>14273.061957486609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6556</v>
      </c>
      <c r="C28" s="36"/>
      <c r="D28" s="228"/>
    </row>
    <row r="29" spans="1:7" s="15" customFormat="1">
      <c r="A29" s="230" t="s">
        <v>741</v>
      </c>
      <c r="B29" s="37">
        <f>SUM(HH_hh_gas_aantal,HH_rest_gas_aantal)</f>
        <v>3074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3074</v>
      </c>
      <c r="C32" s="167">
        <f>IF(ISERROR(B32/SUM($B$32,$B$34,$B$35,$B$36,$B$38,$B$39)*100),0,B32/SUM($B$32,$B$34,$B$35,$B$36,$B$38,$B$39)*100)</f>
        <v>47.321428571428569</v>
      </c>
      <c r="D32" s="233"/>
      <c r="G32" s="15"/>
    </row>
    <row r="33" spans="1:7">
      <c r="A33" s="171" t="s">
        <v>72</v>
      </c>
      <c r="B33" s="34" t="s">
        <v>111</v>
      </c>
      <c r="C33" s="167"/>
      <c r="D33" s="233"/>
      <c r="G33" s="15"/>
    </row>
    <row r="34" spans="1:7">
      <c r="A34" s="171" t="s">
        <v>73</v>
      </c>
      <c r="B34" s="33">
        <f>IF((($B$28-$B$32-$B$39-$B$77-$B$38)*C20/100)&lt;0,0,($B$28-$B$32-$B$39-$B$77-$B$38)*C20/100)</f>
        <v>316.32142857142861</v>
      </c>
      <c r="C34" s="167">
        <f>IF(ISERROR(B34/SUM($B$32,$B$34,$B$35,$B$36,$B$38,$B$39)*100),0,B34/SUM($B$32,$B$34,$B$35,$B$36,$B$38,$B$39)*100)</f>
        <v>4.8694801196340611</v>
      </c>
      <c r="D34" s="233"/>
      <c r="G34" s="15"/>
    </row>
    <row r="35" spans="1:7">
      <c r="A35" s="171" t="s">
        <v>74</v>
      </c>
      <c r="B35" s="33">
        <f>IF((($B$28-$B$32-$B$39-$B$77-$B$38)*C21/100)&lt;0,0,($B$28-$B$32-$B$39-$B$77-$B$38)*C21/100)</f>
        <v>654.97142857142865</v>
      </c>
      <c r="C35" s="167">
        <f>IF(ISERROR(B35/SUM($B$32,$B$34,$B$35,$B$36,$B$38,$B$39)*100),0,B35/SUM($B$32,$B$34,$B$35,$B$36,$B$38,$B$39)*100)</f>
        <v>10.082688247712879</v>
      </c>
      <c r="D35" s="233"/>
      <c r="G35" s="15"/>
    </row>
    <row r="36" spans="1:7">
      <c r="A36" s="171" t="s">
        <v>75</v>
      </c>
      <c r="B36" s="33">
        <f>IF((($B$28-$B$32-$B$39-$B$77-$B$38)*C22/100)&lt;0,0,($B$28-$B$32-$B$39-$B$77-$B$38)*C22/100)</f>
        <v>279.10714285714289</v>
      </c>
      <c r="C36" s="167">
        <f>IF(ISERROR(B36/SUM($B$32,$B$34,$B$35,$B$36,$B$38,$B$39)*100),0,B36/SUM($B$32,$B$34,$B$35,$B$36,$B$38,$B$39)*100)</f>
        <v>4.2966001055594658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2171.6</v>
      </c>
      <c r="C39" s="167">
        <f>IF(ISERROR(B39/SUM($B$32,$B$34,$B$35,$B$36,$B$38,$B$39)*100),0,B39/SUM($B$32,$B$34,$B$35,$B$36,$B$38,$B$39)*100)</f>
        <v>33.429802955665025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3074</v>
      </c>
      <c r="C44" s="34" t="s">
        <v>111</v>
      </c>
      <c r="D44" s="174"/>
    </row>
    <row r="45" spans="1:7">
      <c r="A45" s="171" t="s">
        <v>72</v>
      </c>
      <c r="B45" s="33" t="str">
        <f t="shared" si="0"/>
        <v>-</v>
      </c>
      <c r="C45" s="34" t="s">
        <v>111</v>
      </c>
      <c r="D45" s="174"/>
    </row>
    <row r="46" spans="1:7">
      <c r="A46" s="171" t="s">
        <v>73</v>
      </c>
      <c r="B46" s="33">
        <f t="shared" si="0"/>
        <v>316.32142857142861</v>
      </c>
      <c r="C46" s="34" t="s">
        <v>111</v>
      </c>
      <c r="D46" s="174"/>
    </row>
    <row r="47" spans="1:7">
      <c r="A47" s="171" t="s">
        <v>74</v>
      </c>
      <c r="B47" s="33">
        <f t="shared" si="0"/>
        <v>654.97142857142865</v>
      </c>
      <c r="C47" s="34" t="s">
        <v>111</v>
      </c>
      <c r="D47" s="174"/>
    </row>
    <row r="48" spans="1:7">
      <c r="A48" s="171" t="s">
        <v>75</v>
      </c>
      <c r="B48" s="33">
        <f t="shared" si="0"/>
        <v>279.10714285714289</v>
      </c>
      <c r="C48" s="33">
        <f>B48*10</f>
        <v>2791.0714285714289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2171.6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17419.835000000003</v>
      </c>
      <c r="C5" s="17">
        <f>IF(ISERROR('Eigen informatie GS &amp; warmtenet'!B58),0,'Eigen informatie GS &amp; warmtenet'!B58)</f>
        <v>0</v>
      </c>
      <c r="D5" s="30">
        <f>SUM(D6:D12)</f>
        <v>11383.622448000002</v>
      </c>
      <c r="E5" s="17">
        <f>SUM(E6:E12)</f>
        <v>190.90071845014089</v>
      </c>
      <c r="F5" s="17">
        <f>SUM(F6:F12)</f>
        <v>2641.7864050993885</v>
      </c>
      <c r="G5" s="18"/>
      <c r="H5" s="17"/>
      <c r="I5" s="17"/>
      <c r="J5" s="17">
        <f>SUM(J6:J12)</f>
        <v>0</v>
      </c>
      <c r="K5" s="17"/>
      <c r="L5" s="17"/>
      <c r="M5" s="17"/>
      <c r="N5" s="17">
        <f>SUM(N6:N12)</f>
        <v>2048.3639465470433</v>
      </c>
      <c r="O5" s="17">
        <f>B38*B39*B40</f>
        <v>6.2533333333333339</v>
      </c>
      <c r="P5" s="17">
        <f>B46*B47*B48/1000-B46*B47*B48/1000/B49</f>
        <v>19.066666666666666</v>
      </c>
      <c r="R5" s="32"/>
    </row>
    <row r="6" spans="1:18">
      <c r="A6" s="32" t="s">
        <v>54</v>
      </c>
      <c r="B6" s="37">
        <f>B26</f>
        <v>4167.4210000000003</v>
      </c>
      <c r="C6" s="33"/>
      <c r="D6" s="37">
        <f>IF(ISERROR(TER_kantoor_gas_kWh/1000),0,TER_kantoor_gas_kWh/1000)*0.902</f>
        <v>3602.4833680000002</v>
      </c>
      <c r="E6" s="33">
        <f>$C$26*'E Balans VL '!I12/100/3.6*1000000</f>
        <v>12.07363008435941</v>
      </c>
      <c r="F6" s="33">
        <f>$C$26*('E Balans VL '!L12+'E Balans VL '!N12)/100/3.6*1000000</f>
        <v>471.66024179670643</v>
      </c>
      <c r="G6" s="34"/>
      <c r="H6" s="33"/>
      <c r="I6" s="33"/>
      <c r="J6" s="33">
        <f>$C$26*('E Balans VL '!D12+'E Balans VL '!E12)/100/3.6*1000000</f>
        <v>0</v>
      </c>
      <c r="K6" s="33"/>
      <c r="L6" s="33"/>
      <c r="M6" s="33"/>
      <c r="N6" s="33">
        <f>$C$26*'E Balans VL '!Y12/100/3.6*1000000</f>
        <v>41.71281351710455</v>
      </c>
      <c r="O6" s="33"/>
      <c r="P6" s="33"/>
      <c r="R6" s="32"/>
    </row>
    <row r="7" spans="1:18">
      <c r="A7" s="32" t="s">
        <v>53</v>
      </c>
      <c r="B7" s="37">
        <f t="shared" ref="B7:B12" si="0">B27</f>
        <v>1926.893</v>
      </c>
      <c r="C7" s="33"/>
      <c r="D7" s="37">
        <f>IF(ISERROR(TER_horeca_gas_kWh/1000),0,TER_horeca_gas_kWh/1000)*0.902</f>
        <v>1731.3448020000001</v>
      </c>
      <c r="E7" s="33">
        <f>$C$27*'E Balans VL '!I9/100/3.6*1000000</f>
        <v>80.885584507359212</v>
      </c>
      <c r="F7" s="33">
        <f>$C$27*('E Balans VL '!L9+'E Balans VL '!N9)/100/3.6*1000000</f>
        <v>414.03247571257242</v>
      </c>
      <c r="G7" s="34"/>
      <c r="H7" s="33"/>
      <c r="I7" s="33"/>
      <c r="J7" s="33">
        <f>$C$27*('E Balans VL '!D9+'E Balans VL '!E9)/100/3.6*1000000</f>
        <v>0</v>
      </c>
      <c r="K7" s="33"/>
      <c r="L7" s="33"/>
      <c r="M7" s="33"/>
      <c r="N7" s="33">
        <f>$C$27*'E Balans VL '!Y9/100/3.6*1000000</f>
        <v>0.49654347480939542</v>
      </c>
      <c r="O7" s="33"/>
      <c r="P7" s="33"/>
      <c r="R7" s="32"/>
    </row>
    <row r="8" spans="1:18">
      <c r="A8" s="6" t="s">
        <v>52</v>
      </c>
      <c r="B8" s="37">
        <f t="shared" si="0"/>
        <v>8216.5310000000009</v>
      </c>
      <c r="C8" s="33"/>
      <c r="D8" s="37">
        <f>IF(ISERROR(TER_handel_gas_kWh/1000),0,TER_handel_gas_kWh/1000)*0.902</f>
        <v>2043.2013800000002</v>
      </c>
      <c r="E8" s="33">
        <f>$C$28*'E Balans VL '!I13/100/3.6*1000000</f>
        <v>88.2523813643582</v>
      </c>
      <c r="F8" s="33">
        <f>$C$28*('E Balans VL '!L13+'E Balans VL '!N13)/100/3.6*1000000</f>
        <v>1063.6977886642696</v>
      </c>
      <c r="G8" s="34"/>
      <c r="H8" s="33"/>
      <c r="I8" s="33"/>
      <c r="J8" s="33">
        <f>$C$28*('E Balans VL '!D13+'E Balans VL '!E13)/100/3.6*1000000</f>
        <v>0</v>
      </c>
      <c r="K8" s="33"/>
      <c r="L8" s="33"/>
      <c r="M8" s="33"/>
      <c r="N8" s="33">
        <f>$C$28*'E Balans VL '!Y13/100/3.6*1000000</f>
        <v>66.65294811409936</v>
      </c>
      <c r="O8" s="33"/>
      <c r="P8" s="33"/>
      <c r="R8" s="32"/>
    </row>
    <row r="9" spans="1:18">
      <c r="A9" s="32" t="s">
        <v>51</v>
      </c>
      <c r="B9" s="37">
        <f t="shared" si="0"/>
        <v>112.321</v>
      </c>
      <c r="C9" s="33"/>
      <c r="D9" s="37">
        <f>IF(ISERROR(TER_gezond_gas_kWh/1000),0,TER_gezond_gas_kWh/1000)*0.902</f>
        <v>348.41553999999996</v>
      </c>
      <c r="E9" s="33">
        <f>$C$29*'E Balans VL '!I10/100/3.6*1000000</f>
        <v>8.9414780727652188E-2</v>
      </c>
      <c r="F9" s="33">
        <f>$C$29*('E Balans VL '!L10+'E Balans VL '!N10)/100/3.6*1000000</f>
        <v>13.6542407346509</v>
      </c>
      <c r="G9" s="34"/>
      <c r="H9" s="33"/>
      <c r="I9" s="33"/>
      <c r="J9" s="33">
        <f>$C$29*('E Balans VL '!D10+'E Balans VL '!E10)/100/3.6*1000000</f>
        <v>0</v>
      </c>
      <c r="K9" s="33"/>
      <c r="L9" s="33"/>
      <c r="M9" s="33"/>
      <c r="N9" s="33">
        <f>$C$29*'E Balans VL '!Y10/100/3.6*1000000</f>
        <v>0.90729928050622766</v>
      </c>
      <c r="O9" s="33"/>
      <c r="P9" s="33"/>
      <c r="R9" s="32"/>
    </row>
    <row r="10" spans="1:18">
      <c r="A10" s="32" t="s">
        <v>50</v>
      </c>
      <c r="B10" s="37">
        <f t="shared" si="0"/>
        <v>2751.7539999999999</v>
      </c>
      <c r="C10" s="33"/>
      <c r="D10" s="37">
        <f>IF(ISERROR(TER_ander_gas_kWh/1000),0,TER_ander_gas_kWh/1000)*0.902</f>
        <v>3122.2161740000001</v>
      </c>
      <c r="E10" s="33">
        <f>$C$30*'E Balans VL '!I14/100/3.6*1000000</f>
        <v>9.4304055166247736</v>
      </c>
      <c r="F10" s="33">
        <f>$C$30*('E Balans VL '!L14+'E Balans VL '!N14)/100/3.6*1000000</f>
        <v>614.63002548922225</v>
      </c>
      <c r="G10" s="34"/>
      <c r="H10" s="33"/>
      <c r="I10" s="33"/>
      <c r="J10" s="33">
        <f>$C$30*('E Balans VL '!D14+'E Balans VL '!E14)/100/3.6*1000000</f>
        <v>0</v>
      </c>
      <c r="K10" s="33"/>
      <c r="L10" s="33"/>
      <c r="M10" s="33"/>
      <c r="N10" s="33">
        <f>$C$30*'E Balans VL '!Y14/100/3.6*1000000</f>
        <v>1938.3505501382563</v>
      </c>
      <c r="O10" s="33"/>
      <c r="P10" s="33"/>
      <c r="R10" s="32"/>
    </row>
    <row r="11" spans="1:18">
      <c r="A11" s="32" t="s">
        <v>55</v>
      </c>
      <c r="B11" s="37">
        <f t="shared" si="0"/>
        <v>244.91499999999999</v>
      </c>
      <c r="C11" s="33"/>
      <c r="D11" s="37">
        <f>IF(ISERROR(TER_onderwijs_gas_kWh/1000),0,TER_onderwijs_gas_kWh/1000)*0.902</f>
        <v>508.11464000000007</v>
      </c>
      <c r="E11" s="33">
        <f>$C$31*'E Balans VL '!I11/100/3.6*1000000</f>
        <v>0.1693021967116268</v>
      </c>
      <c r="F11" s="33">
        <f>$C$31*('E Balans VL '!L11+'E Balans VL '!N11)/100/3.6*1000000</f>
        <v>64.111632701966698</v>
      </c>
      <c r="G11" s="34"/>
      <c r="H11" s="33"/>
      <c r="I11" s="33"/>
      <c r="J11" s="33">
        <f>$C$31*('E Balans VL '!D11+'E Balans VL '!E11)/100/3.6*1000000</f>
        <v>0</v>
      </c>
      <c r="K11" s="33"/>
      <c r="L11" s="33"/>
      <c r="M11" s="33"/>
      <c r="N11" s="33">
        <f>$C$31*'E Balans VL '!Y11/100/3.6*1000000</f>
        <v>0.24379202226757041</v>
      </c>
      <c r="O11" s="33"/>
      <c r="P11" s="33"/>
      <c r="R11" s="32"/>
    </row>
    <row r="12" spans="1:18">
      <c r="A12" s="32" t="s">
        <v>260</v>
      </c>
      <c r="B12" s="37">
        <f t="shared" si="0"/>
        <v>0</v>
      </c>
      <c r="C12" s="33"/>
      <c r="D12" s="37">
        <f>IF(ISERROR(TER_rest_gas_kWh/1000),0,TER_rest_gas_kWh/1000)*0.902</f>
        <v>27.846544000000002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17419.835000000003</v>
      </c>
      <c r="C16" s="21">
        <f t="shared" ca="1" si="1"/>
        <v>0</v>
      </c>
      <c r="D16" s="21">
        <f t="shared" ca="1" si="1"/>
        <v>11383.622448000002</v>
      </c>
      <c r="E16" s="21">
        <f t="shared" si="1"/>
        <v>190.90071845014089</v>
      </c>
      <c r="F16" s="21">
        <f t="shared" ca="1" si="1"/>
        <v>2641.7864050993885</v>
      </c>
      <c r="G16" s="21">
        <f t="shared" si="1"/>
        <v>0</v>
      </c>
      <c r="H16" s="21">
        <f t="shared" si="1"/>
        <v>0</v>
      </c>
      <c r="I16" s="21">
        <f t="shared" si="1"/>
        <v>0</v>
      </c>
      <c r="J16" s="21">
        <f t="shared" si="1"/>
        <v>0</v>
      </c>
      <c r="K16" s="21">
        <f t="shared" si="1"/>
        <v>0</v>
      </c>
      <c r="L16" s="21">
        <f t="shared" ca="1" si="1"/>
        <v>0</v>
      </c>
      <c r="M16" s="21">
        <f t="shared" si="1"/>
        <v>0</v>
      </c>
      <c r="N16" s="21">
        <f t="shared" ca="1" si="1"/>
        <v>2048.3639465470433</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0.18440155752083234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3212.2447057559089</v>
      </c>
      <c r="C20" s="23">
        <f t="shared" ref="C20:P20" ca="1" si="2">C16*C18</f>
        <v>0</v>
      </c>
      <c r="D20" s="23">
        <f t="shared" ca="1" si="2"/>
        <v>2299.4917344960004</v>
      </c>
      <c r="E20" s="23">
        <f t="shared" si="2"/>
        <v>43.334463088181984</v>
      </c>
      <c r="F20" s="23">
        <f t="shared" ca="1" si="2"/>
        <v>705.35697016153676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4167.4210000000003</v>
      </c>
      <c r="C26" s="39">
        <f>IF(ISERROR(B26*3.6/1000000/'E Balans VL '!Z12*100),0,B26*3.6/1000000/'E Balans VL '!Z12*100)</f>
        <v>9.1542220286139356E-2</v>
      </c>
      <c r="D26" s="237" t="s">
        <v>692</v>
      </c>
      <c r="F26" s="6"/>
    </row>
    <row r="27" spans="1:18">
      <c r="A27" s="231" t="s">
        <v>53</v>
      </c>
      <c r="B27" s="33">
        <f>IF(ISERROR(TER_horeca_ele_kWh/1000),0,TER_horeca_ele_kWh/1000)</f>
        <v>1926.893</v>
      </c>
      <c r="C27" s="39">
        <f>IF(ISERROR(B27*3.6/1000000/'E Balans VL '!Z9*100),0,B27*3.6/1000000/'E Balans VL '!Z9*100)</f>
        <v>0.15484506004628526</v>
      </c>
      <c r="D27" s="237" t="s">
        <v>692</v>
      </c>
      <c r="F27" s="6"/>
    </row>
    <row r="28" spans="1:18">
      <c r="A28" s="171" t="s">
        <v>52</v>
      </c>
      <c r="B28" s="33">
        <f>IF(ISERROR(TER_handel_ele_kWh/1000),0,TER_handel_ele_kWh/1000)</f>
        <v>8216.5310000000009</v>
      </c>
      <c r="C28" s="39">
        <f>IF(ISERROR(B28*3.6/1000000/'E Balans VL '!Z13*100),0,B28*3.6/1000000/'E Balans VL '!Z13*100)</f>
        <v>0.24295708148091913</v>
      </c>
      <c r="D28" s="237" t="s">
        <v>692</v>
      </c>
      <c r="F28" s="6"/>
    </row>
    <row r="29" spans="1:18">
      <c r="A29" s="231" t="s">
        <v>51</v>
      </c>
      <c r="B29" s="33">
        <f>IF(ISERROR(TER_gezond_ele_kWh/1000),0,TER_gezond_ele_kWh/1000)</f>
        <v>112.321</v>
      </c>
      <c r="C29" s="39">
        <f>IF(ISERROR(B29*3.6/1000000/'E Balans VL '!Z10*100),0,B29*3.6/1000000/'E Balans VL '!Z10*100)</f>
        <v>1.2655676827404415E-2</v>
      </c>
      <c r="D29" s="237" t="s">
        <v>692</v>
      </c>
      <c r="F29" s="6"/>
    </row>
    <row r="30" spans="1:18">
      <c r="A30" s="231" t="s">
        <v>50</v>
      </c>
      <c r="B30" s="33">
        <f>IF(ISERROR(TER_ander_ele_kWh/1000),0,TER_ander_ele_kWh/1000)</f>
        <v>2751.7539999999999</v>
      </c>
      <c r="C30" s="39">
        <f>IF(ISERROR(B30*3.6/1000000/'E Balans VL '!Z14*100),0,B30*3.6/1000000/'E Balans VL '!Z14*100)</f>
        <v>0.20811045110901294</v>
      </c>
      <c r="D30" s="237" t="s">
        <v>692</v>
      </c>
      <c r="F30" s="6"/>
    </row>
    <row r="31" spans="1:18">
      <c r="A31" s="231" t="s">
        <v>55</v>
      </c>
      <c r="B31" s="33">
        <f>IF(ISERROR(TER_onderwijs_ele_kWh/1000),0,TER_onderwijs_ele_kWh/1000)</f>
        <v>244.91499999999999</v>
      </c>
      <c r="C31" s="39">
        <f>IF(ISERROR(B31*3.6/1000000/'E Balans VL '!Z11*100),0,B31*3.6/1000000/'E Balans VL '!Z11*100)</f>
        <v>5.0838668542354103E-2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2060.1190000000001</v>
      </c>
      <c r="C5" s="17">
        <f>IF(ISERROR('Eigen informatie GS &amp; warmtenet'!B59),0,'Eigen informatie GS &amp; warmtenet'!B59)</f>
        <v>0</v>
      </c>
      <c r="D5" s="30">
        <f>SUM(D6:D15)</f>
        <v>1529.6079919999997</v>
      </c>
      <c r="E5" s="17">
        <f>SUM(E6:E15)</f>
        <v>292.28822739254065</v>
      </c>
      <c r="F5" s="17">
        <f>SUM(F6:F15)</f>
        <v>1890.1029391143179</v>
      </c>
      <c r="G5" s="18"/>
      <c r="H5" s="17"/>
      <c r="I5" s="17"/>
      <c r="J5" s="17">
        <f>SUM(J6:J15)</f>
        <v>13.398580547891216</v>
      </c>
      <c r="K5" s="17"/>
      <c r="L5" s="17"/>
      <c r="M5" s="17"/>
      <c r="N5" s="17">
        <f>SUM(N6:N15)</f>
        <v>670.48854861410052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159.83000000000001</v>
      </c>
      <c r="C8" s="33"/>
      <c r="D8" s="37">
        <f>IF( ISERROR(IND_metaal_Gas_kWH/1000),0,IND_metaal_Gas_kWH/1000)*0.902</f>
        <v>0</v>
      </c>
      <c r="E8" s="33">
        <f>C30*'E Balans VL '!I18/100/3.6*1000000</f>
        <v>3.9999855069842138</v>
      </c>
      <c r="F8" s="33">
        <f>C30*'E Balans VL '!L18/100/3.6*1000000+C30*'E Balans VL '!N18/100/3.6*1000000</f>
        <v>50.091517035307042</v>
      </c>
      <c r="G8" s="34"/>
      <c r="H8" s="33"/>
      <c r="I8" s="33"/>
      <c r="J8" s="40">
        <f>C30*'E Balans VL '!D18/100/3.6*1000000+C30*'E Balans VL '!E18/100/3.6*1000000</f>
        <v>0</v>
      </c>
      <c r="K8" s="33"/>
      <c r="L8" s="33"/>
      <c r="M8" s="33"/>
      <c r="N8" s="33">
        <f>C30*'E Balans VL '!Y18/100/3.6*1000000</f>
        <v>4.0153443950204046</v>
      </c>
      <c r="O8" s="33"/>
      <c r="P8" s="33"/>
      <c r="R8" s="32"/>
    </row>
    <row r="9" spans="1:18">
      <c r="A9" s="6" t="s">
        <v>33</v>
      </c>
      <c r="B9" s="37">
        <f t="shared" si="0"/>
        <v>1017.159</v>
      </c>
      <c r="C9" s="33"/>
      <c r="D9" s="37">
        <f>IF( ISERROR(IND_andere_gas_kWh/1000),0,IND_andere_gas_kWh/1000)*0.902</f>
        <v>1043.7123179999999</v>
      </c>
      <c r="E9" s="33">
        <f>C31*'E Balans VL '!I19/100/3.6*1000000</f>
        <v>279.67700616706685</v>
      </c>
      <c r="F9" s="33">
        <f>C31*'E Balans VL '!L19/100/3.6*1000000+C31*'E Balans VL '!N19/100/3.6*1000000</f>
        <v>801.69829037412228</v>
      </c>
      <c r="G9" s="34"/>
      <c r="H9" s="33"/>
      <c r="I9" s="33"/>
      <c r="J9" s="40">
        <f>C31*'E Balans VL '!D19/100/3.6*1000000+C31*'E Balans VL '!E19/100/3.6*1000000</f>
        <v>0</v>
      </c>
      <c r="K9" s="33"/>
      <c r="L9" s="33"/>
      <c r="M9" s="33"/>
      <c r="N9" s="33">
        <f>C31*'E Balans VL '!Y19/100/3.6*1000000</f>
        <v>329.28121680479416</v>
      </c>
      <c r="O9" s="33"/>
      <c r="P9" s="33"/>
      <c r="R9" s="32"/>
    </row>
    <row r="10" spans="1:18">
      <c r="A10" s="6" t="s">
        <v>41</v>
      </c>
      <c r="B10" s="37">
        <f t="shared" si="0"/>
        <v>539.9</v>
      </c>
      <c r="C10" s="33"/>
      <c r="D10" s="37">
        <f>IF( ISERROR(IND_voed_gas_kWh/1000),0,IND_voed_gas_kWh/1000)*0.902</f>
        <v>368.948668</v>
      </c>
      <c r="E10" s="33">
        <f>C32*'E Balans VL '!I20/100/3.6*1000000</f>
        <v>5.5039830673928414</v>
      </c>
      <c r="F10" s="33">
        <f>C32*'E Balans VL '!L20/100/3.6*1000000+C32*'E Balans VL '!N20/100/3.6*1000000</f>
        <v>1019.8677232514606</v>
      </c>
      <c r="G10" s="34"/>
      <c r="H10" s="33"/>
      <c r="I10" s="33"/>
      <c r="J10" s="40">
        <f>C32*'E Balans VL '!D20/100/3.6*1000000+C32*'E Balans VL '!E20/100/3.6*1000000</f>
        <v>12.921573560797921</v>
      </c>
      <c r="K10" s="33"/>
      <c r="L10" s="33"/>
      <c r="M10" s="33"/>
      <c r="N10" s="33">
        <f>C32*'E Balans VL '!Y20/100/3.6*1000000</f>
        <v>284.5894888541809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193.505</v>
      </c>
      <c r="C12" s="33"/>
      <c r="D12" s="37">
        <f>IF( ISERROR(IND_min_gas_kWh/1000),0,IND_min_gas_kWh/1000)*0.902</f>
        <v>29.467437999999998</v>
      </c>
      <c r="E12" s="33">
        <f>C34*'E Balans VL '!I22/100/3.6*1000000</f>
        <v>0.58603911244572493</v>
      </c>
      <c r="F12" s="33">
        <f>C34*'E Balans VL '!L22/100/3.6*1000000+C34*'E Balans VL '!N22/100/3.6*1000000</f>
        <v>6.0471976132349985</v>
      </c>
      <c r="G12" s="34"/>
      <c r="H12" s="33"/>
      <c r="I12" s="33"/>
      <c r="J12" s="40">
        <f>C34*'E Balans VL '!D22/100/3.6*1000000+C34*'E Balans VL '!E22/100/3.6*1000000</f>
        <v>0.28692495910347582</v>
      </c>
      <c r="K12" s="33"/>
      <c r="L12" s="33"/>
      <c r="M12" s="33"/>
      <c r="N12" s="33">
        <f>C34*'E Balans VL '!Y22/100/3.6*1000000</f>
        <v>0</v>
      </c>
      <c r="O12" s="33"/>
      <c r="P12" s="33"/>
      <c r="R12" s="32"/>
    </row>
    <row r="13" spans="1:18">
      <c r="A13" s="6" t="s">
        <v>39</v>
      </c>
      <c r="B13" s="37">
        <f t="shared" si="0"/>
        <v>104.417</v>
      </c>
      <c r="C13" s="33"/>
      <c r="D13" s="37">
        <f>IF( ISERROR(IND_papier_gas_kWh/1000),0,IND_papier_gas_kWh/1000)*0.902</f>
        <v>57.78302200000001</v>
      </c>
      <c r="E13" s="33">
        <f>C35*'E Balans VL '!I23/100/3.6*1000000</f>
        <v>0.21625465497778767</v>
      </c>
      <c r="F13" s="33">
        <f>C35*'E Balans VL '!L23/100/3.6*1000000+C35*'E Balans VL '!N23/100/3.6*1000000</f>
        <v>2.0708129622560478</v>
      </c>
      <c r="G13" s="34"/>
      <c r="H13" s="33"/>
      <c r="I13" s="33"/>
      <c r="J13" s="40">
        <f>C35*'E Balans VL '!D23/100/3.6*1000000+C35*'E Balans VL '!E23/100/3.6*1000000</f>
        <v>0</v>
      </c>
      <c r="K13" s="33"/>
      <c r="L13" s="33"/>
      <c r="M13" s="33"/>
      <c r="N13" s="33">
        <f>C35*'E Balans VL '!Y23/100/3.6*1000000</f>
        <v>44.08985571442782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45.308</v>
      </c>
      <c r="C15" s="33"/>
      <c r="D15" s="37">
        <f>IF( ISERROR(IND_rest_gas_kWh/1000),0,IND_rest_gas_kWh/1000)*0.902</f>
        <v>29.696546000000001</v>
      </c>
      <c r="E15" s="33">
        <f>C37*'E Balans VL '!I15/100/3.6*1000000</f>
        <v>2.3049588836732133</v>
      </c>
      <c r="F15" s="33">
        <f>C37*'E Balans VL '!L15/100/3.6*1000000+C37*'E Balans VL '!N15/100/3.6*1000000</f>
        <v>10.327397877937001</v>
      </c>
      <c r="G15" s="34"/>
      <c r="H15" s="33"/>
      <c r="I15" s="33"/>
      <c r="J15" s="40">
        <f>C37*'E Balans VL '!D15/100/3.6*1000000+C37*'E Balans VL '!E15/100/3.6*1000000</f>
        <v>0.19008202798981913</v>
      </c>
      <c r="K15" s="33"/>
      <c r="L15" s="33"/>
      <c r="M15" s="33"/>
      <c r="N15" s="33">
        <f>C37*'E Balans VL '!Y15/100/3.6*1000000</f>
        <v>8.5126428456773144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2060.1190000000001</v>
      </c>
      <c r="C18" s="21">
        <f>C5+C16</f>
        <v>0</v>
      </c>
      <c r="D18" s="21">
        <f>MAX((D5+D16),0)</f>
        <v>1529.6079919999997</v>
      </c>
      <c r="E18" s="21">
        <f>MAX((E5+E16),0)</f>
        <v>292.28822739254065</v>
      </c>
      <c r="F18" s="21">
        <f>MAX((F5+F16),0)</f>
        <v>1890.1029391143179</v>
      </c>
      <c r="G18" s="21"/>
      <c r="H18" s="21"/>
      <c r="I18" s="21"/>
      <c r="J18" s="21">
        <f>MAX((J5+J16),0)</f>
        <v>13.398580547891216</v>
      </c>
      <c r="K18" s="21"/>
      <c r="L18" s="21">
        <f>MAX((L5+L16),0)</f>
        <v>0</v>
      </c>
      <c r="M18" s="21"/>
      <c r="N18" s="21">
        <f>MAX((N5+N16),0)</f>
        <v>670.48854861410052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0.18440155752083234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379.88915227825964</v>
      </c>
      <c r="C22" s="23">
        <f ca="1">C18*C20</f>
        <v>0</v>
      </c>
      <c r="D22" s="23">
        <f>D18*D20</f>
        <v>308.98081438399998</v>
      </c>
      <c r="E22" s="23">
        <f>E18*E20</f>
        <v>66.349427618106731</v>
      </c>
      <c r="F22" s="23">
        <f>F18*F20</f>
        <v>504.6574847435229</v>
      </c>
      <c r="G22" s="23"/>
      <c r="H22" s="23"/>
      <c r="I22" s="23"/>
      <c r="J22" s="23">
        <f>J18*J20</f>
        <v>4.7430975139534901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159.83000000000001</v>
      </c>
      <c r="C30" s="39">
        <f>IF(ISERROR(B30*3.6/1000000/'E Balans VL '!Z18*100),0,B30*3.6/1000000/'E Balans VL '!Z18*100)</f>
        <v>2.2370873606407705E-2</v>
      </c>
      <c r="D30" s="237" t="s">
        <v>692</v>
      </c>
    </row>
    <row r="31" spans="1:18">
      <c r="A31" s="6" t="s">
        <v>33</v>
      </c>
      <c r="B31" s="37">
        <f>IF( ISERROR(IND_ander_ele_kWh/1000),0,IND_ander_ele_kWh/1000)</f>
        <v>1017.159</v>
      </c>
      <c r="C31" s="39">
        <f>IF(ISERROR(B31*3.6/1000000/'E Balans VL '!Z19*100),0,B31*3.6/1000000/'E Balans VL '!Z19*100)</f>
        <v>4.4520884423366991E-2</v>
      </c>
      <c r="D31" s="237" t="s">
        <v>692</v>
      </c>
    </row>
    <row r="32" spans="1:18">
      <c r="A32" s="171" t="s">
        <v>41</v>
      </c>
      <c r="B32" s="37">
        <f>IF( ISERROR(IND_voed_ele_kWh/1000),0,IND_voed_ele_kWh/1000)</f>
        <v>539.9</v>
      </c>
      <c r="C32" s="39">
        <f>IF(ISERROR(B32*3.6/1000000/'E Balans VL '!Z20*100),0,B32*3.6/1000000/'E Balans VL '!Z20*100)</f>
        <v>0.13366131080536611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193.505</v>
      </c>
      <c r="C34" s="39">
        <f>IF(ISERROR(B34*3.6/1000000/'E Balans VL '!Z22*100),0,B34*3.6/1000000/'E Balans VL '!Z22*100)</f>
        <v>5.4908824420289888E-3</v>
      </c>
      <c r="D34" s="237" t="s">
        <v>692</v>
      </c>
    </row>
    <row r="35" spans="1:5">
      <c r="A35" s="171" t="s">
        <v>39</v>
      </c>
      <c r="B35" s="37">
        <f>IF( ISERROR(IND_papier_ele_kWh/1000),0,IND_papier_ele_kWh/1000)</f>
        <v>104.417</v>
      </c>
      <c r="C35" s="39">
        <f>IF(ISERROR(B35*3.6/1000000/'E Balans VL '!Z22*100),0,B35*3.6/1000000/'E Balans VL '!Z22*100)</f>
        <v>2.9629284615350555E-3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45.308</v>
      </c>
      <c r="C37" s="39">
        <f>IF(ISERROR(B37*3.6/1000000/'E Balans VL '!Z15*100),0,B37*3.6/1000000/'E Balans VL '!Z15*100)</f>
        <v>3.3595106294214886E-4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880.06399999999996</v>
      </c>
      <c r="C5" s="17">
        <f>'Eigen informatie GS &amp; warmtenet'!B60</f>
        <v>0</v>
      </c>
      <c r="D5" s="30">
        <f>IF(ISERROR(SUM(LB_lb_gas_kWh,LB_rest_gas_kWh)/1000),0,SUM(LB_lb_gas_kWh,LB_rest_gas_kWh)/1000)*0.902</f>
        <v>2311.9838500000001</v>
      </c>
      <c r="E5" s="17">
        <f>B17*'E Balans VL '!I25/3.6*1000000/100</f>
        <v>8.1515213726860516</v>
      </c>
      <c r="F5" s="17">
        <f>B17*('E Balans VL '!L25/3.6*1000000+'E Balans VL '!N25/3.6*1000000)/100</f>
        <v>2232.8900200199519</v>
      </c>
      <c r="G5" s="18"/>
      <c r="H5" s="17"/>
      <c r="I5" s="17"/>
      <c r="J5" s="17">
        <f>('E Balans VL '!D25+'E Balans VL '!E25)/3.6*1000000*landbouw!B17/100</f>
        <v>134.92363274290511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880.06399999999996</v>
      </c>
      <c r="C8" s="21">
        <f>C5+C6</f>
        <v>0</v>
      </c>
      <c r="D8" s="21">
        <f>MAX((D5+D6),0)</f>
        <v>2311.9838500000001</v>
      </c>
      <c r="E8" s="21">
        <f>MAX((E5+E6),0)</f>
        <v>8.1515213726860516</v>
      </c>
      <c r="F8" s="21">
        <f>MAX((F5+F6),0)</f>
        <v>2232.8900200199519</v>
      </c>
      <c r="G8" s="21"/>
      <c r="H8" s="21"/>
      <c r="I8" s="21"/>
      <c r="J8" s="21">
        <f>MAX((J5+J6),0)</f>
        <v>134.92363274290511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0.18440155752083234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162.28517231801379</v>
      </c>
      <c r="C12" s="23">
        <f ca="1">C8*C10</f>
        <v>0</v>
      </c>
      <c r="D12" s="23">
        <f>D8*D10</f>
        <v>467.02073770000004</v>
      </c>
      <c r="E12" s="23">
        <f>E8*E10</f>
        <v>1.8503953515997338</v>
      </c>
      <c r="F12" s="23">
        <f>F8*F10</f>
        <v>596.18163534532721</v>
      </c>
      <c r="G12" s="23"/>
      <c r="H12" s="23"/>
      <c r="I12" s="23"/>
      <c r="J12" s="23">
        <f>J8*J10</f>
        <v>47.762965990988405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0.1251264402177357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143.74926870898705</v>
      </c>
      <c r="C26" s="247">
        <f>B26*'GWP N2O_CH4'!B5</f>
        <v>3018.7346428887281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63.918705990992677</v>
      </c>
      <c r="C27" s="247">
        <f>B27*'GWP N2O_CH4'!B5</f>
        <v>1342.2928258108461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2.5590674216689724</v>
      </c>
      <c r="C28" s="247">
        <f>B28*'GWP N2O_CH4'!B4</f>
        <v>793.3109007173814</v>
      </c>
      <c r="D28" s="50"/>
    </row>
    <row r="29" spans="1:4">
      <c r="A29" s="41" t="s">
        <v>277</v>
      </c>
      <c r="B29" s="247">
        <f>B34*'ha_N2O bodem landbouw'!B4</f>
        <v>10.227571143025589</v>
      </c>
      <c r="C29" s="247">
        <f>B29*'GWP N2O_CH4'!B4</f>
        <v>3170.5470543379324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2.2938640250855188E-3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9.5157726004746173E-5</v>
      </c>
      <c r="C5" s="464" t="s">
        <v>211</v>
      </c>
      <c r="D5" s="449">
        <f>SUM(D6:D11)</f>
        <v>2.3290567607993143E-4</v>
      </c>
      <c r="E5" s="449">
        <f>SUM(E6:E11)</f>
        <v>1.6858947022537511E-3</v>
      </c>
      <c r="F5" s="462" t="s">
        <v>211</v>
      </c>
      <c r="G5" s="449">
        <f>SUM(G6:G11)</f>
        <v>0.57094186691770943</v>
      </c>
      <c r="H5" s="449">
        <f>SUM(H6:H11)</f>
        <v>9.0442278441558985E-2</v>
      </c>
      <c r="I5" s="464" t="s">
        <v>211</v>
      </c>
      <c r="J5" s="464" t="s">
        <v>211</v>
      </c>
      <c r="K5" s="464" t="s">
        <v>211</v>
      </c>
      <c r="L5" s="464" t="s">
        <v>211</v>
      </c>
      <c r="M5" s="449">
        <f>SUM(M6:M11)</f>
        <v>3.5810508936206423E-2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4.5113549281067943E-5</v>
      </c>
      <c r="C6" s="450"/>
      <c r="D6" s="893">
        <f>vkm_2011_GW_PW*SUMIFS(TableVerdeelsleutelVkm[CNG],TableVerdeelsleutelVkm[Voertuigtype],"Lichte voertuigen")*SUMIFS(TableECFTransport[EnergieConsumptieFactor (PJ per km)],TableECFTransport[Index],CONCATENATE($A6,"_CNG_CNG"))</f>
        <v>1.04352606283138E-4</v>
      </c>
      <c r="E6" s="893">
        <f>vkm_2011_GW_PW*SUMIFS(TableVerdeelsleutelVkm[LPG],TableVerdeelsleutelVkm[Voertuigtype],"Lichte voertuigen")*SUMIFS(TableECFTransport[EnergieConsumptieFactor (PJ per km)],TableECFTransport[Index],CONCATENATE($A6,"_LPG_LPG"))</f>
        <v>6.7948115534200359E-4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0.14115718303731412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3.9789292797876276E-2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9.3901840816555896E-3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4.6476949328572319E-2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1.5894272609653649E-5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2.6889549619621127E-3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4.3103909105719375E-6</v>
      </c>
      <c r="C8" s="450"/>
      <c r="D8" s="452">
        <f>vkm_2011_NGW_PW*SUMIFS(TableVerdeelsleutelVkm[CNG],TableVerdeelsleutelVkm[Voertuigtype],"Lichte voertuigen")*SUMIFS(TableECFTransport[EnergieConsumptieFactor (PJ per km)],TableECFTransport[Index],CONCATENATE($A8,"_CNG_CNG"))</f>
        <v>1.763473925272987E-5</v>
      </c>
      <c r="E8" s="452">
        <f>vkm_2011_NGW_PW*SUMIFS(TableVerdeelsleutelVkm[LPG],TableVerdeelsleutelVkm[Voertuigtype],"Lichte voertuigen")*SUMIFS(TableECFTransport[EnergieConsumptieFactor (PJ per km)],TableECFTransport[Index],CONCATENATE($A8,"_LPG_LPG"))</f>
        <v>1.0597316485506249E-4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2.0579832933436151E-2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6.5016971978837578E-3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1.3906003015538672E-3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6.3817108997472234E-3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2.0650473086199271E-6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3.6921453508659486E-4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4.5733785813106294E-5</v>
      </c>
      <c r="C10" s="450"/>
      <c r="D10" s="452">
        <f>vkm_2011_SW_PW*SUMIFS(TableVerdeelsleutelVkm[CNG],TableVerdeelsleutelVkm[Voertuigtype],"Lichte voertuigen")*SUMIFS(TableECFTransport[EnergieConsumptieFactor (PJ per km)],TableECFTransport[Index],CONCATENATE($A10,"_CNG_CNG"))</f>
        <v>1.1091833054406355E-4</v>
      </c>
      <c r="E10" s="452">
        <f>vkm_2011_SW_PW*SUMIFS(TableVerdeelsleutelVkm[LPG],TableVerdeelsleutelVkm[Voertuigtype],"Lichte voertuigen")*SUMIFS(TableECFTransport[EnergieConsumptieFactor (PJ per km)],TableECFTransport[Index],CONCATENATE($A10,"_LPG_LPG"))</f>
        <v>9.0044038205668497E-4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0.16840820532548076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4.4064062276742276E-2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1.109812353281215E-2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0.18793798539315884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6.9266849138398292E-5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1.0873431523136103E-2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26.43270166798505</v>
      </c>
      <c r="C14" s="21"/>
      <c r="D14" s="21">
        <f t="shared" ref="D14:M14" si="0">((D5)*10^9/3600)+D12</f>
        <v>64.696021133314289</v>
      </c>
      <c r="E14" s="21">
        <f t="shared" si="0"/>
        <v>468.30408395937525</v>
      </c>
      <c r="F14" s="21"/>
      <c r="G14" s="21">
        <f t="shared" si="0"/>
        <v>158594.96303269707</v>
      </c>
      <c r="H14" s="21">
        <f t="shared" si="0"/>
        <v>25122.855122655274</v>
      </c>
      <c r="I14" s="21"/>
      <c r="J14" s="21"/>
      <c r="K14" s="21"/>
      <c r="L14" s="21"/>
      <c r="M14" s="21">
        <f t="shared" si="0"/>
        <v>9947.3635933906735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0.18440155752083234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4.874231357059946</v>
      </c>
      <c r="C18" s="23"/>
      <c r="D18" s="23">
        <f t="shared" ref="D18:M18" si="1">D14*D16</f>
        <v>13.068596268929488</v>
      </c>
      <c r="E18" s="23">
        <f t="shared" si="1"/>
        <v>106.30502705877818</v>
      </c>
      <c r="F18" s="23"/>
      <c r="G18" s="23">
        <f t="shared" si="1"/>
        <v>42344.855129730116</v>
      </c>
      <c r="H18" s="23">
        <f t="shared" si="1"/>
        <v>6255.5909255411634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2.5089048713449738E-3</v>
      </c>
      <c r="H50" s="321">
        <f t="shared" si="2"/>
        <v>0</v>
      </c>
      <c r="I50" s="321">
        <f t="shared" si="2"/>
        <v>0</v>
      </c>
      <c r="J50" s="321">
        <f t="shared" si="2"/>
        <v>0</v>
      </c>
      <c r="K50" s="321">
        <f t="shared" si="2"/>
        <v>0</v>
      </c>
      <c r="L50" s="321">
        <f t="shared" si="2"/>
        <v>0</v>
      </c>
      <c r="M50" s="321">
        <f t="shared" si="2"/>
        <v>1.4307553096001141E-4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2.5089048713449738E-3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1.4307553096001141E-4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696.91801981804826</v>
      </c>
      <c r="H54" s="21">
        <f t="shared" si="3"/>
        <v>0</v>
      </c>
      <c r="I54" s="21">
        <f t="shared" si="3"/>
        <v>0</v>
      </c>
      <c r="J54" s="21">
        <f t="shared" si="3"/>
        <v>0</v>
      </c>
      <c r="K54" s="21">
        <f t="shared" si="3"/>
        <v>0</v>
      </c>
      <c r="L54" s="21">
        <f t="shared" si="3"/>
        <v>0</v>
      </c>
      <c r="M54" s="21">
        <f t="shared" si="3"/>
        <v>39.743203044447611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0.18440155752083234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186.0771112914189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7984.2014822100627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7984.2014822100627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2019-08-12T08:07:16Z</dcterms:modified>
</cp:coreProperties>
</file>