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G22"/>
  <c r="R12"/>
  <c r="N78" l="1"/>
  <c r="N9" i="59"/>
  <c r="N10" s="1"/>
  <c r="L90" i="14"/>
  <c r="L18" i="59"/>
  <c r="L20" s="1"/>
  <c r="B98" i="18"/>
  <c r="I102" s="1"/>
  <c r="H17" s="1"/>
  <c r="B17"/>
  <c r="B20" s="1"/>
  <c r="O77" i="14"/>
  <c r="O9" i="59" s="1"/>
  <c r="L10" i="18"/>
  <c r="E89" i="14"/>
  <c r="E19" i="59" s="1"/>
  <c r="D20" i="18"/>
  <c r="O10" i="59"/>
  <c r="K20"/>
  <c r="H90" i="14"/>
  <c r="H18" i="59"/>
  <c r="H20" s="1"/>
  <c r="C98" i="18"/>
  <c r="E101" s="1"/>
  <c r="E8" s="1"/>
  <c r="P22" i="14"/>
  <c r="E20" i="59"/>
  <c r="L78" i="14"/>
  <c r="D14" i="48"/>
  <c r="K10" i="18"/>
  <c r="K78" i="14"/>
  <c r="M77"/>
  <c r="M9" i="59" s="1"/>
  <c r="H9" i="18"/>
  <c r="O9" s="1"/>
  <c r="Q22" i="14"/>
  <c r="L10" i="59"/>
  <c r="D22" i="14"/>
  <c r="L22"/>
  <c r="E10" i="59"/>
  <c r="B8" i="18"/>
  <c r="B10" s="1"/>
  <c r="F13" i="15"/>
  <c r="G77" i="14"/>
  <c r="G9" i="59" s="1"/>
  <c r="G10" s="1"/>
  <c r="I77" i="14"/>
  <c r="I9" i="59" s="1"/>
  <c r="B13" i="15"/>
  <c r="N13"/>
  <c r="L13"/>
  <c r="F77" i="14"/>
  <c r="F9" i="59" s="1"/>
  <c r="I101" i="18"/>
  <c r="H8" s="1"/>
  <c r="F101"/>
  <c r="H101"/>
  <c r="D101"/>
  <c r="G101"/>
  <c r="C101"/>
  <c r="B101"/>
  <c r="C8" s="1"/>
  <c r="E102"/>
  <c r="E17" s="1"/>
  <c r="C102"/>
  <c r="F102"/>
  <c r="H102"/>
  <c r="D102"/>
  <c r="O19"/>
  <c r="O78" i="14"/>
  <c r="N88"/>
  <c r="D10" i="18"/>
  <c r="E78" i="14"/>
  <c r="D77"/>
  <c r="D9" i="59" s="1"/>
  <c r="H77" i="14"/>
  <c r="O88"/>
  <c r="G89"/>
  <c r="G19" i="59" s="1"/>
  <c r="G20" s="1"/>
  <c r="G20" i="18"/>
  <c r="O18"/>
  <c r="O25" i="48"/>
  <c r="O27"/>
  <c r="Q11"/>
  <c r="O29"/>
  <c r="P31"/>
  <c r="O28"/>
  <c r="Q12"/>
  <c r="O24"/>
  <c r="O30"/>
  <c r="P24"/>
  <c r="P30"/>
  <c r="Q77" i="14"/>
  <c r="P9" i="59" s="1"/>
  <c r="R9" i="14"/>
  <c r="R25"/>
  <c r="K90"/>
  <c r="O90" l="1"/>
  <c r="O18" i="59"/>
  <c r="O20" s="1"/>
  <c r="N90" i="14"/>
  <c r="N18" i="59"/>
  <c r="N20" s="1"/>
  <c r="H78" i="14"/>
  <c r="H9" i="59"/>
  <c r="H10" s="1"/>
  <c r="E90" i="14"/>
  <c r="B89"/>
  <c r="B19" i="59" s="1"/>
  <c r="J17" i="18"/>
  <c r="J20" s="1"/>
  <c r="I8"/>
  <c r="I76" i="14" s="1"/>
  <c r="I8" i="59" s="1"/>
  <c r="I10" s="1"/>
  <c r="G78" i="14"/>
  <c r="G102" i="18"/>
  <c r="Q89" i="14"/>
  <c r="P19" i="59" s="1"/>
  <c r="B102" i="18"/>
  <c r="C17" s="1"/>
  <c r="G90" i="14"/>
  <c r="C89"/>
  <c r="C19" i="59"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F78" i="14" l="1"/>
  <c r="F8" i="59"/>
  <c r="F10" s="1"/>
  <c r="I10" i="14"/>
  <c r="I16" s="1"/>
  <c r="H5" i="48"/>
  <c r="F90" i="14"/>
  <c r="F17" i="59"/>
  <c r="F20" s="1"/>
  <c r="H10" i="14"/>
  <c r="H16" s="1"/>
  <c r="G5" i="48"/>
  <c r="M78" i="14"/>
  <c r="M8" i="59"/>
  <c r="M10" s="1"/>
  <c r="M90" i="14"/>
  <c r="M17" i="59"/>
  <c r="M20" s="1"/>
  <c r="O8" i="18"/>
  <c r="O1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7"/>
  <c r="K30"/>
  <c r="K31"/>
  <c r="K24"/>
  <c r="K25"/>
  <c r="K29"/>
  <c r="B7"/>
  <c r="C24" i="14"/>
  <c r="C26" s="1"/>
  <c r="J24" i="48"/>
  <c r="J32"/>
  <c r="J30"/>
  <c r="J27"/>
  <c r="J31"/>
  <c r="J29"/>
  <c r="J28"/>
  <c r="Q11" i="14"/>
  <c r="P4" i="48"/>
  <c r="P11" i="14"/>
  <c r="O4" i="48"/>
  <c r="I32"/>
  <c r="I28"/>
  <c r="I22"/>
  <c r="I26"/>
  <c r="I27"/>
  <c r="I30"/>
  <c r="I25"/>
  <c r="I31"/>
  <c r="I29"/>
  <c r="I24"/>
  <c r="D4"/>
  <c r="D22" s="1"/>
  <c r="E11" i="14"/>
  <c r="H32" i="48"/>
  <c r="H29"/>
  <c r="H28"/>
  <c r="H26"/>
  <c r="H22"/>
  <c r="H30"/>
  <c r="H25"/>
  <c r="H24"/>
  <c r="H23"/>
  <c r="D11" i="14"/>
  <c r="C4" i="48"/>
  <c r="G29"/>
  <c r="G32"/>
  <c r="G22"/>
  <c r="G26"/>
  <c r="G30"/>
  <c r="G25"/>
  <c r="G24"/>
  <c r="G23"/>
  <c r="C11" i="14"/>
  <c r="B4" i="48"/>
  <c r="F24"/>
  <c r="F32"/>
  <c r="F29"/>
  <c r="F30"/>
  <c r="F31"/>
  <c r="F27"/>
  <c r="F28"/>
  <c r="N31"/>
  <c r="N24"/>
  <c r="N32"/>
  <c r="N30"/>
  <c r="N29"/>
  <c r="N27"/>
  <c r="N28"/>
  <c r="C19" i="14"/>
  <c r="B10" i="48"/>
  <c r="E32"/>
  <c r="E31"/>
  <c r="E29"/>
  <c r="E30"/>
  <c r="E28"/>
  <c r="E24"/>
  <c r="M26"/>
  <c r="M25"/>
  <c r="M32"/>
  <c r="M22"/>
  <c r="M30"/>
  <c r="M29"/>
  <c r="M24"/>
  <c r="M23"/>
  <c r="L10" i="14"/>
  <c r="L16" s="1"/>
  <c r="L27" s="1"/>
  <c r="K5" i="48"/>
  <c r="D30"/>
  <c r="D28"/>
  <c r="D31"/>
  <c r="D24"/>
  <c r="D29"/>
  <c r="D32"/>
  <c r="L32"/>
  <c r="L27"/>
  <c r="L28"/>
  <c r="L30"/>
  <c r="L24"/>
  <c r="L31"/>
  <c r="L29"/>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Q13"/>
  <c r="P8" i="48"/>
  <c r="P26" s="1"/>
  <c r="I5"/>
  <c r="J10" i="14"/>
  <c r="J16" s="1"/>
  <c r="J27" s="1"/>
  <c r="F20"/>
  <c r="F22" s="1"/>
  <c r="E9" i="48"/>
  <c r="E27" s="1"/>
  <c r="P15"/>
  <c r="P22"/>
  <c r="P33" s="1"/>
  <c r="E20" i="14"/>
  <c r="E22" s="1"/>
  <c r="D9" i="48"/>
  <c r="D27" s="1"/>
  <c r="P10" i="14"/>
  <c r="O5" i="48"/>
  <c r="O23" s="1"/>
  <c r="J7"/>
  <c r="J25" s="1"/>
  <c r="K24" i="14"/>
  <c r="K26" s="1"/>
  <c r="C20"/>
  <c r="B9" i="48"/>
  <c r="O22"/>
  <c r="G11" i="14"/>
  <c r="F4" i="48"/>
  <c r="F22" s="1"/>
  <c r="J63" i="14"/>
  <c r="K33" i="48"/>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<sst xmlns="http://schemas.openxmlformats.org/spreadsheetml/2006/main" count="2428" uniqueCount="913">
  <si>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</si>
  <si>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</si>
  <si>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</si>
  <si>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</si>
  <si>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</si>
  <si>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</si>
  <si>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</si>
  <si>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</si>
  <si>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</si>
  <si>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</si>
  <si>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</si>
  <si>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</si>
  <si>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</si>
  <si>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</si>
  <si>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</si>
  <si>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</si>
  <si>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</si>
  <si>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</si>
  <si>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</si>
  <si>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</si>
  <si>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</si>
  <si>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</si>
  <si>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</si>
  <si>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</si>
  <si>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</si>
  <si>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</si>
  <si>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</si>
  <si>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</si>
  <si>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</si>
  <si>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</si>
  <si>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</si>
  <si>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</si>
  <si>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</si>
  <si>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</si>
  <si>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</si>
  <si>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</si>
  <si>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</si>
  <si>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</si>
  <si>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</si>
  <si>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</si>
  <si>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</si>
  <si>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</si>
  <si>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</si>
  <si>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</si>
  <si>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</si>
  <si>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</si>
  <si>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</si>
  <si>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</si>
  <si>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</si>
  <si>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</si>
  <si>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</si>
  <si>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</si>
  <si>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</si>
  <si>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</si>
  <si>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</si>
  <si>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</si>
  <si>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</si>
  <si>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</si>
  <si>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</si>
  <si>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</si>
  <si>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</si>
  <si>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</si>
  <si>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</si>
  <si>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</si>
  <si>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</si>
  <si>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</si>
  <si>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</si>
  <si>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</si>
  <si>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</si>
  <si>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</si>
  <si>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</si>
  <si>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</si>
  <si>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</si>
  <si>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</si>
  <si>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</si>
  <si>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</si>
  <si>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</si>
  <si>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</si>
  <si>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</si>
  <si>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</si>
  <si>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</si>
  <si>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</si>
  <si>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</si>
  <si>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</si>
  <si>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</si>
  <si>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</si>
  <si>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</si>
  <si>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</si>
  <si>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</si>
  <si>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</si>
  <si>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</si>
  <si>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</si>
  <si>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</si>
  <si>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</si>
  <si>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</si>
  <si>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</si>
  <si>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</si>
  <si>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</si>
  <si>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</si>
  <si>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</si>
  <si>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</si>
  <si>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</si>
  <si>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</si>
  <si>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</si>
  <si>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</si>
  <si>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</si>
  <si>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</si>
  <si>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</si>
  <si>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</si>
  <si>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</si>
  <si>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</si>
  <si>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</si>
  <si>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</si>
  <si>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</si>
  <si>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</si>
  <si>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</si>
  <si>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</si>
  <si>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</si>
  <si>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</si>
  <si>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</si>
  <si>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</si>
  <si>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</si>
  <si>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</si>
  <si>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</si>
  <si>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</si>
  <si>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</si>
  <si>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</si>
  <si>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</si>
  <si>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</si>
  <si>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</si>
  <si>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</si>
  <si>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</si>
  <si>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</si>
  <si>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</si>
  <si>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</si>
  <si>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</si>
  <si>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</si>
  <si>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</si>
  <si>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</si>
  <si>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</si>
  <si>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</si>
  <si>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</si>
  <si>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</si>
  <si>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</si>
  <si>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</si>
  <si>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</si>
  <si>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</si>
  <si>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</si>
  <si>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</si>
  <si>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</si>
  <si>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</si>
  <si>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</si>
  <si>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</si>
  <si>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</si>
  <si>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</si>
  <si>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</si>
  <si>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</si>
  <si>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</si>
  <si>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</si>
  <si>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</si>
  <si>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</si>
  <si>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</si>
  <si>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</si>
  <si>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</si>
  <si>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</si>
  <si>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</si>
  <si>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</si>
  <si>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</si>
  <si>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</si>
  <si>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</si>
  <si>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</si>
  <si>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</si>
  <si>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</si>
  <si>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</si>
  <si>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</si>
  <si>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</si>
  <si>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</si>
  <si>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</si>
  <si>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</si>
  <si>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</si>
  <si>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</si>
  <si>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</si>
  <si>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</si>
  <si>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</si>
  <si>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</si>
  <si>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</si>
  <si>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</si>
  <si>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</si>
  <si>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</si>
  <si>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</si>
  <si>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</si>
  <si>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</si>
  <si>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</si>
  <si>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</si>
  <si>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</si>
  <si>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</si>
  <si>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</si>
  <si>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</si>
  <si>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</si>
  <si>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</si>
  <si>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</si>
  <si>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</si>
  <si>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</si>
  <si>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</si>
  <si>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</si>
  <si>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</si>
  <si>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</si>
  <si>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</si>
  <si>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</si>
  <si>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</si>
  <si>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</si>
  <si>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</si>
  <si>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</si>
  <si>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</si>
  <si>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</si>
  <si>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</si>
  <si>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</si>
  <si>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</si>
  <si>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</si>
  <si>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</si>
  <si>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</si>
  <si>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</si>
  <si>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</si>
  <si>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</si>
  <si>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</si>
  <si>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</si>
  <si>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</si>
  <si>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</si>
  <si>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</si>
  <si>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</si>
  <si>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</si>
  <si>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</si>
  <si>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</si>
  <si>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</si>
  <si>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</si>
  <si>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</si>
  <si>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</si>
  <si>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</si>
  <si>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</si>
  <si>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</si>
  <si>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</si>
  <si>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</si>
  <si>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</si>
  <si>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</si>
  <si>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</si>
  <si>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</si>
  <si>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</si>
  <si>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</si>
  <si>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</si>
  <si>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</si>
  <si>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</si>
  <si>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</si>
  <si>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</si>
  <si>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</si>
  <si>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</si>
  <si>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</si>
  <si>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</si>
  <si>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</si>
  <si>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</si>
  <si>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</si>
  <si>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</si>
  <si>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</si>
  <si>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</si>
  <si>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</si>
  <si>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</si>
  <si>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</si>
  <si>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</si>
  <si>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</si>
  <si>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</si>
  <si>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</si>
  <si>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</si>
  <si>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</si>
  <si>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</si>
  <si>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</si>
  <si>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</si>
  <si>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</si>
  <si>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</si>
  <si>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</si>
  <si>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</si>
  <si>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</si>
  <si>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</si>
  <si>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</si>
  <si>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</si>
  <si>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</si>
  <si>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</si>
  <si>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</si>
  <si>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</si>
  <si>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</si>
  <si>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</si>
  <si>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</si>
  <si>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</si>
  <si>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</si>
  <si>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</si>
  <si>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</si>
  <si>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</si>
  <si>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</si>
  <si>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</si>
  <si>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</si>
  <si>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</si>
  <si>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</si>
  <si>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</si>
  <si>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</si>
  <si>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</si>
  <si>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</si>
  <si>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</si>
  <si>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</si>
  <si>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</si>
  <si>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</si>
  <si>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</si>
  <si>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</si>
  <si>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</si>
  <si>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</si>
  <si>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</si>
  <si>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</si>
  <si>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</si>
  <si>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</si>
  <si>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</si>
  <si>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</si>
  <si>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</si>
  <si>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</si>
  <si>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</si>
  <si>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</si>
  <si>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</si>
  <si>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</si>
  <si>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</si>
  <si>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</si>
  <si>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</si>
  <si>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</si>
  <si>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</si>
  <si>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</si>
  <si>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</si>
  <si>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</si>
  <si>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</si>
  <si>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</si>
  <si>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</si>
  <si>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</si>
  <si>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</si>
  <si>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</si>
  <si>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</si>
  <si>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</si>
  <si>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</si>
  <si>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</si>
  <si>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</si>
  <si>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</si>
  <si>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</si>
  <si>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</si>
  <si>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</si>
  <si>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</si>
  <si>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</si>
  <si>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</si>
  <si>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</si>
  <si>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</si>
  <si>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</si>
  <si>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</si>
  <si>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</si>
  <si>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</si>
  <si>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</si>
  <si>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</si>
  <si>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</si>
  <si>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</si>
  <si>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</si>
  <si>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</si>
  <si>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</si>
  <si>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</si>
  <si>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</si>
  <si>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</si>
  <si>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</si>
  <si>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</si>
  <si>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</si>
  <si>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</si>
  <si>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</si>
  <si>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</si>
  <si>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</si>
  <si>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</si>
  <si>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</si>
  <si>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</si>
  <si>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</si>
  <si>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</si>
  <si>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</si>
  <si>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</si>
  <si>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</si>
  <si>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</si>
  <si>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</si>
  <si>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</si>
  <si>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</si>
  <si>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</si>
  <si>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</si>
  <si>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</si>
  <si>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</si>
  <si>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</si>
  <si>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</si>
  <si>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</si>
  <si>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</si>
  <si>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</si>
  <si>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</si>
  <si>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</si>
  <si>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</si>
  <si>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</si>
  <si>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</si>
  <si>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</si>
  <si>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</si>
  <si>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</si>
  <si>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</si>
  <si>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</si>
  <si>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</si>
  <si>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</si>
  <si>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</si>
  <si>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</si>
  <si>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</si>
  <si>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</si>
  <si>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</si>
  <si>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</si>
  <si>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</si>
  <si>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</si>
  <si>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</si>
  <si>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</si>
  <si>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</si>
  <si>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</si>
  <si>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</si>
  <si>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</si>
  <si>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</si>
  <si>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</si>
  <si>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</si>
  <si>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</si>
  <si>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</si>
  <si>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</si>
  <si>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</si>
  <si>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</si>
  <si>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</si>
  <si>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</si>
  <si>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</si>
  <si>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</si>
  <si>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</si>
  <si>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</si>
  <si>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</si>
  <si>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</si>
  <si>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</si>
  <si>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</si>
  <si>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</si>
  <si>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</si>
  <si>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</si>
  <si>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</si>
  <si>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</si>
  <si>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</si>
  <si>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</si>
  <si>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</si>
  <si>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</si>
  <si>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</si>
  <si>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</si>
  <si>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</si>
  <si>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</si>
  <si>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</si>
  <si>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</si>
  <si>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</si>
  <si>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</si>
  <si>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</si>
  <si>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</si>
  <si>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</si>
  <si>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</si>
  <si>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</si>
  <si>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</si>
  <si>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</si>
  <si>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</si>
  <si>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</si>
  <si>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</si>
  <si>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</si>
  <si>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</si>
  <si>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</si>
  <si>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</si>
  <si>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</si>
  <si>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</si>
  <si>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</si>
  <si>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</si>
  <si>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</si>
  <si>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</si>
  <si>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</si>
  <si>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</si>
  <si>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</si>
  <si>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</si>
  <si>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</si>
  <si>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</si>
  <si>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</si>
  <si>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</si>
  <si>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</si>
  <si>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</si>
  <si>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</si>
  <si>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</si>
  <si>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</si>
  <si>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</si>
  <si>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</si>
  <si>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</si>
  <si>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</si>
  <si>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</si>
  <si>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</si>
  <si>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</si>
  <si>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</si>
  <si>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</si>
  <si>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</si>
  <si>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</si>
  <si>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</si>
  <si>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</si>
  <si>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</si>
  <si>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</si>
  <si>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</si>
  <si>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</si>
  <si>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</si>
  <si>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</si>
  <si>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</si>
  <si>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</si>
  <si>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</si>
  <si>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</si>
  <si>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</si>
  <si>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</si>
  <si>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</si>
  <si>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</si>
  <si>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</si>
  <si>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</si>
  <si>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</si>
  <si>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</si>
  <si>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</si>
  <si>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</si>
  <si>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</si>
  <si>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</si>
  <si>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</si>
  <si>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</si>
  <si>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</si>
  <si>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</si>
  <si>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</si>
  <si>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</si>
  <si>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</si>
  <si>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</si>
  <si>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</si>
  <si>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</si>
  <si>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</si>
  <si>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</si>
  <si>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</si>
  <si>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</si>
  <si>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</si>
  <si>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</si>
  <si>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</si>
  <si>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</si>
  <si>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</si>
  <si>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</si>
  <si>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</si>
  <si>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</si>
  <si>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</si>
  <si>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</si>
  <si>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</si>
  <si>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</si>
  <si>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</si>
  <si>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</si>
  <si>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</si>
  <si>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</si>
  <si>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</si>
  <si>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</si>
  <si>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</si>
  <si>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</si>
  <si>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</si>
  <si>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</si>
  <si>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</si>
  <si>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</si>
  <si>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</si>
  <si>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</si>
  <si>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</si>
  <si>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</si>
  <si>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</si>
  <si>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</si>
  <si>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</si>
  <si>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</si>
  <si>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</si>
  <si>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</si>
  <si>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</si>
  <si>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</si>
  <si>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</si>
  <si>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</si>
  <si>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</si>
  <si>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</si>
  <si>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</si>
  <si>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</si>
  <si>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</si>
  <si>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</si>
  <si>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</si>
  <si>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</si>
  <si>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</si>
  <si>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</si>
  <si>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</si>
  <si>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</si>
  <si>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</si>
  <si>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</si>
  <si>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</si>
  <si>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</si>
  <si>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</si>
  <si>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</si>
  <si>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</si>
  <si>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</si>
  <si>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</si>
  <si>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</si>
  <si>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</si>
  <si>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</si>
  <si>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</si>
  <si>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</si>
  <si>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</si>
  <si>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</si>
  <si>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</si>
  <si>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</si>
  <si>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</si>
  <si>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</si>
  <si>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</si>
  <si>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</si>
  <si>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</si>
  <si>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</si>
  <si>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</si>
  <si>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</si>
  <si>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</si>
  <si>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</si>
  <si>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</si>
  <si>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</si>
  <si>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</si>
  <si>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</si>
  <si>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</si>
  <si>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</si>
  <si>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</si>
  <si>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</si>
  <si>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</si>
  <si>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</si>
  <si>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</si>
  <si>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</si>
  <si>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</si>
  <si>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</si>
  <si>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</si>
  <si>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</si>
  <si>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</si>
  <si>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</si>
  <si>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</si>
  <si>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</si>
  <si>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</si>
  <si>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</si>
  <si>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</si>
  <si>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</si>
  <si>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</si>
  <si>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</si>
  <si>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</si>
  <si>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</si>
  <si>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</si>
  <si>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</si>
  <si>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</si>
  <si>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</si>
  <si>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</si>
  <si>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</si>
  <si>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</si>
  <si>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</si>
  <si>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</si>
  <si>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</si>
  <si>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</si>
  <si>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</si>
  <si>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</si>
  <si>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</si>
  <si>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</si>
  <si>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</si>
  <si>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</si>
  <si>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</si>
  <si>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</si>
  <si>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</si>
  <si>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</si>
  <si>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</si>
  <si>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</si>
  <si>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</si>
  <si>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</si>
  <si>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</si>
  <si>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</si>
  <si>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</si>
  <si>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</si>
  <si>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</si>
  <si>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</si>
  <si>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</si>
  <si>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</si>
  <si>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</si>
  <si>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</si>
  <si>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</si>
  <si>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</si>
  <si>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</si>
  <si>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</si>
  <si>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</si>
  <si>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</si>
  <si>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</si>
  <si>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</si>
  <si>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</si>
  <si>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</si>
  <si>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</si>
  <si>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</si>
  <si>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</si>
  <si>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</si>
  <si>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</si>
  <si>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</si>
  <si>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</si>
  <si>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</si>
  <si>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</si>
  <si>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</si>
  <si>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</si>
  <si>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</si>
  <si>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</si>
  <si>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</si>
  <si>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</si>
  <si>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</si>
  <si>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</si>
  <si>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</si>
  <si>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</si>
  <si>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</si>
  <si>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</si>
  <si>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</si>
  <si>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</si>
  <si>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</si>
  <si>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</si>
  <si>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</si>
  <si>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</si>
  <si>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</si>
  <si>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</si>
  <si>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</si>
  <si>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</si>
  <si>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</si>
  <si>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</si>
  <si>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</si>
  <si>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</si>
  <si>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</si>
  <si>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</si>
  <si>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</si>
  <si>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</si>
  <si>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</si>
  <si>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</si>
  <si>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</si>
  <si>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</si>
  <si>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</si>
  <si>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</si>
  <si>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</si>
  <si>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</si>
  <si>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</si>
  <si>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</si>
  <si>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</si>
  <si>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</si>
  <si>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</si>
  <si>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</si>
  <si>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</si>
  <si>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</si>
  <si>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</si>
  <si>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</si>
  <si>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</si>
  <si>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</si>
  <si>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</si>
  <si>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</si>
  <si>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</si>
  <si>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</si>
  <si>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</si>
  <si>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</si>
  <si>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</si>
  <si>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</si>
  <si>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</si>
  <si>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</si>
  <si>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</si>
  <si>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</si>
  <si>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</si>
  <si>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</si>
  <si>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</si>
  <si>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</si>
  <si>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</si>
  <si>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</si>
  <si>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</si>
  <si>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</si>
  <si>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</si>
  <si>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</si>
  <si>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</si>
  <si>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</si>
  <si>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</si>
  <si>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</si>
  <si>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</si>
  <si>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</si>
  <si>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</si>
  <si>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</si>
  <si>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</si>
  <si>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</si>
  <si>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</si>
  <si>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</si>
  <si>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</si>
  <si>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</si>
  <si>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</si>
  <si>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</si>
  <si>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</si>
  <si>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</si>
  <si>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</si>
  <si>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</si>
  <si>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</si>
  <si>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</si>
  <si>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</si>
  <si>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</si>
  <si>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</si>
  <si>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</si>
  <si>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</si>
  <si>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</si>
  <si>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</si>
  <si>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</si>
  <si>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</si>
  <si>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</si>
  <si>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</si>
  <si>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</si>
  <si>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</si>
  <si>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</si>
  <si>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</si>
  <si>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</si>
  <si>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</si>
  <si>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</si>
  <si>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</si>
  <si>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</si>
  <si>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</si>
  <si>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</si>
  <si>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</si>
  <si>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</si>
  <si>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</si>
  <si>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</si>
  <si>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</si>
  <si>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</si>
  <si>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</si>
  <si>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</si>
  <si>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</si>
  <si>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</si>
  <si>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</si>
  <si>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</si>
  <si>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</si>
  <si>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</si>
  <si>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</si>
  <si>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</si>
  <si>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</si>
  <si>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</si>
  <si>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</si>
  <si>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</si>
  <si>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</si>
  <si>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</si>
  <si>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</si>
  <si>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</si>
  <si>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</si>
  <si>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</si>
  <si>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</si>
  <si>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</si>
  <si>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</si>
  <si>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</si>
  <si>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</si>
  <si>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</si>
  <si>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</si>
  <si>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</si>
  <si>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</si>
  <si>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</si>
  <si>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</si>
  <si>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</si>
  <si>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</si>
  <si>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</si>
  <si>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</si>
  <si>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</si>
  <si>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</si>
  <si>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</si>
  <si>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</si>
  <si>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</si>
  <si>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</si>
  <si>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</si>
  <si>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</si>
  <si>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</si>
  <si>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</si>
  <si>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</si>
  <si>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</si>
  <si>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</si>
  <si>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</si>
  <si>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</si>
  <si>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</si>
  <si>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</si>
  <si>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</si>
  <si>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</si>
  <si>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</si>
  <si>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</si>
  <si>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</si>
  <si>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</si>
  <si>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</si>
  <si>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</si>
  <si>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</si>
  <si>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</si>
  <si>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</si>
  <si>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</si>
  <si>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</si>
  <si>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</si>
  <si>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</si>
  <si>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</si>
  <si>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</si>
  <si>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</si>
  <si>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</si>
  <si>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</si>
  <si>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</si>
  <si>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</si>
  <si>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</si>
  <si>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</si>
  <si>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</si>
  <si>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</si>
  <si>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</si>
  <si>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</si>
  <si>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13049</t>
  </si>
  <si>
    <t>WESTERLO</t>
  </si>
  <si>
    <t>Paarden&amp;pony's 200 - 600 kg</t>
  </si>
  <si>
    <t>Paarden&amp;pony's &lt; 200 kg</t>
  </si>
  <si>
    <t>referentietaak LNE (2017); Jaarverslag De Lijn (2014)</t>
  </si>
  <si>
    <t>op basis van VEA (maart 2018) en Inventaris Hernieuwbare Energiebronnen (juni 2018)</t>
  </si>
  <si>
    <t>VEA (maart 2016)</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</si>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</sst>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204045.80204388421</c:v>
                </c:pt>
                <c:pt idx="1">
                  <c:v>79674.3154832539</c:v>
                </c:pt>
                <c:pt idx="2">
                  <c:v>2079.15</c:v>
                </c:pt>
                <c:pt idx="3">
                  <c:v>20216.833947412826</c:v>
                </c:pt>
                <c:pt idx="4">
                  <c:v>256594.44226599555</c:v>
                </c:pt>
                <c:pt idx="5">
                  <c:v>201294.44403671336</c:v>
                </c:pt>
                <c:pt idx="6">
                  <c:v>1937.5943888264642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204045.80204388421</c:v>
                </c:pt>
                <c:pt idx="1">
                  <c:v>79674.3154832539</c:v>
                </c:pt>
                <c:pt idx="2">
                  <c:v>2079.15</c:v>
                </c:pt>
                <c:pt idx="3">
                  <c:v>20216.833947412826</c:v>
                </c:pt>
                <c:pt idx="4">
                  <c:v>256594.44226599555</c:v>
                </c:pt>
                <c:pt idx="5">
                  <c:v>201294.44403671336</c:v>
                </c:pt>
                <c:pt idx="6">
                  <c:v>1937.5943888264642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37883.564615625248</c:v>
                </c:pt>
                <c:pt idx="2">
                  <c:v>15435.417296920365</c:v>
                </c:pt>
                <c:pt idx="3">
                  <c:v>418.18866450276198</c:v>
                </c:pt>
                <c:pt idx="4">
                  <c:v>4995.7007390510971</c:v>
                </c:pt>
                <c:pt idx="5">
                  <c:v>49675.787519756814</c:v>
                </c:pt>
                <c:pt idx="6">
                  <c:v>50455.377465876009</c:v>
                </c:pt>
                <c:pt idx="7">
                  <c:v>489.42710100350837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6032"/>
        <c:axId val="182362880"/>
      </c:barChart>
      <c:catAx>
        <c:axId val="182316032"/>
        <c:scaling>
          <c:orientation val="minMax"/>
        </c:scaling>
        <c:axPos val="b"/>
        <c:numFmt formatCode="General" sourceLinked="0"/>
        <c:tickLblPos val="nextTo"/>
        <c:crossAx val="182362880"/>
        <c:crosses val="autoZero"/>
        <c:auto val="1"/>
        <c:lblAlgn val="ctr"/>
        <c:lblOffset val="100"/>
      </c:catAx>
      <c:valAx>
        <c:axId val="182362880"/>
        <c:scaling>
          <c:orientation val="minMax"/>
        </c:scaling>
        <c:axPos val="l"/>
        <c:majorGridlines/>
        <c:numFmt formatCode="#,##0" sourceLinked="1"/>
        <c:tickLblPos val="nextTo"/>
        <c:crossAx val="182316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37883.564615625248</c:v>
                </c:pt>
                <c:pt idx="2">
                  <c:v>15435.417296920365</c:v>
                </c:pt>
                <c:pt idx="3">
                  <c:v>418.18866450276198</c:v>
                </c:pt>
                <c:pt idx="4">
                  <c:v>4995.7007390510971</c:v>
                </c:pt>
                <c:pt idx="5">
                  <c:v>49675.787519756814</c:v>
                </c:pt>
                <c:pt idx="6">
                  <c:v>50455.377465876009</c:v>
                </c:pt>
                <c:pt idx="7">
                  <c:v>489.42710100350837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13049</v>
      </c>
      <c r="B6" s="416"/>
      <c r="C6" s="417"/>
    </row>
    <row r="7" spans="1:7" s="414" customFormat="1" ht="15.75" customHeight="1">
      <c r="A7" s="418" t="str">
        <f>txtMunicipality</f>
        <v>WESTERLO</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39798.2984</v>
      </c>
      <c r="D10" s="1025">
        <f ca="1">tertiair!C16</f>
        <v>0</v>
      </c>
      <c r="E10" s="1025">
        <f ca="1">tertiair!D16</f>
        <v>30669.567378750213</v>
      </c>
      <c r="F10" s="1025">
        <f>tertiair!E16</f>
        <v>389.059877421512</v>
      </c>
      <c r="G10" s="1025">
        <f ca="1">tertiair!F16</f>
        <v>5862.2787267984395</v>
      </c>
      <c r="H10" s="1025">
        <f>tertiair!G16</f>
        <v>0</v>
      </c>
      <c r="I10" s="1025">
        <f>tertiair!H16</f>
        <v>0</v>
      </c>
      <c r="J10" s="1025">
        <f>tertiair!I16</f>
        <v>0</v>
      </c>
      <c r="K10" s="1025">
        <f>tertiair!J16</f>
        <v>0</v>
      </c>
      <c r="L10" s="1025">
        <f>tertiair!K16</f>
        <v>0</v>
      </c>
      <c r="M10" s="1025">
        <f ca="1">tertiair!L16</f>
        <v>0</v>
      </c>
      <c r="N10" s="1025">
        <f>tertiair!M16</f>
        <v>0</v>
      </c>
      <c r="O10" s="1025">
        <f ca="1">tertiair!N16</f>
        <v>5028.0077669504144</v>
      </c>
      <c r="P10" s="1025">
        <f>tertiair!O16</f>
        <v>6.2533333333333339</v>
      </c>
      <c r="Q10" s="1026">
        <f>tertiair!P16</f>
        <v>0</v>
      </c>
      <c r="R10" s="701">
        <f ca="1">SUM(C10:Q10)</f>
        <v>81753.465483253909</v>
      </c>
      <c r="S10" s="67"/>
    </row>
    <row r="11" spans="1:19" s="474" customFormat="1">
      <c r="A11" s="810" t="s">
        <v>225</v>
      </c>
      <c r="B11" s="815"/>
      <c r="C11" s="1025">
        <f>huishoudens!B8</f>
        <v>41499.749138687694</v>
      </c>
      <c r="D11" s="1025">
        <f>huishoudens!C8</f>
        <v>0</v>
      </c>
      <c r="E11" s="1025">
        <f>huishoudens!D8</f>
        <v>88987.96103821919</v>
      </c>
      <c r="F11" s="1025">
        <f>huishoudens!E8</f>
        <v>6470.2106864599236</v>
      </c>
      <c r="G11" s="1025">
        <f>huishoudens!F8</f>
        <v>37798.614176538205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27377.820337312551</v>
      </c>
      <c r="P11" s="1025">
        <f>huishoudens!O8</f>
        <v>290.78000000000003</v>
      </c>
      <c r="Q11" s="1026">
        <f>huishoudens!P8</f>
        <v>1620.6666666666665</v>
      </c>
      <c r="R11" s="701">
        <f>SUM(C11:Q11)</f>
        <v>204045.80204388421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147812.71706</v>
      </c>
      <c r="D13" s="1025">
        <f>industrie!C18</f>
        <v>0</v>
      </c>
      <c r="E13" s="1025">
        <f>industrie!D18</f>
        <v>60666.915467766128</v>
      </c>
      <c r="F13" s="1025">
        <f>industrie!E18</f>
        <v>5150.8872973429288</v>
      </c>
      <c r="G13" s="1025">
        <f>industrie!F18</f>
        <v>23900.509158987083</v>
      </c>
      <c r="H13" s="1025">
        <f>industrie!G18</f>
        <v>0</v>
      </c>
      <c r="I13" s="1025">
        <f>industrie!H18</f>
        <v>0</v>
      </c>
      <c r="J13" s="1025">
        <f>industrie!I18</f>
        <v>0</v>
      </c>
      <c r="K13" s="1025">
        <f>industrie!J18</f>
        <v>395.91982832335447</v>
      </c>
      <c r="L13" s="1025">
        <f>industrie!K18</f>
        <v>0</v>
      </c>
      <c r="M13" s="1025">
        <f>industrie!L18</f>
        <v>0</v>
      </c>
      <c r="N13" s="1025">
        <f>industrie!M18</f>
        <v>0</v>
      </c>
      <c r="O13" s="1025">
        <f>industrie!N18</f>
        <v>18667.49345357604</v>
      </c>
      <c r="P13" s="1025">
        <f>industrie!O18</f>
        <v>0</v>
      </c>
      <c r="Q13" s="1026">
        <f>industrie!P18</f>
        <v>0</v>
      </c>
      <c r="R13" s="701">
        <f>SUM(C13:Q13)</f>
        <v>256594.44226599555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229110.7645986877</v>
      </c>
      <c r="D16" s="733">
        <f t="shared" ref="D16:R16" ca="1" si="0">SUM(D9:D15)</f>
        <v>0</v>
      </c>
      <c r="E16" s="733">
        <f t="shared" ca="1" si="0"/>
        <v>180324.44388473552</v>
      </c>
      <c r="F16" s="733">
        <f t="shared" si="0"/>
        <v>12010.157861224365</v>
      </c>
      <c r="G16" s="733">
        <f t="shared" ca="1" si="0"/>
        <v>67561.40206232373</v>
      </c>
      <c r="H16" s="733">
        <f t="shared" si="0"/>
        <v>0</v>
      </c>
      <c r="I16" s="733">
        <f t="shared" si="0"/>
        <v>0</v>
      </c>
      <c r="J16" s="733">
        <f t="shared" si="0"/>
        <v>0</v>
      </c>
      <c r="K16" s="733">
        <f t="shared" si="0"/>
        <v>395.91982832335447</v>
      </c>
      <c r="L16" s="733">
        <f t="shared" si="0"/>
        <v>0</v>
      </c>
      <c r="M16" s="733">
        <f t="shared" ca="1" si="0"/>
        <v>0</v>
      </c>
      <c r="N16" s="733">
        <f t="shared" si="0"/>
        <v>0</v>
      </c>
      <c r="O16" s="733">
        <f t="shared" ca="1" si="0"/>
        <v>51073.321557839008</v>
      </c>
      <c r="P16" s="733">
        <f t="shared" si="0"/>
        <v>297.03333333333336</v>
      </c>
      <c r="Q16" s="733">
        <f t="shared" si="0"/>
        <v>1620.6666666666665</v>
      </c>
      <c r="R16" s="733">
        <f t="shared" ca="1" si="0"/>
        <v>542393.70979313366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1833.0603033839263</v>
      </c>
      <c r="I19" s="1025">
        <f>transport!H54</f>
        <v>0</v>
      </c>
      <c r="J19" s="1025">
        <f>transport!I54</f>
        <v>0</v>
      </c>
      <c r="K19" s="1025">
        <f>transport!J54</f>
        <v>0</v>
      </c>
      <c r="L19" s="1025">
        <f>transport!K54</f>
        <v>0</v>
      </c>
      <c r="M19" s="1025">
        <f>transport!L54</f>
        <v>0</v>
      </c>
      <c r="N19" s="1025">
        <f>transport!M54</f>
        <v>104.53408544253783</v>
      </c>
      <c r="O19" s="1025">
        <f>transport!N54</f>
        <v>0</v>
      </c>
      <c r="P19" s="1025">
        <f>transport!O54</f>
        <v>0</v>
      </c>
      <c r="Q19" s="1026">
        <f>transport!P54</f>
        <v>0</v>
      </c>
      <c r="R19" s="701">
        <f>SUM(C19:Q19)</f>
        <v>1937.5943888264642</v>
      </c>
      <c r="S19" s="67"/>
    </row>
    <row r="20" spans="1:19" s="474" customFormat="1">
      <c r="A20" s="810" t="s">
        <v>307</v>
      </c>
      <c r="B20" s="815"/>
      <c r="C20" s="1025">
        <f>transport!B14</f>
        <v>30.517700415529127</v>
      </c>
      <c r="D20" s="1025">
        <f>transport!C14</f>
        <v>0</v>
      </c>
      <c r="E20" s="1025">
        <f>transport!D14</f>
        <v>77.109500246919339</v>
      </c>
      <c r="F20" s="1025">
        <f>transport!E14</f>
        <v>542.3736368718121</v>
      </c>
      <c r="G20" s="1025">
        <f>transport!F14</f>
        <v>0</v>
      </c>
      <c r="H20" s="1025">
        <f>transport!G14</f>
        <v>160702.92324066686</v>
      </c>
      <c r="I20" s="1025">
        <f>transport!H14</f>
        <v>29730.376969916844</v>
      </c>
      <c r="J20" s="1025">
        <f>transport!I14</f>
        <v>0</v>
      </c>
      <c r="K20" s="1025">
        <f>transport!J14</f>
        <v>0</v>
      </c>
      <c r="L20" s="1025">
        <f>transport!K14</f>
        <v>0</v>
      </c>
      <c r="M20" s="1025">
        <f>transport!L14</f>
        <v>0</v>
      </c>
      <c r="N20" s="1025">
        <f>transport!M14</f>
        <v>10211.142988595419</v>
      </c>
      <c r="O20" s="1025">
        <f>transport!N14</f>
        <v>0</v>
      </c>
      <c r="P20" s="1025">
        <f>transport!O14</f>
        <v>0</v>
      </c>
      <c r="Q20" s="1026">
        <f>transport!P14</f>
        <v>0</v>
      </c>
      <c r="R20" s="701">
        <f>SUM(C20:Q20)</f>
        <v>201294.44403671336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30.517700415529127</v>
      </c>
      <c r="D22" s="813">
        <f t="shared" ref="D22:R22" si="1">SUM(D18:D21)</f>
        <v>0</v>
      </c>
      <c r="E22" s="813">
        <f t="shared" si="1"/>
        <v>77.109500246919339</v>
      </c>
      <c r="F22" s="813">
        <f t="shared" si="1"/>
        <v>542.3736368718121</v>
      </c>
      <c r="G22" s="813">
        <f t="shared" si="1"/>
        <v>0</v>
      </c>
      <c r="H22" s="813">
        <f t="shared" si="1"/>
        <v>162535.98354405077</v>
      </c>
      <c r="I22" s="813">
        <f t="shared" si="1"/>
        <v>29730.376969916844</v>
      </c>
      <c r="J22" s="813">
        <f t="shared" si="1"/>
        <v>0</v>
      </c>
      <c r="K22" s="813">
        <f t="shared" si="1"/>
        <v>0</v>
      </c>
      <c r="L22" s="813">
        <f t="shared" si="1"/>
        <v>0</v>
      </c>
      <c r="M22" s="813">
        <f t="shared" si="1"/>
        <v>0</v>
      </c>
      <c r="N22" s="813">
        <f t="shared" si="1"/>
        <v>10315.677074037956</v>
      </c>
      <c r="O22" s="813">
        <f t="shared" si="1"/>
        <v>0</v>
      </c>
      <c r="P22" s="813">
        <f t="shared" si="1"/>
        <v>0</v>
      </c>
      <c r="Q22" s="813">
        <f t="shared" si="1"/>
        <v>0</v>
      </c>
      <c r="R22" s="813">
        <f t="shared" si="1"/>
        <v>203232.03842553982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3433.1469999999999</v>
      </c>
      <c r="D24" s="1025">
        <f>+landbouw!C8</f>
        <v>7515</v>
      </c>
      <c r="E24" s="1025">
        <f>+landbouw!D8</f>
        <v>0</v>
      </c>
      <c r="F24" s="1025">
        <f>+landbouw!E8</f>
        <v>31.799245448141274</v>
      </c>
      <c r="G24" s="1025">
        <f>+landbouw!F8</f>
        <v>8710.5479528323394</v>
      </c>
      <c r="H24" s="1025">
        <f>+landbouw!G8</f>
        <v>0</v>
      </c>
      <c r="I24" s="1025">
        <f>+landbouw!H8</f>
        <v>0</v>
      </c>
      <c r="J24" s="1025">
        <f>+landbouw!I8</f>
        <v>0</v>
      </c>
      <c r="K24" s="1025">
        <f>+landbouw!J8</f>
        <v>526.33974913234317</v>
      </c>
      <c r="L24" s="1025">
        <f>+landbouw!K8</f>
        <v>0</v>
      </c>
      <c r="M24" s="1025">
        <f>+landbouw!L8</f>
        <v>0</v>
      </c>
      <c r="N24" s="1025">
        <f>+landbouw!M8</f>
        <v>0</v>
      </c>
      <c r="O24" s="1025">
        <f>+landbouw!N8</f>
        <v>0</v>
      </c>
      <c r="P24" s="1025">
        <f>+landbouw!O8</f>
        <v>0</v>
      </c>
      <c r="Q24" s="1026">
        <f>+landbouw!P8</f>
        <v>0</v>
      </c>
      <c r="R24" s="701">
        <f>SUM(C24:Q24)</f>
        <v>20216.833947412826</v>
      </c>
      <c r="S24" s="67"/>
    </row>
    <row r="25" spans="1:19" s="474" customFormat="1" ht="15" thickBot="1">
      <c r="A25" s="832" t="s">
        <v>864</v>
      </c>
      <c r="B25" s="1028"/>
      <c r="C25" s="1029">
        <f>IF(Onbekend_ele_kWh="---",0,Onbekend_ele_kWh)/1000+IF(REST_rest_ele_kWh="---",0,REST_rest_ele_kWh)/1000</f>
        <v>1188.68</v>
      </c>
      <c r="D25" s="1029"/>
      <c r="E25" s="1029">
        <f>IF(onbekend_gas_kWh="---",0,onbekend_gas_kWh)/1000+IF(REST_rest_gas_kWh="---",0,REST_rest_gas_kWh)/1000</f>
        <v>2877.3612355124096</v>
      </c>
      <c r="F25" s="1029"/>
      <c r="G25" s="1029"/>
      <c r="H25" s="1029"/>
      <c r="I25" s="1029"/>
      <c r="J25" s="1029"/>
      <c r="K25" s="1029"/>
      <c r="L25" s="1029"/>
      <c r="M25" s="1029"/>
      <c r="N25" s="1029"/>
      <c r="O25" s="1029"/>
      <c r="P25" s="1029"/>
      <c r="Q25" s="1030"/>
      <c r="R25" s="701">
        <f>SUM(C25:Q25)</f>
        <v>4066.0412355124099</v>
      </c>
      <c r="S25" s="67"/>
    </row>
    <row r="26" spans="1:19" s="474" customFormat="1" ht="15.75" thickBot="1">
      <c r="A26" s="706" t="s">
        <v>865</v>
      </c>
      <c r="B26" s="818"/>
      <c r="C26" s="813">
        <f>SUM(C24:C25)</f>
        <v>4621.8270000000002</v>
      </c>
      <c r="D26" s="813">
        <f t="shared" ref="D26:R26" si="2">SUM(D24:D25)</f>
        <v>7515</v>
      </c>
      <c r="E26" s="813">
        <f t="shared" si="2"/>
        <v>2877.3612355124096</v>
      </c>
      <c r="F26" s="813">
        <f t="shared" si="2"/>
        <v>31.799245448141274</v>
      </c>
      <c r="G26" s="813">
        <f t="shared" si="2"/>
        <v>8710.5479528323394</v>
      </c>
      <c r="H26" s="813">
        <f t="shared" si="2"/>
        <v>0</v>
      </c>
      <c r="I26" s="813">
        <f t="shared" si="2"/>
        <v>0</v>
      </c>
      <c r="J26" s="813">
        <f t="shared" si="2"/>
        <v>0</v>
      </c>
      <c r="K26" s="813">
        <f t="shared" si="2"/>
        <v>526.33974913234317</v>
      </c>
      <c r="L26" s="813">
        <f t="shared" si="2"/>
        <v>0</v>
      </c>
      <c r="M26" s="813">
        <f t="shared" si="2"/>
        <v>0</v>
      </c>
      <c r="N26" s="813">
        <f t="shared" si="2"/>
        <v>0</v>
      </c>
      <c r="O26" s="813">
        <f t="shared" si="2"/>
        <v>0</v>
      </c>
      <c r="P26" s="813">
        <f t="shared" si="2"/>
        <v>0</v>
      </c>
      <c r="Q26" s="813">
        <f t="shared" si="2"/>
        <v>0</v>
      </c>
      <c r="R26" s="813">
        <f t="shared" si="2"/>
        <v>24282.875182925236</v>
      </c>
      <c r="S26" s="67"/>
    </row>
    <row r="27" spans="1:19" s="474" customFormat="1" ht="17.25" thickTop="1" thickBot="1">
      <c r="A27" s="707" t="s">
        <v>116</v>
      </c>
      <c r="B27" s="806"/>
      <c r="C27" s="708">
        <f ca="1">C22+C16+C26</f>
        <v>233763.10929910323</v>
      </c>
      <c r="D27" s="708">
        <f t="shared" ref="D27:R27" ca="1" si="3">D22+D16+D26</f>
        <v>7515</v>
      </c>
      <c r="E27" s="708">
        <f t="shared" ca="1" si="3"/>
        <v>183278.91462049485</v>
      </c>
      <c r="F27" s="708">
        <f t="shared" si="3"/>
        <v>12584.330743544318</v>
      </c>
      <c r="G27" s="708">
        <f t="shared" ca="1" si="3"/>
        <v>76271.950015156064</v>
      </c>
      <c r="H27" s="708">
        <f t="shared" si="3"/>
        <v>162535.98354405077</v>
      </c>
      <c r="I27" s="708">
        <f t="shared" si="3"/>
        <v>29730.376969916844</v>
      </c>
      <c r="J27" s="708">
        <f t="shared" si="3"/>
        <v>0</v>
      </c>
      <c r="K27" s="708">
        <f t="shared" si="3"/>
        <v>922.25957745569758</v>
      </c>
      <c r="L27" s="708">
        <f t="shared" si="3"/>
        <v>0</v>
      </c>
      <c r="M27" s="708">
        <f t="shared" ca="1" si="3"/>
        <v>0</v>
      </c>
      <c r="N27" s="708">
        <f t="shared" si="3"/>
        <v>10315.677074037956</v>
      </c>
      <c r="O27" s="708">
        <f t="shared" ca="1" si="3"/>
        <v>51073.321557839008</v>
      </c>
      <c r="P27" s="708">
        <f t="shared" si="3"/>
        <v>297.03333333333336</v>
      </c>
      <c r="Q27" s="708">
        <f t="shared" si="3"/>
        <v>1620.6666666666665</v>
      </c>
      <c r="R27" s="708">
        <f t="shared" ca="1" si="3"/>
        <v>769908.62340159877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8004.8083386857161</v>
      </c>
      <c r="D40" s="1025">
        <f ca="1">tertiair!C20</f>
        <v>0</v>
      </c>
      <c r="E40" s="1025">
        <f ca="1">tertiair!D20</f>
        <v>6195.2526105075431</v>
      </c>
      <c r="F40" s="1025">
        <f>tertiair!E20</f>
        <v>88.316592174683223</v>
      </c>
      <c r="G40" s="1025">
        <f ca="1">tertiair!F20</f>
        <v>1565.2284200551835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15853.605961423127</v>
      </c>
    </row>
    <row r="41" spans="1:18">
      <c r="A41" s="823" t="s">
        <v>225</v>
      </c>
      <c r="B41" s="830"/>
      <c r="C41" s="1025">
        <f ca="1">huishoudens!B12</f>
        <v>8347.0286749428633</v>
      </c>
      <c r="D41" s="1025">
        <f ca="1">huishoudens!C12</f>
        <v>0</v>
      </c>
      <c r="E41" s="1025">
        <f>huishoudens!D12</f>
        <v>17975.568129720279</v>
      </c>
      <c r="F41" s="1025">
        <f>huishoudens!E12</f>
        <v>1468.7378258264027</v>
      </c>
      <c r="G41" s="1025">
        <f>huishoudens!F12</f>
        <v>10092.229985135702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37883.564615625248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29730.227614095191</v>
      </c>
      <c r="D43" s="1025">
        <f ca="1">industrie!C22</f>
        <v>0</v>
      </c>
      <c r="E43" s="1025">
        <f>industrie!D22</f>
        <v>12254.716924488759</v>
      </c>
      <c r="F43" s="1025">
        <f>industrie!E22</f>
        <v>1169.251416496845</v>
      </c>
      <c r="G43" s="1025">
        <f>industrie!F22</f>
        <v>6381.4359454495516</v>
      </c>
      <c r="H43" s="1025">
        <f>industrie!G22</f>
        <v>0</v>
      </c>
      <c r="I43" s="1025">
        <f>industrie!H22</f>
        <v>0</v>
      </c>
      <c r="J43" s="1025">
        <f>industrie!I22</f>
        <v>0</v>
      </c>
      <c r="K43" s="1025">
        <f>industrie!J22</f>
        <v>140.15561922646748</v>
      </c>
      <c r="L43" s="1025">
        <f>industrie!K22</f>
        <v>0</v>
      </c>
      <c r="M43" s="1025">
        <f>industrie!L22</f>
        <v>0</v>
      </c>
      <c r="N43" s="1025">
        <f>industrie!M22</f>
        <v>0</v>
      </c>
      <c r="O43" s="1025">
        <f>industrie!N22</f>
        <v>0</v>
      </c>
      <c r="P43" s="1025">
        <f>industrie!O22</f>
        <v>0</v>
      </c>
      <c r="Q43" s="775">
        <f>industrie!P22</f>
        <v>0</v>
      </c>
      <c r="R43" s="850">
        <f t="shared" ca="1" si="4"/>
        <v>49675.787519756814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46082.064627723768</v>
      </c>
      <c r="D46" s="733">
        <f t="shared" ref="D46:Q46" ca="1" si="5">SUM(D39:D45)</f>
        <v>0</v>
      </c>
      <c r="E46" s="733">
        <f t="shared" ca="1" si="5"/>
        <v>36425.537664716583</v>
      </c>
      <c r="F46" s="733">
        <f t="shared" si="5"/>
        <v>2726.3058344979308</v>
      </c>
      <c r="G46" s="733">
        <f t="shared" ca="1" si="5"/>
        <v>18038.894350640439</v>
      </c>
      <c r="H46" s="733">
        <f t="shared" si="5"/>
        <v>0</v>
      </c>
      <c r="I46" s="733">
        <f t="shared" si="5"/>
        <v>0</v>
      </c>
      <c r="J46" s="733">
        <f t="shared" si="5"/>
        <v>0</v>
      </c>
      <c r="K46" s="733">
        <f t="shared" si="5"/>
        <v>140.15561922646748</v>
      </c>
      <c r="L46" s="733">
        <f t="shared" si="5"/>
        <v>0</v>
      </c>
      <c r="M46" s="733">
        <f t="shared" ca="1" si="5"/>
        <v>0</v>
      </c>
      <c r="N46" s="733">
        <f t="shared" si="5"/>
        <v>0</v>
      </c>
      <c r="O46" s="733">
        <f t="shared" ca="1" si="5"/>
        <v>0</v>
      </c>
      <c r="P46" s="733">
        <f t="shared" si="5"/>
        <v>0</v>
      </c>
      <c r="Q46" s="733">
        <f t="shared" si="5"/>
        <v>0</v>
      </c>
      <c r="R46" s="733">
        <f ca="1">SUM(R39:R45)</f>
        <v>103412.95809680519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489.42710100350837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489.42710100350837</v>
      </c>
    </row>
    <row r="50" spans="1:18">
      <c r="A50" s="826" t="s">
        <v>307</v>
      </c>
      <c r="B50" s="836"/>
      <c r="C50" s="704">
        <f ca="1">transport!B18</f>
        <v>6.1381604888851262</v>
      </c>
      <c r="D50" s="704">
        <f>transport!C18</f>
        <v>0</v>
      </c>
      <c r="E50" s="704">
        <f>transport!D18</f>
        <v>15.576119049877708</v>
      </c>
      <c r="F50" s="704">
        <f>transport!E18</f>
        <v>123.11881556990134</v>
      </c>
      <c r="G50" s="704">
        <f>transport!F18</f>
        <v>0</v>
      </c>
      <c r="H50" s="704">
        <f>transport!G18</f>
        <v>42907.680505258053</v>
      </c>
      <c r="I50" s="704">
        <f>transport!H18</f>
        <v>7402.8638655092946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50455.377465876009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6.1381604888851262</v>
      </c>
      <c r="D52" s="733">
        <f t="shared" ref="D52:Q52" ca="1" si="6">SUM(D48:D51)</f>
        <v>0</v>
      </c>
      <c r="E52" s="733">
        <f t="shared" si="6"/>
        <v>15.576119049877708</v>
      </c>
      <c r="F52" s="733">
        <f t="shared" si="6"/>
        <v>123.11881556990134</v>
      </c>
      <c r="G52" s="733">
        <f t="shared" si="6"/>
        <v>0</v>
      </c>
      <c r="H52" s="733">
        <f t="shared" si="6"/>
        <v>43397.107606261561</v>
      </c>
      <c r="I52" s="733">
        <f t="shared" si="6"/>
        <v>7402.8638655092946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50944.804566879517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690.52408867646091</v>
      </c>
      <c r="D54" s="704">
        <f ca="1">+landbouw!C12</f>
        <v>1785.9176470588238</v>
      </c>
      <c r="E54" s="704">
        <f>+landbouw!D12</f>
        <v>0</v>
      </c>
      <c r="F54" s="704">
        <f>+landbouw!E12</f>
        <v>7.2184287167280692</v>
      </c>
      <c r="G54" s="704">
        <f>+landbouw!F12</f>
        <v>2325.7163034062346</v>
      </c>
      <c r="H54" s="704">
        <f>+landbouw!G12</f>
        <v>0</v>
      </c>
      <c r="I54" s="704">
        <f>+landbouw!H12</f>
        <v>0</v>
      </c>
      <c r="J54" s="704">
        <f>+landbouw!I12</f>
        <v>0</v>
      </c>
      <c r="K54" s="704">
        <f>+landbouw!J12</f>
        <v>186.32427119284947</v>
      </c>
      <c r="L54" s="704">
        <f>+landbouw!K12</f>
        <v>0</v>
      </c>
      <c r="M54" s="704">
        <f>+landbouw!L12</f>
        <v>0</v>
      </c>
      <c r="N54" s="704">
        <f>+landbouw!M12</f>
        <v>0</v>
      </c>
      <c r="O54" s="704">
        <f>+landbouw!N12</f>
        <v>0</v>
      </c>
      <c r="P54" s="704">
        <f>+landbouw!O12</f>
        <v>0</v>
      </c>
      <c r="Q54" s="705">
        <f>+landbouw!P12</f>
        <v>0</v>
      </c>
      <c r="R54" s="732">
        <f ca="1">SUM(C54:Q54)</f>
        <v>4995.7007390510971</v>
      </c>
    </row>
    <row r="55" spans="1:18" ht="15" thickBot="1">
      <c r="A55" s="826" t="s">
        <v>864</v>
      </c>
      <c r="B55" s="836"/>
      <c r="C55" s="704">
        <f ca="1">C25*'EF ele_warmte'!B12</f>
        <v>239.08448246694232</v>
      </c>
      <c r="D55" s="704"/>
      <c r="E55" s="704">
        <f>E25*EF_CO2_aardgas</f>
        <v>581.22696957350684</v>
      </c>
      <c r="F55" s="704"/>
      <c r="G55" s="704"/>
      <c r="H55" s="704"/>
      <c r="I55" s="704"/>
      <c r="J55" s="704"/>
      <c r="K55" s="704"/>
      <c r="L55" s="704"/>
      <c r="M55" s="704"/>
      <c r="N55" s="704"/>
      <c r="O55" s="704"/>
      <c r="P55" s="704"/>
      <c r="Q55" s="705"/>
      <c r="R55" s="732">
        <f ca="1">SUM(C55:Q55)</f>
        <v>820.31145204044913</v>
      </c>
    </row>
    <row r="56" spans="1:18" ht="15.75" thickBot="1">
      <c r="A56" s="824" t="s">
        <v>865</v>
      </c>
      <c r="B56" s="837"/>
      <c r="C56" s="733">
        <f ca="1">SUM(C54:C55)</f>
        <v>929.6085711434032</v>
      </c>
      <c r="D56" s="733">
        <f t="shared" ref="D56:Q56" ca="1" si="7">SUM(D54:D55)</f>
        <v>1785.9176470588238</v>
      </c>
      <c r="E56" s="733">
        <f t="shared" si="7"/>
        <v>581.22696957350684</v>
      </c>
      <c r="F56" s="733">
        <f t="shared" si="7"/>
        <v>7.2184287167280692</v>
      </c>
      <c r="G56" s="733">
        <f t="shared" si="7"/>
        <v>2325.7163034062346</v>
      </c>
      <c r="H56" s="733">
        <f t="shared" si="7"/>
        <v>0</v>
      </c>
      <c r="I56" s="733">
        <f t="shared" si="7"/>
        <v>0</v>
      </c>
      <c r="J56" s="733">
        <f t="shared" si="7"/>
        <v>0</v>
      </c>
      <c r="K56" s="733">
        <f t="shared" si="7"/>
        <v>186.32427119284947</v>
      </c>
      <c r="L56" s="733">
        <f t="shared" si="7"/>
        <v>0</v>
      </c>
      <c r="M56" s="733">
        <f t="shared" si="7"/>
        <v>0</v>
      </c>
      <c r="N56" s="733">
        <f t="shared" si="7"/>
        <v>0</v>
      </c>
      <c r="O56" s="733">
        <f t="shared" si="7"/>
        <v>0</v>
      </c>
      <c r="P56" s="733">
        <f t="shared" si="7"/>
        <v>0</v>
      </c>
      <c r="Q56" s="734">
        <f t="shared" si="7"/>
        <v>0</v>
      </c>
      <c r="R56" s="735">
        <f ca="1">SUM(R54:R55)</f>
        <v>5816.0121910915459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47017.811359356063</v>
      </c>
      <c r="D61" s="741">
        <f t="shared" ref="D61:Q61" ca="1" si="8">D46+D52+D56</f>
        <v>1785.9176470588238</v>
      </c>
      <c r="E61" s="741">
        <f t="shared" ca="1" si="8"/>
        <v>37022.340753339966</v>
      </c>
      <c r="F61" s="741">
        <f t="shared" si="8"/>
        <v>2856.6430787845602</v>
      </c>
      <c r="G61" s="741">
        <f t="shared" ca="1" si="8"/>
        <v>20364.610654046675</v>
      </c>
      <c r="H61" s="741">
        <f t="shared" si="8"/>
        <v>43397.107606261561</v>
      </c>
      <c r="I61" s="741">
        <f t="shared" si="8"/>
        <v>7402.8638655092946</v>
      </c>
      <c r="J61" s="741">
        <f t="shared" si="8"/>
        <v>0</v>
      </c>
      <c r="K61" s="741">
        <f t="shared" si="8"/>
        <v>326.47989041931692</v>
      </c>
      <c r="L61" s="741">
        <f t="shared" si="8"/>
        <v>0</v>
      </c>
      <c r="M61" s="741">
        <f t="shared" ca="1" si="8"/>
        <v>0</v>
      </c>
      <c r="N61" s="741">
        <f t="shared" si="8"/>
        <v>0</v>
      </c>
      <c r="O61" s="741">
        <f t="shared" ca="1" si="8"/>
        <v>0</v>
      </c>
      <c r="P61" s="741">
        <f t="shared" si="8"/>
        <v>0</v>
      </c>
      <c r="Q61" s="741">
        <f t="shared" si="8"/>
        <v>0</v>
      </c>
      <c r="R61" s="741">
        <f ca="1">R46+R52+R56</f>
        <v>160173.77485477625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0.20113443691064231</v>
      </c>
      <c r="D63" s="782">
        <f t="shared" ca="1" si="9"/>
        <v>0.23764705882352946</v>
      </c>
      <c r="E63" s="1036">
        <f t="shared" ca="1" si="9"/>
        <v>0.20200000000000004</v>
      </c>
      <c r="F63" s="782">
        <f t="shared" si="9"/>
        <v>0.22699999999999998</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7182.9565746698572</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14226.127808528905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5260.5</v>
      </c>
      <c r="D76" s="1046">
        <f>'lokale energieproductie'!C8</f>
        <v>6188.8235294117649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1250.1423529411766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21409.084383198762</v>
      </c>
      <c r="C78" s="756">
        <f>SUM(C72:C77)</f>
        <v>5260.5</v>
      </c>
      <c r="D78" s="757">
        <f t="shared" ref="D78:H78" si="10">SUM(D76:D77)</f>
        <v>6188.8235294117649</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1250.1423529411766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7515</v>
      </c>
      <c r="D87" s="778">
        <f>'lokale energieproductie'!C17</f>
        <v>8841.176470588236</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1785.9176470588238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7515</v>
      </c>
      <c r="D90" s="756">
        <f t="shared" ref="D90:H90" si="12">SUM(D87:D89)</f>
        <v>8841.176470588236</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1785.9176470588238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41499.749138687694</v>
      </c>
      <c r="C4" s="478">
        <f>huishoudens!C8</f>
        <v>0</v>
      </c>
      <c r="D4" s="478">
        <f>huishoudens!D8</f>
        <v>88987.96103821919</v>
      </c>
      <c r="E4" s="478">
        <f>huishoudens!E8</f>
        <v>6470.2106864599236</v>
      </c>
      <c r="F4" s="478">
        <f>huishoudens!F8</f>
        <v>37798.614176538205</v>
      </c>
      <c r="G4" s="478">
        <f>huishoudens!G8</f>
        <v>0</v>
      </c>
      <c r="H4" s="478">
        <f>huishoudens!H8</f>
        <v>0</v>
      </c>
      <c r="I4" s="478">
        <f>huishoudens!I8</f>
        <v>0</v>
      </c>
      <c r="J4" s="478">
        <f>huishoudens!J8</f>
        <v>0</v>
      </c>
      <c r="K4" s="478">
        <f>huishoudens!K8</f>
        <v>0</v>
      </c>
      <c r="L4" s="478">
        <f>huishoudens!L8</f>
        <v>0</v>
      </c>
      <c r="M4" s="478">
        <f>huishoudens!M8</f>
        <v>0</v>
      </c>
      <c r="N4" s="478">
        <f>huishoudens!N8</f>
        <v>27377.820337312551</v>
      </c>
      <c r="O4" s="478">
        <f>huishoudens!O8</f>
        <v>290.78000000000003</v>
      </c>
      <c r="P4" s="479">
        <f>huishoudens!P8</f>
        <v>1620.6666666666665</v>
      </c>
      <c r="Q4" s="480">
        <f>SUM(B4:P4)</f>
        <v>204045.80204388421</v>
      </c>
    </row>
    <row r="5" spans="1:17">
      <c r="A5" s="477" t="s">
        <v>156</v>
      </c>
      <c r="B5" s="478">
        <f ca="1">tertiair!B16</f>
        <v>37719.148399999998</v>
      </c>
      <c r="C5" s="478">
        <f ca="1">tertiair!C16</f>
        <v>0</v>
      </c>
      <c r="D5" s="478">
        <f ca="1">tertiair!D16</f>
        <v>30669.567378750213</v>
      </c>
      <c r="E5" s="478">
        <f>tertiair!E16</f>
        <v>389.059877421512</v>
      </c>
      <c r="F5" s="478">
        <f ca="1">tertiair!F16</f>
        <v>5862.2787267984395</v>
      </c>
      <c r="G5" s="478">
        <f>tertiair!G16</f>
        <v>0</v>
      </c>
      <c r="H5" s="478">
        <f>tertiair!H16</f>
        <v>0</v>
      </c>
      <c r="I5" s="478">
        <f>tertiair!I16</f>
        <v>0</v>
      </c>
      <c r="J5" s="478">
        <f>tertiair!J16</f>
        <v>0</v>
      </c>
      <c r="K5" s="478">
        <f>tertiair!K16</f>
        <v>0</v>
      </c>
      <c r="L5" s="478">
        <f ca="1">tertiair!L16</f>
        <v>0</v>
      </c>
      <c r="M5" s="478">
        <f>tertiair!M16</f>
        <v>0</v>
      </c>
      <c r="N5" s="478">
        <f ca="1">tertiair!N16</f>
        <v>5028.0077669504144</v>
      </c>
      <c r="O5" s="478">
        <f>tertiair!O16</f>
        <v>6.2533333333333339</v>
      </c>
      <c r="P5" s="479">
        <f>tertiair!P16</f>
        <v>0</v>
      </c>
      <c r="Q5" s="477">
        <f t="shared" ref="Q5:Q14" ca="1" si="0">SUM(B5:P5)</f>
        <v>79674.3154832539</v>
      </c>
    </row>
    <row r="6" spans="1:17">
      <c r="A6" s="477" t="s">
        <v>194</v>
      </c>
      <c r="B6" s="478">
        <f>'openbare verlichting'!B8</f>
        <v>2079.15</v>
      </c>
      <c r="C6" s="478"/>
      <c r="D6" s="478"/>
      <c r="E6" s="478"/>
      <c r="F6" s="478"/>
      <c r="G6" s="478"/>
      <c r="H6" s="478"/>
      <c r="I6" s="478"/>
      <c r="J6" s="478"/>
      <c r="K6" s="478"/>
      <c r="L6" s="478"/>
      <c r="M6" s="478"/>
      <c r="N6" s="478"/>
      <c r="O6" s="478"/>
      <c r="P6" s="479"/>
      <c r="Q6" s="477">
        <f t="shared" si="0"/>
        <v>2079.15</v>
      </c>
    </row>
    <row r="7" spans="1:17">
      <c r="A7" s="477" t="s">
        <v>112</v>
      </c>
      <c r="B7" s="478">
        <f>landbouw!B8</f>
        <v>3433.1469999999999</v>
      </c>
      <c r="C7" s="478">
        <f>landbouw!C8</f>
        <v>7515</v>
      </c>
      <c r="D7" s="478">
        <f>landbouw!D8</f>
        <v>0</v>
      </c>
      <c r="E7" s="478">
        <f>landbouw!E8</f>
        <v>31.799245448141274</v>
      </c>
      <c r="F7" s="478">
        <f>landbouw!F8</f>
        <v>8710.5479528323394</v>
      </c>
      <c r="G7" s="478">
        <f>landbouw!G8</f>
        <v>0</v>
      </c>
      <c r="H7" s="478">
        <f>landbouw!H8</f>
        <v>0</v>
      </c>
      <c r="I7" s="478">
        <f>landbouw!I8</f>
        <v>0</v>
      </c>
      <c r="J7" s="478">
        <f>landbouw!J8</f>
        <v>526.33974913234317</v>
      </c>
      <c r="K7" s="478">
        <f>landbouw!K8</f>
        <v>0</v>
      </c>
      <c r="L7" s="478">
        <f>landbouw!L8</f>
        <v>0</v>
      </c>
      <c r="M7" s="478">
        <f>landbouw!M8</f>
        <v>0</v>
      </c>
      <c r="N7" s="478">
        <f>landbouw!N8</f>
        <v>0</v>
      </c>
      <c r="O7" s="478">
        <f>landbouw!O8</f>
        <v>0</v>
      </c>
      <c r="P7" s="479">
        <f>landbouw!P8</f>
        <v>0</v>
      </c>
      <c r="Q7" s="477">
        <f t="shared" si="0"/>
        <v>20216.833947412826</v>
      </c>
    </row>
    <row r="8" spans="1:17">
      <c r="A8" s="477" t="s">
        <v>650</v>
      </c>
      <c r="B8" s="478">
        <f>industrie!B18</f>
        <v>147812.71706</v>
      </c>
      <c r="C8" s="478">
        <f>industrie!C18</f>
        <v>0</v>
      </c>
      <c r="D8" s="478">
        <f>industrie!D18</f>
        <v>60666.915467766128</v>
      </c>
      <c r="E8" s="478">
        <f>industrie!E18</f>
        <v>5150.8872973429288</v>
      </c>
      <c r="F8" s="478">
        <f>industrie!F18</f>
        <v>23900.509158987083</v>
      </c>
      <c r="G8" s="478">
        <f>industrie!G18</f>
        <v>0</v>
      </c>
      <c r="H8" s="478">
        <f>industrie!H18</f>
        <v>0</v>
      </c>
      <c r="I8" s="478">
        <f>industrie!I18</f>
        <v>0</v>
      </c>
      <c r="J8" s="478">
        <f>industrie!J18</f>
        <v>395.91982832335447</v>
      </c>
      <c r="K8" s="478">
        <f>industrie!K18</f>
        <v>0</v>
      </c>
      <c r="L8" s="478">
        <f>industrie!L18</f>
        <v>0</v>
      </c>
      <c r="M8" s="478">
        <f>industrie!M18</f>
        <v>0</v>
      </c>
      <c r="N8" s="478">
        <f>industrie!N18</f>
        <v>18667.49345357604</v>
      </c>
      <c r="O8" s="478">
        <f>industrie!O18</f>
        <v>0</v>
      </c>
      <c r="P8" s="479">
        <f>industrie!P18</f>
        <v>0</v>
      </c>
      <c r="Q8" s="477">
        <f t="shared" si="0"/>
        <v>256594.44226599555</v>
      </c>
    </row>
    <row r="9" spans="1:17" s="483" customFormat="1">
      <c r="A9" s="481" t="s">
        <v>571</v>
      </c>
      <c r="B9" s="482">
        <f>transport!B14</f>
        <v>30.517700415529127</v>
      </c>
      <c r="C9" s="482">
        <f>transport!C14</f>
        <v>0</v>
      </c>
      <c r="D9" s="482">
        <f>transport!D14</f>
        <v>77.109500246919339</v>
      </c>
      <c r="E9" s="482">
        <f>transport!E14</f>
        <v>542.3736368718121</v>
      </c>
      <c r="F9" s="482">
        <f>transport!F14</f>
        <v>0</v>
      </c>
      <c r="G9" s="482">
        <f>transport!G14</f>
        <v>160702.92324066686</v>
      </c>
      <c r="H9" s="482">
        <f>transport!H14</f>
        <v>29730.376969916844</v>
      </c>
      <c r="I9" s="482">
        <f>transport!I14</f>
        <v>0</v>
      </c>
      <c r="J9" s="482">
        <f>transport!J14</f>
        <v>0</v>
      </c>
      <c r="K9" s="482">
        <f>transport!K14</f>
        <v>0</v>
      </c>
      <c r="L9" s="482">
        <f>transport!L14</f>
        <v>0</v>
      </c>
      <c r="M9" s="482">
        <f>transport!M14</f>
        <v>10211.142988595419</v>
      </c>
      <c r="N9" s="482">
        <f>transport!N14</f>
        <v>0</v>
      </c>
      <c r="O9" s="482">
        <f>transport!O14</f>
        <v>0</v>
      </c>
      <c r="P9" s="482">
        <f>transport!P14</f>
        <v>0</v>
      </c>
      <c r="Q9" s="481">
        <f>SUM(B9:P9)</f>
        <v>201294.44403671336</v>
      </c>
    </row>
    <row r="10" spans="1:17">
      <c r="A10" s="477" t="s">
        <v>561</v>
      </c>
      <c r="B10" s="478">
        <f>transport!B54</f>
        <v>0</v>
      </c>
      <c r="C10" s="478">
        <f>transport!C54</f>
        <v>0</v>
      </c>
      <c r="D10" s="478">
        <f>transport!D54</f>
        <v>0</v>
      </c>
      <c r="E10" s="478">
        <f>transport!E54</f>
        <v>0</v>
      </c>
      <c r="F10" s="478">
        <f>transport!F54</f>
        <v>0</v>
      </c>
      <c r="G10" s="478">
        <f>transport!G54</f>
        <v>1833.0603033839263</v>
      </c>
      <c r="H10" s="478">
        <f>transport!H54</f>
        <v>0</v>
      </c>
      <c r="I10" s="478">
        <f>transport!I54</f>
        <v>0</v>
      </c>
      <c r="J10" s="478">
        <f>transport!J54</f>
        <v>0</v>
      </c>
      <c r="K10" s="478">
        <f>transport!K54</f>
        <v>0</v>
      </c>
      <c r="L10" s="478">
        <f>transport!L54</f>
        <v>0</v>
      </c>
      <c r="M10" s="478">
        <f>transport!M54</f>
        <v>104.53408544253783</v>
      </c>
      <c r="N10" s="478">
        <f>transport!N54</f>
        <v>0</v>
      </c>
      <c r="O10" s="478">
        <f>transport!O54</f>
        <v>0</v>
      </c>
      <c r="P10" s="479">
        <f>transport!P54</f>
        <v>0</v>
      </c>
      <c r="Q10" s="477">
        <f t="shared" si="0"/>
        <v>1937.5943888264642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1188.68</v>
      </c>
      <c r="C14" s="485"/>
      <c r="D14" s="485">
        <f>'SEAP template'!E25</f>
        <v>2877.3612355124096</v>
      </c>
      <c r="E14" s="485"/>
      <c r="F14" s="485"/>
      <c r="G14" s="485"/>
      <c r="H14" s="485"/>
      <c r="I14" s="485"/>
      <c r="J14" s="485"/>
      <c r="K14" s="485"/>
      <c r="L14" s="485"/>
      <c r="M14" s="485"/>
      <c r="N14" s="485"/>
      <c r="O14" s="485"/>
      <c r="P14" s="486"/>
      <c r="Q14" s="477">
        <f t="shared" si="0"/>
        <v>4066.0412355124099</v>
      </c>
    </row>
    <row r="15" spans="1:17" s="487" customFormat="1">
      <c r="A15" s="1051" t="s">
        <v>565</v>
      </c>
      <c r="B15" s="991">
        <f ca="1">SUM(B4:B14)</f>
        <v>233763.10929910321</v>
      </c>
      <c r="C15" s="991">
        <f t="shared" ref="C15:Q15" ca="1" si="1">SUM(C4:C14)</f>
        <v>7515</v>
      </c>
      <c r="D15" s="991">
        <f t="shared" ca="1" si="1"/>
        <v>183278.91462049485</v>
      </c>
      <c r="E15" s="991">
        <f t="shared" si="1"/>
        <v>12584.330743544318</v>
      </c>
      <c r="F15" s="991">
        <f t="shared" ca="1" si="1"/>
        <v>76271.950015156064</v>
      </c>
      <c r="G15" s="991">
        <f t="shared" si="1"/>
        <v>162535.98354405077</v>
      </c>
      <c r="H15" s="991">
        <f t="shared" si="1"/>
        <v>29730.376969916844</v>
      </c>
      <c r="I15" s="991">
        <f t="shared" si="1"/>
        <v>0</v>
      </c>
      <c r="J15" s="991">
        <f t="shared" si="1"/>
        <v>922.25957745569758</v>
      </c>
      <c r="K15" s="991">
        <f t="shared" si="1"/>
        <v>0</v>
      </c>
      <c r="L15" s="991">
        <f t="shared" ca="1" si="1"/>
        <v>0</v>
      </c>
      <c r="M15" s="991">
        <f t="shared" si="1"/>
        <v>10315.677074037956</v>
      </c>
      <c r="N15" s="991">
        <f t="shared" ca="1" si="1"/>
        <v>51073.321557839008</v>
      </c>
      <c r="O15" s="991">
        <f t="shared" si="1"/>
        <v>297.03333333333336</v>
      </c>
      <c r="P15" s="991">
        <f t="shared" si="1"/>
        <v>1620.6666666666665</v>
      </c>
      <c r="Q15" s="991">
        <f t="shared" ca="1" si="1"/>
        <v>769908.62340159877</v>
      </c>
    </row>
    <row r="17" spans="1:17">
      <c r="A17" s="488" t="s">
        <v>566</v>
      </c>
      <c r="B17" s="787">
        <f ca="1">huishoudens!B10</f>
        <v>0.20113443691064231</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8347.0286749428633</v>
      </c>
      <c r="C22" s="478">
        <f t="shared" ref="C22:C32" ca="1" si="3">C4*$C$17</f>
        <v>0</v>
      </c>
      <c r="D22" s="478">
        <f t="shared" ref="D22:D32" si="4">D4*$D$17</f>
        <v>17975.568129720279</v>
      </c>
      <c r="E22" s="478">
        <f t="shared" ref="E22:E32" si="5">E4*$E$17</f>
        <v>1468.7378258264027</v>
      </c>
      <c r="F22" s="478">
        <f t="shared" ref="F22:F32" si="6">F4*$F$17</f>
        <v>10092.229985135702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37883.564615625248</v>
      </c>
    </row>
    <row r="23" spans="1:17">
      <c r="A23" s="477" t="s">
        <v>156</v>
      </c>
      <c r="B23" s="478">
        <f t="shared" ca="1" si="2"/>
        <v>7586.6196741829544</v>
      </c>
      <c r="C23" s="478">
        <f t="shared" ca="1" si="3"/>
        <v>0</v>
      </c>
      <c r="D23" s="478">
        <f t="shared" ca="1" si="4"/>
        <v>6195.2526105075431</v>
      </c>
      <c r="E23" s="478">
        <f t="shared" si="5"/>
        <v>88.316592174683223</v>
      </c>
      <c r="F23" s="478">
        <f t="shared" ca="1" si="6"/>
        <v>1565.2284200551835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15435.417296920365</v>
      </c>
    </row>
    <row r="24" spans="1:17">
      <c r="A24" s="477" t="s">
        <v>194</v>
      </c>
      <c r="B24" s="478">
        <f t="shared" ca="1" si="2"/>
        <v>418.18866450276198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418.18866450276198</v>
      </c>
    </row>
    <row r="25" spans="1:17">
      <c r="A25" s="477" t="s">
        <v>112</v>
      </c>
      <c r="B25" s="478">
        <f t="shared" ca="1" si="2"/>
        <v>690.52408867646091</v>
      </c>
      <c r="C25" s="478">
        <f t="shared" ca="1" si="3"/>
        <v>1785.9176470588238</v>
      </c>
      <c r="D25" s="478">
        <f t="shared" si="4"/>
        <v>0</v>
      </c>
      <c r="E25" s="478">
        <f t="shared" si="5"/>
        <v>7.2184287167280692</v>
      </c>
      <c r="F25" s="478">
        <f t="shared" si="6"/>
        <v>2325.7163034062346</v>
      </c>
      <c r="G25" s="478">
        <f t="shared" si="7"/>
        <v>0</v>
      </c>
      <c r="H25" s="478">
        <f t="shared" si="8"/>
        <v>0</v>
      </c>
      <c r="I25" s="478">
        <f t="shared" si="9"/>
        <v>0</v>
      </c>
      <c r="J25" s="478">
        <f t="shared" si="10"/>
        <v>186.32427119284947</v>
      </c>
      <c r="K25" s="478">
        <f t="shared" si="11"/>
        <v>0</v>
      </c>
      <c r="L25" s="478">
        <f t="shared" si="12"/>
        <v>0</v>
      </c>
      <c r="M25" s="478">
        <f t="shared" si="13"/>
        <v>0</v>
      </c>
      <c r="N25" s="478">
        <f t="shared" si="14"/>
        <v>0</v>
      </c>
      <c r="O25" s="478">
        <f t="shared" si="15"/>
        <v>0</v>
      </c>
      <c r="P25" s="479">
        <f t="shared" si="16"/>
        <v>0</v>
      </c>
      <c r="Q25" s="477">
        <f t="shared" ca="1" si="17"/>
        <v>4995.7007390510971</v>
      </c>
    </row>
    <row r="26" spans="1:17">
      <c r="A26" s="477" t="s">
        <v>650</v>
      </c>
      <c r="B26" s="478">
        <f t="shared" ca="1" si="2"/>
        <v>29730.227614095191</v>
      </c>
      <c r="C26" s="478">
        <f t="shared" ca="1" si="3"/>
        <v>0</v>
      </c>
      <c r="D26" s="478">
        <f t="shared" si="4"/>
        <v>12254.716924488759</v>
      </c>
      <c r="E26" s="478">
        <f t="shared" si="5"/>
        <v>1169.251416496845</v>
      </c>
      <c r="F26" s="478">
        <f t="shared" si="6"/>
        <v>6381.4359454495516</v>
      </c>
      <c r="G26" s="478">
        <f t="shared" si="7"/>
        <v>0</v>
      </c>
      <c r="H26" s="478">
        <f t="shared" si="8"/>
        <v>0</v>
      </c>
      <c r="I26" s="478">
        <f t="shared" si="9"/>
        <v>0</v>
      </c>
      <c r="J26" s="478">
        <f t="shared" si="10"/>
        <v>140.15561922646748</v>
      </c>
      <c r="K26" s="478">
        <f t="shared" si="11"/>
        <v>0</v>
      </c>
      <c r="L26" s="478">
        <f t="shared" si="12"/>
        <v>0</v>
      </c>
      <c r="M26" s="478">
        <f t="shared" si="13"/>
        <v>0</v>
      </c>
      <c r="N26" s="478">
        <f t="shared" si="14"/>
        <v>0</v>
      </c>
      <c r="O26" s="478">
        <f t="shared" si="15"/>
        <v>0</v>
      </c>
      <c r="P26" s="479">
        <f t="shared" si="16"/>
        <v>0</v>
      </c>
      <c r="Q26" s="477">
        <f t="shared" ca="1" si="17"/>
        <v>49675.787519756814</v>
      </c>
    </row>
    <row r="27" spans="1:17" s="483" customFormat="1">
      <c r="A27" s="481" t="s">
        <v>571</v>
      </c>
      <c r="B27" s="781">
        <f t="shared" ca="1" si="2"/>
        <v>6.1381604888851262</v>
      </c>
      <c r="C27" s="482">
        <f t="shared" ca="1" si="3"/>
        <v>0</v>
      </c>
      <c r="D27" s="482">
        <f t="shared" si="4"/>
        <v>15.576119049877708</v>
      </c>
      <c r="E27" s="482">
        <f t="shared" si="5"/>
        <v>123.11881556990134</v>
      </c>
      <c r="F27" s="482">
        <f t="shared" si="6"/>
        <v>0</v>
      </c>
      <c r="G27" s="482">
        <f t="shared" si="7"/>
        <v>42907.680505258053</v>
      </c>
      <c r="H27" s="482">
        <f t="shared" si="8"/>
        <v>7402.8638655092946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50455.377465876009</v>
      </c>
    </row>
    <row r="28" spans="1:17">
      <c r="A28" s="477" t="s">
        <v>561</v>
      </c>
      <c r="B28" s="478">
        <f t="shared" ca="1" si="2"/>
        <v>0</v>
      </c>
      <c r="C28" s="478">
        <f t="shared" ca="1" si="3"/>
        <v>0</v>
      </c>
      <c r="D28" s="478">
        <f t="shared" si="4"/>
        <v>0</v>
      </c>
      <c r="E28" s="478">
        <f t="shared" si="5"/>
        <v>0</v>
      </c>
      <c r="F28" s="478">
        <f t="shared" si="6"/>
        <v>0</v>
      </c>
      <c r="G28" s="478">
        <f t="shared" si="7"/>
        <v>489.42710100350837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489.42710100350837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239.08448246694232</v>
      </c>
      <c r="C32" s="478">
        <f t="shared" ca="1" si="3"/>
        <v>0</v>
      </c>
      <c r="D32" s="478">
        <f t="shared" si="4"/>
        <v>581.22696957350684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820.31145204044913</v>
      </c>
    </row>
    <row r="33" spans="1:17" s="487" customFormat="1">
      <c r="A33" s="1051" t="s">
        <v>565</v>
      </c>
      <c r="B33" s="991">
        <f ca="1">SUM(B22:B32)</f>
        <v>47017.811359356063</v>
      </c>
      <c r="C33" s="991">
        <f t="shared" ref="C33:Q33" ca="1" si="18">SUM(C22:C32)</f>
        <v>1785.9176470588238</v>
      </c>
      <c r="D33" s="991">
        <f t="shared" ca="1" si="18"/>
        <v>37022.340753339966</v>
      </c>
      <c r="E33" s="991">
        <f t="shared" si="18"/>
        <v>2856.6430787845607</v>
      </c>
      <c r="F33" s="991">
        <f t="shared" ca="1" si="18"/>
        <v>20364.610654046672</v>
      </c>
      <c r="G33" s="991">
        <f t="shared" si="18"/>
        <v>43397.107606261561</v>
      </c>
      <c r="H33" s="991">
        <f t="shared" si="18"/>
        <v>7402.8638655092946</v>
      </c>
      <c r="I33" s="991">
        <f t="shared" si="18"/>
        <v>0</v>
      </c>
      <c r="J33" s="991">
        <f t="shared" si="18"/>
        <v>326.47989041931692</v>
      </c>
      <c r="K33" s="991">
        <f t="shared" si="18"/>
        <v>0</v>
      </c>
      <c r="L33" s="991">
        <f t="shared" ca="1" si="18"/>
        <v>0</v>
      </c>
      <c r="M33" s="991">
        <f t="shared" si="18"/>
        <v>0</v>
      </c>
      <c r="N33" s="991">
        <f t="shared" ca="1" si="18"/>
        <v>0</v>
      </c>
      <c r="O33" s="991">
        <f t="shared" si="18"/>
        <v>0</v>
      </c>
      <c r="P33" s="991">
        <f t="shared" si="18"/>
        <v>0</v>
      </c>
      <c r="Q33" s="991">
        <f t="shared" ca="1" si="18"/>
        <v>160173.77485477625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7182.9565746698572</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14226.127808528905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5260.5</v>
      </c>
      <c r="D8" s="1068">
        <f>'SEAP template'!D76</f>
        <v>6188.8235294117649</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1250.1423529411766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21409.084383198762</v>
      </c>
      <c r="C10" s="1072">
        <f>SUM(C4:C9)</f>
        <v>5260.5</v>
      </c>
      <c r="D10" s="1072">
        <f t="shared" ref="D10:H10" si="0">SUM(D8:D9)</f>
        <v>6188.8235294117649</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1250.1423529411766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0.20113443691064231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7515</v>
      </c>
      <c r="D17" s="1069">
        <f>'SEAP template'!D87</f>
        <v>8841.176470588236</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1785.9176470588238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7515</v>
      </c>
      <c r="D20" s="1072">
        <f t="shared" ref="D20:H20" si="2">SUM(D17:D19)</f>
        <v>8841.176470588236</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1785.9176470588238</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0.20113443691064231</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3</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4.6900000000000004</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0.20113443691064231</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0.20113443691064231</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10038</v>
      </c>
      <c r="C9" s="342">
        <v>10920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2232</v>
      </c>
    </row>
    <row r="15" spans="1:6">
      <c r="A15" s="348" t="s">
        <v>184</v>
      </c>
      <c r="B15" s="334">
        <v>3099</v>
      </c>
    </row>
    <row r="16" spans="1:6">
      <c r="A16" s="348" t="s">
        <v>6</v>
      </c>
      <c r="B16" s="334">
        <v>1485</v>
      </c>
    </row>
    <row r="17" spans="1:6">
      <c r="A17" s="348" t="s">
        <v>7</v>
      </c>
      <c r="B17" s="334">
        <v>189</v>
      </c>
    </row>
    <row r="18" spans="1:6">
      <c r="A18" s="348" t="s">
        <v>8</v>
      </c>
      <c r="B18" s="334">
        <v>887</v>
      </c>
    </row>
    <row r="19" spans="1:6">
      <c r="A19" s="348" t="s">
        <v>9</v>
      </c>
      <c r="B19" s="334">
        <v>854</v>
      </c>
    </row>
    <row r="20" spans="1:6">
      <c r="A20" s="348" t="s">
        <v>10</v>
      </c>
      <c r="B20" s="334">
        <v>900</v>
      </c>
    </row>
    <row r="21" spans="1:6">
      <c r="A21" s="348" t="s">
        <v>11</v>
      </c>
      <c r="B21" s="334">
        <v>1340</v>
      </c>
    </row>
    <row r="22" spans="1:6">
      <c r="A22" s="348" t="s">
        <v>12</v>
      </c>
      <c r="B22" s="334">
        <v>2938</v>
      </c>
    </row>
    <row r="23" spans="1:6">
      <c r="A23" s="348" t="s">
        <v>13</v>
      </c>
      <c r="B23" s="334">
        <v>97</v>
      </c>
    </row>
    <row r="24" spans="1:6">
      <c r="A24" s="348" t="s">
        <v>14</v>
      </c>
      <c r="B24" s="334">
        <v>0</v>
      </c>
    </row>
    <row r="25" spans="1:6">
      <c r="A25" s="348" t="s">
        <v>15</v>
      </c>
      <c r="B25" s="334">
        <v>322</v>
      </c>
    </row>
    <row r="26" spans="1:6">
      <c r="A26" s="348" t="s">
        <v>16</v>
      </c>
      <c r="B26" s="334">
        <v>130</v>
      </c>
    </row>
    <row r="27" spans="1:6">
      <c r="A27" s="348" t="s">
        <v>17</v>
      </c>
      <c r="B27" s="334">
        <v>4</v>
      </c>
    </row>
    <row r="28" spans="1:6" s="356" customFormat="1">
      <c r="A28" s="355" t="s">
        <v>18</v>
      </c>
      <c r="B28" s="355">
        <v>5888</v>
      </c>
    </row>
    <row r="29" spans="1:6">
      <c r="A29" s="355" t="s">
        <v>901</v>
      </c>
      <c r="B29" s="355">
        <v>260</v>
      </c>
      <c r="C29" s="356"/>
      <c r="D29" s="356"/>
      <c r="E29" s="356"/>
      <c r="F29" s="356"/>
    </row>
    <row r="30" spans="1:6">
      <c r="A30" s="341" t="s">
        <v>902</v>
      </c>
      <c r="B30" s="341">
        <v>59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498532.74834366498</v>
      </c>
      <c r="E36" s="334">
        <v>3</v>
      </c>
      <c r="F36" s="334">
        <v>6597</v>
      </c>
    </row>
    <row r="37" spans="1:6">
      <c r="A37" s="348" t="s">
        <v>25</v>
      </c>
      <c r="B37" s="348" t="s">
        <v>28</v>
      </c>
      <c r="C37" s="334">
        <v>0</v>
      </c>
      <c r="D37" s="334">
        <v>0</v>
      </c>
      <c r="E37" s="334">
        <v>0</v>
      </c>
      <c r="F37" s="334">
        <v>0</v>
      </c>
    </row>
    <row r="38" spans="1:6">
      <c r="A38" s="348" t="s">
        <v>25</v>
      </c>
      <c r="B38" s="348" t="s">
        <v>29</v>
      </c>
      <c r="C38" s="334">
        <v>0</v>
      </c>
      <c r="D38" s="334">
        <v>0</v>
      </c>
      <c r="E38" s="334">
        <v>2</v>
      </c>
      <c r="F38" s="334">
        <v>5867.518</v>
      </c>
    </row>
    <row r="39" spans="1:6">
      <c r="A39" s="348" t="s">
        <v>30</v>
      </c>
      <c r="B39" s="348" t="s">
        <v>31</v>
      </c>
      <c r="C39" s="334">
        <v>6335</v>
      </c>
      <c r="D39" s="334">
        <v>98641605.992143705</v>
      </c>
      <c r="E39" s="334">
        <v>9966</v>
      </c>
      <c r="F39" s="334">
        <v>35366549</v>
      </c>
    </row>
    <row r="40" spans="1:6">
      <c r="A40" s="348" t="s">
        <v>30</v>
      </c>
      <c r="B40" s="348" t="s">
        <v>29</v>
      </c>
      <c r="C40" s="334">
        <v>1</v>
      </c>
      <c r="D40" s="334">
        <v>14670.103442986099</v>
      </c>
      <c r="E40" s="334">
        <v>1</v>
      </c>
      <c r="F40" s="334">
        <v>1751.895</v>
      </c>
    </row>
    <row r="41" spans="1:6">
      <c r="A41" s="348" t="s">
        <v>32</v>
      </c>
      <c r="B41" s="348" t="s">
        <v>33</v>
      </c>
      <c r="C41" s="334">
        <v>54</v>
      </c>
      <c r="D41" s="334">
        <v>1181109.5251807901</v>
      </c>
      <c r="E41" s="334">
        <v>134</v>
      </c>
      <c r="F41" s="334">
        <v>1352671</v>
      </c>
    </row>
    <row r="42" spans="1:6">
      <c r="A42" s="348" t="s">
        <v>32</v>
      </c>
      <c r="B42" s="348" t="s">
        <v>34</v>
      </c>
      <c r="C42" s="334">
        <v>0</v>
      </c>
      <c r="D42" s="334">
        <v>0</v>
      </c>
      <c r="E42" s="334">
        <v>6</v>
      </c>
      <c r="F42" s="334">
        <v>55640134</v>
      </c>
    </row>
    <row r="43" spans="1:6">
      <c r="A43" s="348" t="s">
        <v>32</v>
      </c>
      <c r="B43" s="348" t="s">
        <v>35</v>
      </c>
      <c r="C43" s="334">
        <v>0</v>
      </c>
      <c r="D43" s="334">
        <v>0</v>
      </c>
      <c r="E43" s="334">
        <v>0</v>
      </c>
      <c r="F43" s="334">
        <v>0</v>
      </c>
    </row>
    <row r="44" spans="1:6">
      <c r="A44" s="348" t="s">
        <v>32</v>
      </c>
      <c r="B44" s="348" t="s">
        <v>36</v>
      </c>
      <c r="C44" s="334">
        <v>3</v>
      </c>
      <c r="D44" s="334">
        <v>91555.289418456305</v>
      </c>
      <c r="E44" s="334">
        <v>22</v>
      </c>
      <c r="F44" s="334">
        <v>521544.6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48741.094372439897</v>
      </c>
      <c r="E47" s="334">
        <v>3</v>
      </c>
      <c r="F47" s="334">
        <v>21567.06</v>
      </c>
    </row>
    <row r="48" spans="1:6">
      <c r="A48" s="348" t="s">
        <v>32</v>
      </c>
      <c r="B48" s="348" t="s">
        <v>29</v>
      </c>
      <c r="C48" s="334">
        <v>39</v>
      </c>
      <c r="D48" s="334">
        <v>65434311.5476209</v>
      </c>
      <c r="E48" s="334">
        <v>42</v>
      </c>
      <c r="F48" s="334">
        <v>89406455</v>
      </c>
    </row>
    <row r="49" spans="1:6">
      <c r="A49" s="348" t="s">
        <v>32</v>
      </c>
      <c r="B49" s="348" t="s">
        <v>40</v>
      </c>
      <c r="C49" s="334">
        <v>0</v>
      </c>
      <c r="D49" s="334">
        <v>0</v>
      </c>
      <c r="E49" s="334">
        <v>0</v>
      </c>
      <c r="F49" s="334">
        <v>0</v>
      </c>
    </row>
    <row r="50" spans="1:6">
      <c r="A50" s="348" t="s">
        <v>32</v>
      </c>
      <c r="B50" s="348" t="s">
        <v>41</v>
      </c>
      <c r="C50" s="334">
        <v>10</v>
      </c>
      <c r="D50" s="334">
        <v>502503.68283770798</v>
      </c>
      <c r="E50" s="334">
        <v>18</v>
      </c>
      <c r="F50" s="334">
        <v>870345.4</v>
      </c>
    </row>
    <row r="51" spans="1:6">
      <c r="A51" s="348" t="s">
        <v>42</v>
      </c>
      <c r="B51" s="348" t="s">
        <v>43</v>
      </c>
      <c r="C51" s="334">
        <v>0</v>
      </c>
      <c r="D51" s="334">
        <v>0</v>
      </c>
      <c r="E51" s="334">
        <v>67</v>
      </c>
      <c r="F51" s="334">
        <v>1250776</v>
      </c>
    </row>
    <row r="52" spans="1:6">
      <c r="A52" s="348" t="s">
        <v>42</v>
      </c>
      <c r="B52" s="348" t="s">
        <v>29</v>
      </c>
      <c r="C52" s="334">
        <v>8</v>
      </c>
      <c r="D52" s="334">
        <v>14798273.140031001</v>
      </c>
      <c r="E52" s="334">
        <v>6</v>
      </c>
      <c r="F52" s="334">
        <v>2182371</v>
      </c>
    </row>
    <row r="53" spans="1:6">
      <c r="A53" s="348" t="s">
        <v>44</v>
      </c>
      <c r="B53" s="348" t="s">
        <v>45</v>
      </c>
      <c r="C53" s="334">
        <v>128</v>
      </c>
      <c r="D53" s="334">
        <v>2877361.2355124098</v>
      </c>
      <c r="E53" s="334">
        <v>297</v>
      </c>
      <c r="F53" s="334">
        <v>1188680</v>
      </c>
    </row>
    <row r="54" spans="1:6">
      <c r="A54" s="348" t="s">
        <v>46</v>
      </c>
      <c r="B54" s="348" t="s">
        <v>47</v>
      </c>
      <c r="C54" s="334">
        <v>0</v>
      </c>
      <c r="D54" s="334">
        <v>0</v>
      </c>
      <c r="E54" s="334">
        <v>1</v>
      </c>
      <c r="F54" s="334">
        <v>2079150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89</v>
      </c>
      <c r="D57" s="334">
        <v>7726794.1951384302</v>
      </c>
      <c r="E57" s="334">
        <v>173</v>
      </c>
      <c r="F57" s="334">
        <v>6266178</v>
      </c>
    </row>
    <row r="58" spans="1:6">
      <c r="A58" s="348" t="s">
        <v>49</v>
      </c>
      <c r="B58" s="348" t="s">
        <v>51</v>
      </c>
      <c r="C58" s="334">
        <v>29</v>
      </c>
      <c r="D58" s="334">
        <v>722727.53712813498</v>
      </c>
      <c r="E58" s="334">
        <v>48</v>
      </c>
      <c r="F58" s="334">
        <v>423836.3</v>
      </c>
    </row>
    <row r="59" spans="1:6">
      <c r="A59" s="348" t="s">
        <v>49</v>
      </c>
      <c r="B59" s="348" t="s">
        <v>52</v>
      </c>
      <c r="C59" s="334">
        <v>106</v>
      </c>
      <c r="D59" s="334">
        <v>5303967.5368630001</v>
      </c>
      <c r="E59" s="334">
        <v>218</v>
      </c>
      <c r="F59" s="334">
        <v>12862894</v>
      </c>
    </row>
    <row r="60" spans="1:6">
      <c r="A60" s="348" t="s">
        <v>49</v>
      </c>
      <c r="B60" s="348" t="s">
        <v>53</v>
      </c>
      <c r="C60" s="334">
        <v>74</v>
      </c>
      <c r="D60" s="334">
        <v>3093352.6187954</v>
      </c>
      <c r="E60" s="334">
        <v>105</v>
      </c>
      <c r="F60" s="334">
        <v>3794784</v>
      </c>
    </row>
    <row r="61" spans="1:6">
      <c r="A61" s="348" t="s">
        <v>49</v>
      </c>
      <c r="B61" s="348" t="s">
        <v>54</v>
      </c>
      <c r="C61" s="334">
        <v>163</v>
      </c>
      <c r="D61" s="334">
        <v>6750900.1396633796</v>
      </c>
      <c r="E61" s="334">
        <v>302</v>
      </c>
      <c r="F61" s="334">
        <v>8545364</v>
      </c>
    </row>
    <row r="62" spans="1:6">
      <c r="A62" s="348" t="s">
        <v>49</v>
      </c>
      <c r="B62" s="348" t="s">
        <v>55</v>
      </c>
      <c r="C62" s="334">
        <v>14</v>
      </c>
      <c r="D62" s="334">
        <v>3126692.6296577901</v>
      </c>
      <c r="E62" s="334">
        <v>17</v>
      </c>
      <c r="F62" s="334">
        <v>914553.1</v>
      </c>
    </row>
    <row r="63" spans="1:6">
      <c r="A63" s="348" t="s">
        <v>49</v>
      </c>
      <c r="B63" s="348" t="s">
        <v>29</v>
      </c>
      <c r="C63" s="334">
        <v>103</v>
      </c>
      <c r="D63" s="334">
        <v>7277303.0132086501</v>
      </c>
      <c r="E63" s="334">
        <v>106</v>
      </c>
      <c r="F63" s="334">
        <v>4911539</v>
      </c>
    </row>
    <row r="64" spans="1:6">
      <c r="A64" s="348" t="s">
        <v>56</v>
      </c>
      <c r="B64" s="348" t="s">
        <v>57</v>
      </c>
      <c r="C64" s="334">
        <v>0</v>
      </c>
      <c r="D64" s="334">
        <v>0</v>
      </c>
      <c r="E64" s="334">
        <v>0</v>
      </c>
      <c r="F64" s="334">
        <v>0</v>
      </c>
    </row>
    <row r="65" spans="1:6">
      <c r="A65" s="348" t="s">
        <v>56</v>
      </c>
      <c r="B65" s="348" t="s">
        <v>29</v>
      </c>
      <c r="C65" s="334">
        <v>1</v>
      </c>
      <c r="D65" s="334">
        <v>17659.606371362999</v>
      </c>
      <c r="E65" s="334">
        <v>4</v>
      </c>
      <c r="F65" s="334">
        <v>20580.09</v>
      </c>
    </row>
    <row r="66" spans="1:6">
      <c r="A66" s="348" t="s">
        <v>56</v>
      </c>
      <c r="B66" s="348" t="s">
        <v>58</v>
      </c>
      <c r="C66" s="334">
        <v>0</v>
      </c>
      <c r="D66" s="334">
        <v>0</v>
      </c>
      <c r="E66" s="334">
        <v>12</v>
      </c>
      <c r="F66" s="334">
        <v>401464.3</v>
      </c>
    </row>
    <row r="67" spans="1:6">
      <c r="A67" s="355" t="s">
        <v>56</v>
      </c>
      <c r="B67" s="355" t="s">
        <v>59</v>
      </c>
      <c r="C67" s="334">
        <v>0</v>
      </c>
      <c r="D67" s="334">
        <v>0</v>
      </c>
      <c r="E67" s="334">
        <v>0</v>
      </c>
      <c r="F67" s="334">
        <v>0</v>
      </c>
    </row>
    <row r="68" spans="1:6">
      <c r="A68" s="341" t="s">
        <v>56</v>
      </c>
      <c r="B68" s="341" t="s">
        <v>60</v>
      </c>
      <c r="C68" s="334">
        <v>7</v>
      </c>
      <c r="D68" s="334">
        <v>617671.90315222496</v>
      </c>
      <c r="E68" s="334">
        <v>19</v>
      </c>
      <c r="F68" s="334">
        <v>438538.6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114739390</v>
      </c>
      <c r="E73" s="476">
        <v>118904923.43830317</v>
      </c>
    </row>
    <row r="74" spans="1:6">
      <c r="A74" s="348" t="s">
        <v>64</v>
      </c>
      <c r="B74" s="348" t="s">
        <v>714</v>
      </c>
      <c r="C74" s="1311" t="s">
        <v>716</v>
      </c>
      <c r="D74" s="476">
        <v>6957782.2600581236</v>
      </c>
      <c r="E74" s="476">
        <v>7303349.462272957</v>
      </c>
    </row>
    <row r="75" spans="1:6">
      <c r="A75" s="348" t="s">
        <v>65</v>
      </c>
      <c r="B75" s="348" t="s">
        <v>713</v>
      </c>
      <c r="C75" s="1311" t="s">
        <v>717</v>
      </c>
      <c r="D75" s="476">
        <v>21282052</v>
      </c>
      <c r="E75" s="476">
        <v>21904726.381910879</v>
      </c>
    </row>
    <row r="76" spans="1:6">
      <c r="A76" s="348" t="s">
        <v>65</v>
      </c>
      <c r="B76" s="348" t="s">
        <v>714</v>
      </c>
      <c r="C76" s="1311" t="s">
        <v>718</v>
      </c>
      <c r="D76" s="476">
        <v>299386.26005812339</v>
      </c>
      <c r="E76" s="476">
        <v>324824.66770712979</v>
      </c>
    </row>
    <row r="77" spans="1:6">
      <c r="A77" s="348" t="s">
        <v>66</v>
      </c>
      <c r="B77" s="348" t="s">
        <v>713</v>
      </c>
      <c r="C77" s="1311" t="s">
        <v>719</v>
      </c>
      <c r="D77" s="476">
        <v>86648506</v>
      </c>
      <c r="E77" s="476">
        <v>94161136.061220318</v>
      </c>
    </row>
    <row r="78" spans="1:6">
      <c r="A78" s="341" t="s">
        <v>66</v>
      </c>
      <c r="B78" s="341" t="s">
        <v>714</v>
      </c>
      <c r="C78" s="341" t="s">
        <v>720</v>
      </c>
      <c r="D78" s="1307">
        <v>14072224</v>
      </c>
      <c r="E78" s="1307">
        <v>16001571.174169973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517771.47988375323</v>
      </c>
      <c r="C83" s="476">
        <v>511905.08578499837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7182.9565746698572</v>
      </c>
    </row>
    <row r="91" spans="1:6">
      <c r="A91" s="348" t="s">
        <v>68</v>
      </c>
      <c r="B91" s="334">
        <v>6131.4482436876933</v>
      </c>
    </row>
    <row r="92" spans="1:6">
      <c r="A92" s="341" t="s">
        <v>69</v>
      </c>
      <c r="B92" s="342">
        <v>8094.6795648412108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3611</v>
      </c>
    </row>
    <row r="98" spans="1:6">
      <c r="A98" s="348" t="s">
        <v>72</v>
      </c>
      <c r="B98" s="334">
        <v>8</v>
      </c>
    </row>
    <row r="99" spans="1:6">
      <c r="A99" s="348" t="s">
        <v>73</v>
      </c>
      <c r="B99" s="334">
        <v>95</v>
      </c>
    </row>
    <row r="100" spans="1:6">
      <c r="A100" s="348" t="s">
        <v>74</v>
      </c>
      <c r="B100" s="334">
        <v>255</v>
      </c>
    </row>
    <row r="101" spans="1:6">
      <c r="A101" s="348" t="s">
        <v>75</v>
      </c>
      <c r="B101" s="334">
        <v>106</v>
      </c>
    </row>
    <row r="102" spans="1:6">
      <c r="A102" s="348" t="s">
        <v>76</v>
      </c>
      <c r="B102" s="334">
        <v>81</v>
      </c>
    </row>
    <row r="103" spans="1:6">
      <c r="A103" s="348" t="s">
        <v>77</v>
      </c>
      <c r="B103" s="334">
        <v>196</v>
      </c>
    </row>
    <row r="104" spans="1:6">
      <c r="A104" s="348" t="s">
        <v>78</v>
      </c>
      <c r="B104" s="334">
        <v>3988</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25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4</v>
      </c>
    </row>
    <row r="131" spans="1:6">
      <c r="A131" s="348" t="s">
        <v>296</v>
      </c>
      <c r="B131" s="334">
        <v>0</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233763.10929910323</v>
      </c>
      <c r="C3" s="43" t="s">
        <v>170</v>
      </c>
      <c r="D3" s="43"/>
      <c r="E3" s="154"/>
      <c r="F3" s="43"/>
      <c r="G3" s="43"/>
      <c r="H3" s="43"/>
      <c r="I3" s="43"/>
      <c r="J3" s="43"/>
      <c r="K3" s="96"/>
    </row>
    <row r="4" spans="1:11">
      <c r="A4" s="384" t="s">
        <v>171</v>
      </c>
      <c r="B4" s="49">
        <f>IF(ISERROR('SEAP template'!B78+'SEAP template'!C78),0,'SEAP template'!B78+'SEAP template'!C78)</f>
        <v>26669.584383198762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1250.1423529411766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0.20113443691064231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1785.9176470588238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7515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2079.15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2079.15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0.20113443691064231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418.18866450276198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35368.300895</v>
      </c>
      <c r="C5" s="17">
        <f>IF(ISERROR('Eigen informatie GS &amp; warmtenet'!B57),0,'Eigen informatie GS &amp; warmtenet'!B57)</f>
        <v>0</v>
      </c>
      <c r="D5" s="30">
        <f>(SUM(HH_hh_gas_kWh,HH_rest_gas_kWh)/1000)*0.902</f>
        <v>88987.96103821919</v>
      </c>
      <c r="E5" s="17">
        <f>B46*B57</f>
        <v>6470.2106864599236</v>
      </c>
      <c r="F5" s="17">
        <f>B51*B62</f>
        <v>37798.614176538205</v>
      </c>
      <c r="G5" s="18"/>
      <c r="H5" s="17"/>
      <c r="I5" s="17"/>
      <c r="J5" s="17">
        <f>B50*B61+C50*C61</f>
        <v>0</v>
      </c>
      <c r="K5" s="17"/>
      <c r="L5" s="17"/>
      <c r="M5" s="17"/>
      <c r="N5" s="17">
        <f>B48*B59+C48*C59</f>
        <v>27377.820337312551</v>
      </c>
      <c r="O5" s="17">
        <f>B69*B70*B71</f>
        <v>290.78000000000003</v>
      </c>
      <c r="P5" s="17">
        <f>B77*B78*B79/1000-B77*B78*B79/1000/B80</f>
        <v>1620.6666666666665</v>
      </c>
    </row>
    <row r="6" spans="1:16">
      <c r="A6" s="16" t="s">
        <v>631</v>
      </c>
      <c r="B6" s="789">
        <f>kWh_PV_kleiner_dan_10kW</f>
        <v>6131.4482436876933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41499.749138687694</v>
      </c>
      <c r="C8" s="21">
        <f>C5</f>
        <v>0</v>
      </c>
      <c r="D8" s="21">
        <f>D5</f>
        <v>88987.96103821919</v>
      </c>
      <c r="E8" s="21">
        <f>E5</f>
        <v>6470.2106864599236</v>
      </c>
      <c r="F8" s="21">
        <f>F5</f>
        <v>37798.614176538205</v>
      </c>
      <c r="G8" s="21"/>
      <c r="H8" s="21"/>
      <c r="I8" s="21"/>
      <c r="J8" s="21">
        <f>J5</f>
        <v>0</v>
      </c>
      <c r="K8" s="21"/>
      <c r="L8" s="21">
        <f>L5</f>
        <v>0</v>
      </c>
      <c r="M8" s="21">
        <f>M5</f>
        <v>0</v>
      </c>
      <c r="N8" s="21">
        <f>N5</f>
        <v>27377.820337312551</v>
      </c>
      <c r="O8" s="21">
        <f>O5</f>
        <v>290.78000000000003</v>
      </c>
      <c r="P8" s="21">
        <f>P5</f>
        <v>1620.6666666666665</v>
      </c>
    </row>
    <row r="9" spans="1:16">
      <c r="B9" s="19"/>
      <c r="C9" s="19"/>
      <c r="D9" s="258"/>
      <c r="E9" s="19"/>
      <c r="F9" s="19"/>
      <c r="G9" s="19"/>
      <c r="H9" s="19"/>
      <c r="I9" s="19"/>
      <c r="J9" s="19"/>
      <c r="K9" s="19"/>
      <c r="L9" s="19"/>
      <c r="M9" s="19"/>
      <c r="N9" s="19"/>
      <c r="O9" s="19"/>
      <c r="P9" s="19"/>
    </row>
    <row r="10" spans="1:16">
      <c r="A10" s="24" t="s">
        <v>214</v>
      </c>
      <c r="B10" s="25">
        <f ca="1">'EF ele_warmte'!B12</f>
        <v>0.20113443691064231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8347.0286749428633</v>
      </c>
      <c r="C12" s="23">
        <f ca="1">C10*C8</f>
        <v>0</v>
      </c>
      <c r="D12" s="23">
        <f>D8*D10</f>
        <v>17975.568129720279</v>
      </c>
      <c r="E12" s="23">
        <f>E10*E8</f>
        <v>1468.7378258264027</v>
      </c>
      <c r="F12" s="23">
        <f>F10*F8</f>
        <v>10092.229985135702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3611</v>
      </c>
      <c r="C18" s="166" t="s">
        <v>111</v>
      </c>
      <c r="D18" s="228"/>
      <c r="E18" s="15"/>
    </row>
    <row r="19" spans="1:7">
      <c r="A19" s="171" t="s">
        <v>72</v>
      </c>
      <c r="B19" s="37">
        <f>aantalw2001_ander</f>
        <v>8</v>
      </c>
      <c r="C19" s="166" t="s">
        <v>111</v>
      </c>
      <c r="D19" s="229"/>
      <c r="E19" s="15"/>
    </row>
    <row r="20" spans="1:7">
      <c r="A20" s="171" t="s">
        <v>73</v>
      </c>
      <c r="B20" s="37">
        <f>aantalw2001_propaan</f>
        <v>95</v>
      </c>
      <c r="C20" s="167">
        <f>IF(ISERROR(B20/SUM($B$20,$B$21,$B$22)*100),0,B20/SUM($B$20,$B$21,$B$22)*100)</f>
        <v>20.833333333333336</v>
      </c>
      <c r="D20" s="229"/>
      <c r="E20" s="15"/>
    </row>
    <row r="21" spans="1:7">
      <c r="A21" s="171" t="s">
        <v>74</v>
      </c>
      <c r="B21" s="37">
        <f>aantalw2001_elektriciteit</f>
        <v>255</v>
      </c>
      <c r="C21" s="167">
        <f>IF(ISERROR(B21/SUM($B$20,$B$21,$B$22)*100),0,B21/SUM($B$20,$B$21,$B$22)*100)</f>
        <v>55.921052631578952</v>
      </c>
      <c r="D21" s="229"/>
      <c r="E21" s="15"/>
    </row>
    <row r="22" spans="1:7">
      <c r="A22" s="171" t="s">
        <v>75</v>
      </c>
      <c r="B22" s="37">
        <f>aantalw2001_hout</f>
        <v>106</v>
      </c>
      <c r="C22" s="167">
        <f>IF(ISERROR(B22/SUM($B$20,$B$21,$B$22)*100),0,B22/SUM($B$20,$B$21,$B$22)*100)</f>
        <v>23.245614035087719</v>
      </c>
      <c r="D22" s="229"/>
      <c r="E22" s="15"/>
    </row>
    <row r="23" spans="1:7">
      <c r="A23" s="171" t="s">
        <v>76</v>
      </c>
      <c r="B23" s="37">
        <f>aantalw2001_niet_gespec</f>
        <v>81</v>
      </c>
      <c r="C23" s="166" t="s">
        <v>111</v>
      </c>
      <c r="D23" s="228"/>
      <c r="E23" s="15"/>
    </row>
    <row r="24" spans="1:7">
      <c r="A24" s="171" t="s">
        <v>77</v>
      </c>
      <c r="B24" s="37">
        <f>aantalw2001_steenkool</f>
        <v>196</v>
      </c>
      <c r="C24" s="166" t="s">
        <v>111</v>
      </c>
      <c r="D24" s="229"/>
      <c r="E24" s="15"/>
    </row>
    <row r="25" spans="1:7">
      <c r="A25" s="171" t="s">
        <v>78</v>
      </c>
      <c r="B25" s="37">
        <f>aantalw2001_stookolie</f>
        <v>3988</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10038</v>
      </c>
      <c r="C28" s="36"/>
      <c r="D28" s="228"/>
    </row>
    <row r="29" spans="1:7" s="15" customFormat="1">
      <c r="A29" s="230" t="s">
        <v>741</v>
      </c>
      <c r="B29" s="37">
        <f>SUM(HH_hh_gas_aantal,HH_rest_gas_aantal)</f>
        <v>6336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6336</v>
      </c>
      <c r="C32" s="167">
        <f>IF(ISERROR(B32/SUM($B$32,$B$34,$B$35,$B$36,$B$38,$B$39)*100),0,B32/SUM($B$32,$B$34,$B$35,$B$36,$B$38,$B$39)*100)</f>
        <v>63.65919823168894</v>
      </c>
      <c r="D32" s="233"/>
      <c r="G32" s="15"/>
    </row>
    <row r="33" spans="1:7">
      <c r="A33" s="171" t="s">
        <v>72</v>
      </c>
      <c r="B33" s="34" t="s">
        <v>111</v>
      </c>
      <c r="C33" s="167"/>
      <c r="D33" s="233"/>
      <c r="G33" s="15"/>
    </row>
    <row r="34" spans="1:7">
      <c r="A34" s="171" t="s">
        <v>73</v>
      </c>
      <c r="B34" s="33">
        <f>IF((($B$28-$B$32-$B$39-$B$77-$B$38)*C20/100)&lt;0,0,($B$28-$B$32-$B$39-$B$77-$B$38)*C20/100)</f>
        <v>433.64583333333337</v>
      </c>
      <c r="C34" s="167">
        <f>IF(ISERROR(B34/SUM($B$32,$B$34,$B$35,$B$36,$B$38,$B$39)*100),0,B34/SUM($B$32,$B$34,$B$35,$B$36,$B$38,$B$39)*100)</f>
        <v>4.3569359322147427</v>
      </c>
      <c r="D34" s="233"/>
      <c r="G34" s="15"/>
    </row>
    <row r="35" spans="1:7">
      <c r="A35" s="171" t="s">
        <v>74</v>
      </c>
      <c r="B35" s="33">
        <f>IF((($B$28-$B$32-$B$39-$B$77-$B$38)*C21/100)&lt;0,0,($B$28-$B$32-$B$39-$B$77-$B$38)*C21/100)</f>
        <v>1163.9967105263158</v>
      </c>
      <c r="C35" s="167">
        <f>IF(ISERROR(B35/SUM($B$32,$B$34,$B$35,$B$36,$B$38,$B$39)*100),0,B35/SUM($B$32,$B$34,$B$35,$B$36,$B$38,$B$39)*100)</f>
        <v>11.694933291734309</v>
      </c>
      <c r="D35" s="233"/>
      <c r="G35" s="15"/>
    </row>
    <row r="36" spans="1:7">
      <c r="A36" s="171" t="s">
        <v>75</v>
      </c>
      <c r="B36" s="33">
        <f>IF((($B$28-$B$32-$B$39-$B$77-$B$38)*C22/100)&lt;0,0,($B$28-$B$32-$B$39-$B$77-$B$38)*C22/100)</f>
        <v>483.85745614035085</v>
      </c>
      <c r="C36" s="167">
        <f>IF(ISERROR(B36/SUM($B$32,$B$34,$B$35,$B$36,$B$38,$B$39)*100),0,B36/SUM($B$32,$B$34,$B$35,$B$36,$B$38,$B$39)*100)</f>
        <v>4.8614232506817121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1535.5</v>
      </c>
      <c r="C39" s="167">
        <f>IF(ISERROR(B39/SUM($B$32,$B$34,$B$35,$B$36,$B$38,$B$39)*100),0,B39/SUM($B$32,$B$34,$B$35,$B$36,$B$38,$B$39)*100)</f>
        <v>15.427509293680297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6336</v>
      </c>
      <c r="C44" s="34" t="s">
        <v>111</v>
      </c>
      <c r="D44" s="174"/>
    </row>
    <row r="45" spans="1:7">
      <c r="A45" s="171" t="s">
        <v>72</v>
      </c>
      <c r="B45" s="33" t="str">
        <f t="shared" si="0"/>
        <v>-</v>
      </c>
      <c r="C45" s="34" t="s">
        <v>111</v>
      </c>
      <c r="D45" s="174"/>
    </row>
    <row r="46" spans="1:7">
      <c r="A46" s="171" t="s">
        <v>73</v>
      </c>
      <c r="B46" s="33">
        <f t="shared" si="0"/>
        <v>433.64583333333337</v>
      </c>
      <c r="C46" s="34" t="s">
        <v>111</v>
      </c>
      <c r="D46" s="174"/>
    </row>
    <row r="47" spans="1:7">
      <c r="A47" s="171" t="s">
        <v>74</v>
      </c>
      <c r="B47" s="33">
        <f t="shared" si="0"/>
        <v>1163.9967105263158</v>
      </c>
      <c r="C47" s="34" t="s">
        <v>111</v>
      </c>
      <c r="D47" s="174"/>
    </row>
    <row r="48" spans="1:7">
      <c r="A48" s="171" t="s">
        <v>75</v>
      </c>
      <c r="B48" s="33">
        <f t="shared" si="0"/>
        <v>483.85745614035085</v>
      </c>
      <c r="C48" s="33">
        <f>B48*10</f>
        <v>4838.5745614035086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1535.5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37719.148399999998</v>
      </c>
      <c r="C5" s="17">
        <f>IF(ISERROR('Eigen informatie GS &amp; warmtenet'!B58),0,'Eigen informatie GS &amp; warmtenet'!B58)</f>
        <v>0</v>
      </c>
      <c r="D5" s="30">
        <f>SUM(D6:D12)</f>
        <v>30669.567378750213</v>
      </c>
      <c r="E5" s="17">
        <f>SUM(E6:E12)</f>
        <v>389.059877421512</v>
      </c>
      <c r="F5" s="17">
        <f>SUM(F6:F12)</f>
        <v>5862.2787267984395</v>
      </c>
      <c r="G5" s="18"/>
      <c r="H5" s="17"/>
      <c r="I5" s="17"/>
      <c r="J5" s="17">
        <f>SUM(J6:J12)</f>
        <v>0</v>
      </c>
      <c r="K5" s="17"/>
      <c r="L5" s="17"/>
      <c r="M5" s="17"/>
      <c r="N5" s="17">
        <f>SUM(N6:N12)</f>
        <v>5028.0077669504144</v>
      </c>
      <c r="O5" s="17">
        <f>B38*B39*B40</f>
        <v>6.2533333333333339</v>
      </c>
      <c r="P5" s="17">
        <f>B46*B47*B48/1000-B46*B47*B48/1000/B49</f>
        <v>0</v>
      </c>
      <c r="R5" s="32"/>
    </row>
    <row r="6" spans="1:18">
      <c r="A6" s="32" t="s">
        <v>54</v>
      </c>
      <c r="B6" s="37">
        <f>B26</f>
        <v>8545.3639999999996</v>
      </c>
      <c r="C6" s="33"/>
      <c r="D6" s="37">
        <f>IF(ISERROR(TER_kantoor_gas_kWh/1000),0,TER_kantoor_gas_kWh/1000)*0.902</f>
        <v>6089.311925976368</v>
      </c>
      <c r="E6" s="33">
        <f>$C$26*'E Balans VL '!I12/100/3.6*1000000</f>
        <v>24.757173290675894</v>
      </c>
      <c r="F6" s="33">
        <f>$C$26*('E Balans VL '!L12+'E Balans VL '!N12)/100/3.6*1000000</f>
        <v>967.14693583414532</v>
      </c>
      <c r="G6" s="34"/>
      <c r="H6" s="33"/>
      <c r="I6" s="33"/>
      <c r="J6" s="33">
        <f>$C$26*('E Balans VL '!D12+'E Balans VL '!E12)/100/3.6*1000000</f>
        <v>0</v>
      </c>
      <c r="K6" s="33"/>
      <c r="L6" s="33"/>
      <c r="M6" s="33"/>
      <c r="N6" s="33">
        <f>$C$26*'E Balans VL '!Y12/100/3.6*1000000</f>
        <v>85.532797134673572</v>
      </c>
      <c r="O6" s="33"/>
      <c r="P6" s="33"/>
      <c r="R6" s="32"/>
    </row>
    <row r="7" spans="1:18">
      <c r="A7" s="32" t="s">
        <v>53</v>
      </c>
      <c r="B7" s="37">
        <f t="shared" ref="B7:B12" si="0">B27</f>
        <v>3794.7840000000001</v>
      </c>
      <c r="C7" s="33"/>
      <c r="D7" s="37">
        <f>IF(ISERROR(TER_horeca_gas_kWh/1000),0,TER_horeca_gas_kWh/1000)*0.902</f>
        <v>2790.2040621534506</v>
      </c>
      <c r="E7" s="33">
        <f>$C$27*'E Balans VL '!I9/100/3.6*1000000</f>
        <v>159.29442990304841</v>
      </c>
      <c r="F7" s="33">
        <f>$C$27*('E Balans VL '!L9+'E Balans VL '!N9)/100/3.6*1000000</f>
        <v>815.38716177517813</v>
      </c>
      <c r="G7" s="34"/>
      <c r="H7" s="33"/>
      <c r="I7" s="33"/>
      <c r="J7" s="33">
        <f>$C$27*('E Balans VL '!D9+'E Balans VL '!E9)/100/3.6*1000000</f>
        <v>0</v>
      </c>
      <c r="K7" s="33"/>
      <c r="L7" s="33"/>
      <c r="M7" s="33"/>
      <c r="N7" s="33">
        <f>$C$27*'E Balans VL '!Y9/100/3.6*1000000</f>
        <v>0.97788265020999976</v>
      </c>
      <c r="O7" s="33"/>
      <c r="P7" s="33"/>
      <c r="R7" s="32"/>
    </row>
    <row r="8" spans="1:18">
      <c r="A8" s="6" t="s">
        <v>52</v>
      </c>
      <c r="B8" s="37">
        <f t="shared" si="0"/>
        <v>12862.894</v>
      </c>
      <c r="C8" s="33"/>
      <c r="D8" s="37">
        <f>IF(ISERROR(TER_handel_gas_kWh/1000),0,TER_handel_gas_kWh/1000)*0.902</f>
        <v>4784.1787182504268</v>
      </c>
      <c r="E8" s="33">
        <f>$C$28*'E Balans VL '!I13/100/3.6*1000000</f>
        <v>138.15818704235585</v>
      </c>
      <c r="F8" s="33">
        <f>$C$28*('E Balans VL '!L13+'E Balans VL '!N13)/100/3.6*1000000</f>
        <v>1665.2078478889568</v>
      </c>
      <c r="G8" s="34"/>
      <c r="H8" s="33"/>
      <c r="I8" s="33"/>
      <c r="J8" s="33">
        <f>$C$28*('E Balans VL '!D13+'E Balans VL '!E13)/100/3.6*1000000</f>
        <v>0</v>
      </c>
      <c r="K8" s="33"/>
      <c r="L8" s="33"/>
      <c r="M8" s="33"/>
      <c r="N8" s="33">
        <f>$C$28*'E Balans VL '!Y13/100/3.6*1000000</f>
        <v>104.34449847255001</v>
      </c>
      <c r="O8" s="33"/>
      <c r="P8" s="33"/>
      <c r="R8" s="32"/>
    </row>
    <row r="9" spans="1:18">
      <c r="A9" s="32" t="s">
        <v>51</v>
      </c>
      <c r="B9" s="37">
        <f t="shared" si="0"/>
        <v>423.83629999999999</v>
      </c>
      <c r="C9" s="33"/>
      <c r="D9" s="37">
        <f>IF(ISERROR(TER_gezond_gas_kWh/1000),0,TER_gezond_gas_kWh/1000)*0.902</f>
        <v>651.90023848957776</v>
      </c>
      <c r="E9" s="33">
        <f>$C$29*'E Balans VL '!I10/100/3.6*1000000</f>
        <v>0.33740110779746801</v>
      </c>
      <c r="F9" s="33">
        <f>$C$29*('E Balans VL '!L10+'E Balans VL '!N10)/100/3.6*1000000</f>
        <v>51.523427251214976</v>
      </c>
      <c r="G9" s="34"/>
      <c r="H9" s="33"/>
      <c r="I9" s="33"/>
      <c r="J9" s="33">
        <f>$C$29*('E Balans VL '!D10+'E Balans VL '!E10)/100/3.6*1000000</f>
        <v>0</v>
      </c>
      <c r="K9" s="33"/>
      <c r="L9" s="33"/>
      <c r="M9" s="33"/>
      <c r="N9" s="33">
        <f>$C$29*'E Balans VL '!Y10/100/3.6*1000000</f>
        <v>3.4236373433500553</v>
      </c>
      <c r="O9" s="33"/>
      <c r="P9" s="33"/>
      <c r="R9" s="32"/>
    </row>
    <row r="10" spans="1:18">
      <c r="A10" s="32" t="s">
        <v>50</v>
      </c>
      <c r="B10" s="37">
        <f t="shared" si="0"/>
        <v>6266.1779999999999</v>
      </c>
      <c r="C10" s="33"/>
      <c r="D10" s="37">
        <f>IF(ISERROR(TER_ander_gas_kWh/1000),0,TER_ander_gas_kWh/1000)*0.902</f>
        <v>6969.5683640148645</v>
      </c>
      <c r="E10" s="33">
        <f>$C$30*'E Balans VL '!I14/100/3.6*1000000</f>
        <v>21.47452118879551</v>
      </c>
      <c r="F10" s="33">
        <f>$C$30*('E Balans VL '!L14+'E Balans VL '!N14)/100/3.6*1000000</f>
        <v>1399.6095377203067</v>
      </c>
      <c r="G10" s="34"/>
      <c r="H10" s="33"/>
      <c r="I10" s="33"/>
      <c r="J10" s="33">
        <f>$C$30*('E Balans VL '!D14+'E Balans VL '!E14)/100/3.6*1000000</f>
        <v>0</v>
      </c>
      <c r="K10" s="33"/>
      <c r="L10" s="33"/>
      <c r="M10" s="33"/>
      <c r="N10" s="33">
        <f>$C$30*'E Balans VL '!Y14/100/3.6*1000000</f>
        <v>4413.9300146612823</v>
      </c>
      <c r="O10" s="33"/>
      <c r="P10" s="33"/>
      <c r="R10" s="32"/>
    </row>
    <row r="11" spans="1:18">
      <c r="A11" s="32" t="s">
        <v>55</v>
      </c>
      <c r="B11" s="37">
        <f t="shared" si="0"/>
        <v>914.55309999999997</v>
      </c>
      <c r="C11" s="33"/>
      <c r="D11" s="37">
        <f>IF(ISERROR(TER_onderwijs_gas_kWh/1000),0,TER_onderwijs_gas_kWh/1000)*0.902</f>
        <v>2820.2767519513263</v>
      </c>
      <c r="E11" s="33">
        <f>$C$31*'E Balans VL '!I11/100/3.6*1000000</f>
        <v>0.63220239201122075</v>
      </c>
      <c r="F11" s="33">
        <f>$C$31*('E Balans VL '!L11+'E Balans VL '!N11)/100/3.6*1000000</f>
        <v>239.40343561498904</v>
      </c>
      <c r="G11" s="34"/>
      <c r="H11" s="33"/>
      <c r="I11" s="33"/>
      <c r="J11" s="33">
        <f>$C$31*('E Balans VL '!D11+'E Balans VL '!E11)/100/3.6*1000000</f>
        <v>0</v>
      </c>
      <c r="K11" s="33"/>
      <c r="L11" s="33"/>
      <c r="M11" s="33"/>
      <c r="N11" s="33">
        <f>$C$31*'E Balans VL '!Y11/100/3.6*1000000</f>
        <v>0.91035971549343897</v>
      </c>
      <c r="O11" s="33"/>
      <c r="P11" s="33"/>
      <c r="R11" s="32"/>
    </row>
    <row r="12" spans="1:18">
      <c r="A12" s="32" t="s">
        <v>260</v>
      </c>
      <c r="B12" s="37">
        <f t="shared" si="0"/>
        <v>4911.5389999999998</v>
      </c>
      <c r="C12" s="33"/>
      <c r="D12" s="37">
        <f>IF(ISERROR(TER_rest_gas_kWh/1000),0,TER_rest_gas_kWh/1000)*0.902</f>
        <v>6564.1273179142017</v>
      </c>
      <c r="E12" s="33">
        <f>$C$32*'E Balans VL '!I8/100/3.6*1000000</f>
        <v>44.405962496827662</v>
      </c>
      <c r="F12" s="33">
        <f>$C$32*('E Balans VL '!L8+'E Balans VL '!N8)/100/3.6*1000000</f>
        <v>724.00038071364929</v>
      </c>
      <c r="G12" s="34"/>
      <c r="H12" s="33"/>
      <c r="I12" s="33"/>
      <c r="J12" s="33">
        <f>$C$32*('E Balans VL '!D8+'E Balans VL '!E8)/100/3.6*1000000</f>
        <v>0</v>
      </c>
      <c r="K12" s="33"/>
      <c r="L12" s="33"/>
      <c r="M12" s="33"/>
      <c r="N12" s="33">
        <f>$C$32*'E Balans VL '!Y8/100/3.6*1000000</f>
        <v>418.88857697285454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37719.148399999998</v>
      </c>
      <c r="C16" s="21">
        <f t="shared" ca="1" si="1"/>
        <v>0</v>
      </c>
      <c r="D16" s="21">
        <f t="shared" ca="1" si="1"/>
        <v>30669.567378750213</v>
      </c>
      <c r="E16" s="21">
        <f t="shared" si="1"/>
        <v>389.059877421512</v>
      </c>
      <c r="F16" s="21">
        <f t="shared" ca="1" si="1"/>
        <v>5862.2787267984395</v>
      </c>
      <c r="G16" s="21">
        <f t="shared" si="1"/>
        <v>0</v>
      </c>
      <c r="H16" s="21">
        <f t="shared" si="1"/>
        <v>0</v>
      </c>
      <c r="I16" s="21">
        <f t="shared" si="1"/>
        <v>0</v>
      </c>
      <c r="J16" s="21">
        <f t="shared" si="1"/>
        <v>0</v>
      </c>
      <c r="K16" s="21">
        <f t="shared" si="1"/>
        <v>0</v>
      </c>
      <c r="L16" s="21">
        <f t="shared" ca="1" si="1"/>
        <v>0</v>
      </c>
      <c r="M16" s="21">
        <f t="shared" si="1"/>
        <v>0</v>
      </c>
      <c r="N16" s="21">
        <f t="shared" ca="1" si="1"/>
        <v>5028.0077669504144</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0.20113443691064231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7586.6196741829544</v>
      </c>
      <c r="C20" s="23">
        <f t="shared" ref="C20:P20" ca="1" si="2">C16*C18</f>
        <v>0</v>
      </c>
      <c r="D20" s="23">
        <f t="shared" ca="1" si="2"/>
        <v>6195.2526105075431</v>
      </c>
      <c r="E20" s="23">
        <f t="shared" si="2"/>
        <v>88.316592174683223</v>
      </c>
      <c r="F20" s="23">
        <f t="shared" ca="1" si="2"/>
        <v>1565.2284200551835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8545.3639999999996</v>
      </c>
      <c r="C26" s="39">
        <f>IF(ISERROR(B26*3.6/1000000/'E Balans VL '!Z12*100),0,B26*3.6/1000000/'E Balans VL '!Z12*100)</f>
        <v>0.18770879969008286</v>
      </c>
      <c r="D26" s="237" t="s">
        <v>692</v>
      </c>
      <c r="F26" s="6"/>
    </row>
    <row r="27" spans="1:18">
      <c r="A27" s="231" t="s">
        <v>53</v>
      </c>
      <c r="B27" s="33">
        <f>IF(ISERROR(TER_horeca_ele_kWh/1000),0,TER_horeca_ele_kWh/1000)</f>
        <v>3794.7840000000001</v>
      </c>
      <c r="C27" s="39">
        <f>IF(ISERROR(B27*3.6/1000000/'E Balans VL '!Z9*100),0,B27*3.6/1000000/'E Balans VL '!Z9*100)</f>
        <v>0.30494872125368799</v>
      </c>
      <c r="D27" s="237" t="s">
        <v>692</v>
      </c>
      <c r="F27" s="6"/>
    </row>
    <row r="28" spans="1:18">
      <c r="A28" s="171" t="s">
        <v>52</v>
      </c>
      <c r="B28" s="33">
        <f>IF(ISERROR(TER_handel_ele_kWh/1000),0,TER_handel_ele_kWh/1000)</f>
        <v>12862.894</v>
      </c>
      <c r="C28" s="39">
        <f>IF(ISERROR(B28*3.6/1000000/'E Balans VL '!Z13*100),0,B28*3.6/1000000/'E Balans VL '!Z13*100)</f>
        <v>0.38034678937357203</v>
      </c>
      <c r="D28" s="237" t="s">
        <v>692</v>
      </c>
      <c r="F28" s="6"/>
    </row>
    <row r="29" spans="1:18">
      <c r="A29" s="231" t="s">
        <v>51</v>
      </c>
      <c r="B29" s="33">
        <f>IF(ISERROR(TER_gezond_ele_kWh/1000),0,TER_gezond_ele_kWh/1000)</f>
        <v>423.83629999999999</v>
      </c>
      <c r="C29" s="39">
        <f>IF(ISERROR(B29*3.6/1000000/'E Balans VL '!Z10*100),0,B29*3.6/1000000/'E Balans VL '!Z10*100)</f>
        <v>4.7755408521316808E-2</v>
      </c>
      <c r="D29" s="237" t="s">
        <v>692</v>
      </c>
      <c r="F29" s="6"/>
    </row>
    <row r="30" spans="1:18">
      <c r="A30" s="231" t="s">
        <v>50</v>
      </c>
      <c r="B30" s="33">
        <f>IF(ISERROR(TER_ander_ele_kWh/1000),0,TER_ander_ele_kWh/1000)</f>
        <v>6266.1779999999999</v>
      </c>
      <c r="C30" s="39">
        <f>IF(ISERROR(B30*3.6/1000000/'E Balans VL '!Z14*100),0,B30*3.6/1000000/'E Balans VL '!Z14*100)</f>
        <v>0.47390033059255032</v>
      </c>
      <c r="D30" s="237" t="s">
        <v>692</v>
      </c>
      <c r="F30" s="6"/>
    </row>
    <row r="31" spans="1:18">
      <c r="A31" s="231" t="s">
        <v>55</v>
      </c>
      <c r="B31" s="33">
        <f>IF(ISERROR(TER_onderwijs_ele_kWh/1000),0,TER_onderwijs_ele_kWh/1000)</f>
        <v>914.55309999999997</v>
      </c>
      <c r="C31" s="39">
        <f>IF(ISERROR(B31*3.6/1000000/'E Balans VL '!Z11*100),0,B31*3.6/1000000/'E Balans VL '!Z11*100)</f>
        <v>0.18983999312121524</v>
      </c>
      <c r="D31" s="237" t="s">
        <v>692</v>
      </c>
    </row>
    <row r="32" spans="1:18">
      <c r="A32" s="231" t="s">
        <v>260</v>
      </c>
      <c r="B32" s="33">
        <f>IF(ISERROR(TER_rest_ele_kWh/1000),0,TER_rest_ele_kWh/1000)</f>
        <v>4911.5389999999998</v>
      </c>
      <c r="C32" s="39">
        <f>IF(ISERROR(B32*3.6/1000000/'E Balans VL '!Z8*100),0,B32*3.6/1000000/'E Balans VL '!Z8*100)</f>
        <v>4.137682671445346E-2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147812.71706</v>
      </c>
      <c r="C5" s="17">
        <f>IF(ISERROR('Eigen informatie GS &amp; warmtenet'!B59),0,'Eigen informatie GS &amp; warmtenet'!B59)</f>
        <v>0</v>
      </c>
      <c r="D5" s="30">
        <f>SUM(D6:D15)</f>
        <v>60666.915467766128</v>
      </c>
      <c r="E5" s="17">
        <f>SUM(E6:E15)</f>
        <v>5150.8872973429288</v>
      </c>
      <c r="F5" s="17">
        <f>SUM(F6:F15)</f>
        <v>23900.509158987083</v>
      </c>
      <c r="G5" s="18"/>
      <c r="H5" s="17"/>
      <c r="I5" s="17"/>
      <c r="J5" s="17">
        <f>SUM(J6:J15)</f>
        <v>395.91982832335447</v>
      </c>
      <c r="K5" s="17"/>
      <c r="L5" s="17"/>
      <c r="M5" s="17"/>
      <c r="N5" s="17">
        <f>SUM(N6:N15)</f>
        <v>18667.49345357604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521.54459999999995</v>
      </c>
      <c r="C8" s="33"/>
      <c r="D8" s="37">
        <f>IF( ISERROR(IND_metaal_Gas_kWH/1000),0,IND_metaal_Gas_kWH/1000)*0.902</f>
        <v>82.582871055447598</v>
      </c>
      <c r="E8" s="33">
        <f>C30*'E Balans VL '!I18/100/3.6*1000000</f>
        <v>13.052435971005938</v>
      </c>
      <c r="F8" s="33">
        <f>C30*'E Balans VL '!L18/100/3.6*1000000+C30*'E Balans VL '!N18/100/3.6*1000000</f>
        <v>163.45467193625976</v>
      </c>
      <c r="G8" s="34"/>
      <c r="H8" s="33"/>
      <c r="I8" s="33"/>
      <c r="J8" s="40">
        <f>C30*'E Balans VL '!D18/100/3.6*1000000+C30*'E Balans VL '!E18/100/3.6*1000000</f>
        <v>0</v>
      </c>
      <c r="K8" s="33"/>
      <c r="L8" s="33"/>
      <c r="M8" s="33"/>
      <c r="N8" s="33">
        <f>C30*'E Balans VL '!Y18/100/3.6*1000000</f>
        <v>13.102553878265399</v>
      </c>
      <c r="O8" s="33"/>
      <c r="P8" s="33"/>
      <c r="R8" s="32"/>
    </row>
    <row r="9" spans="1:18">
      <c r="A9" s="6" t="s">
        <v>33</v>
      </c>
      <c r="B9" s="37">
        <f t="shared" si="0"/>
        <v>1352.671</v>
      </c>
      <c r="C9" s="33"/>
      <c r="D9" s="37">
        <f>IF( ISERROR(IND_andere_gas_kWh/1000),0,IND_andere_gas_kWh/1000)*0.902</f>
        <v>1065.3607917130728</v>
      </c>
      <c r="E9" s="33">
        <f>C31*'E Balans VL '!I19/100/3.6*1000000</f>
        <v>371.9290451237344</v>
      </c>
      <c r="F9" s="33">
        <f>C31*'E Balans VL '!L19/100/3.6*1000000+C31*'E Balans VL '!N19/100/3.6*1000000</f>
        <v>1066.1401296539225</v>
      </c>
      <c r="G9" s="34"/>
      <c r="H9" s="33"/>
      <c r="I9" s="33"/>
      <c r="J9" s="40">
        <f>C31*'E Balans VL '!D19/100/3.6*1000000+C31*'E Balans VL '!E19/100/3.6*1000000</f>
        <v>0</v>
      </c>
      <c r="K9" s="33"/>
      <c r="L9" s="33"/>
      <c r="M9" s="33"/>
      <c r="N9" s="33">
        <f>C31*'E Balans VL '!Y19/100/3.6*1000000</f>
        <v>437.89530723963281</v>
      </c>
      <c r="O9" s="33"/>
      <c r="P9" s="33"/>
      <c r="R9" s="32"/>
    </row>
    <row r="10" spans="1:18">
      <c r="A10" s="6" t="s">
        <v>41</v>
      </c>
      <c r="B10" s="37">
        <f t="shared" si="0"/>
        <v>870.34540000000004</v>
      </c>
      <c r="C10" s="33"/>
      <c r="D10" s="37">
        <f>IF( ISERROR(IND_voed_gas_kWh/1000),0,IND_voed_gas_kWh/1000)*0.902</f>
        <v>453.25832191961263</v>
      </c>
      <c r="E10" s="33">
        <f>C32*'E Balans VL '!I20/100/3.6*1000000</f>
        <v>8.8726918769832412</v>
      </c>
      <c r="F10" s="33">
        <f>C32*'E Balans VL '!L20/100/3.6*1000000+C32*'E Balans VL '!N20/100/3.6*1000000</f>
        <v>1644.0770171149877</v>
      </c>
      <c r="G10" s="34"/>
      <c r="H10" s="33"/>
      <c r="I10" s="33"/>
      <c r="J10" s="40">
        <f>C32*'E Balans VL '!D20/100/3.6*1000000+C32*'E Balans VL '!E20/100/3.6*1000000</f>
        <v>20.830213205041847</v>
      </c>
      <c r="K10" s="33"/>
      <c r="L10" s="33"/>
      <c r="M10" s="33"/>
      <c r="N10" s="33">
        <f>C32*'E Balans VL '!Y20/100/3.6*1000000</f>
        <v>458.77227729688394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21.567060000000001</v>
      </c>
      <c r="C13" s="33"/>
      <c r="D13" s="37">
        <f>IF( ISERROR(IND_papier_gas_kWh/1000),0,IND_papier_gas_kWh/1000)*0.902</f>
        <v>43.964467123940786</v>
      </c>
      <c r="E13" s="33">
        <f>C35*'E Balans VL '!I23/100/3.6*1000000</f>
        <v>4.4666837001496359E-2</v>
      </c>
      <c r="F13" s="33">
        <f>C35*'E Balans VL '!L23/100/3.6*1000000+C35*'E Balans VL '!N23/100/3.6*1000000</f>
        <v>0.42772103590175842</v>
      </c>
      <c r="G13" s="34"/>
      <c r="H13" s="33"/>
      <c r="I13" s="33"/>
      <c r="J13" s="40">
        <f>C35*'E Balans VL '!D23/100/3.6*1000000+C35*'E Balans VL '!E23/100/3.6*1000000</f>
        <v>0</v>
      </c>
      <c r="K13" s="33"/>
      <c r="L13" s="33"/>
      <c r="M13" s="33"/>
      <c r="N13" s="33">
        <f>C35*'E Balans VL '!Y23/100/3.6*1000000</f>
        <v>9.1066451208558714</v>
      </c>
      <c r="O13" s="33"/>
      <c r="P13" s="33"/>
      <c r="R13" s="32"/>
    </row>
    <row r="14" spans="1:18">
      <c r="A14" s="6" t="s">
        <v>34</v>
      </c>
      <c r="B14" s="37">
        <f t="shared" si="0"/>
        <v>55640.133999999998</v>
      </c>
      <c r="C14" s="33"/>
      <c r="D14" s="37">
        <f>IF( ISERROR(IND_chemie_gas_kWh/1000),0,IND_chemie_gas_kWh/1000)*0.902</f>
        <v>0</v>
      </c>
      <c r="E14" s="33">
        <f>C36*'E Balans VL '!I24/100/3.6*1000000</f>
        <v>208.60400644434282</v>
      </c>
      <c r="F14" s="33">
        <f>C36*'E Balans VL '!L24/100/3.6*1000000+C36*'E Balans VL '!N24/100/3.6*1000000</f>
        <v>647.31467705324064</v>
      </c>
      <c r="G14" s="34"/>
      <c r="H14" s="33"/>
      <c r="I14" s="33"/>
      <c r="J14" s="40">
        <f>C36*'E Balans VL '!D24/100/3.6*1000000+C36*'E Balans VL '!E24/100/3.6*1000000</f>
        <v>0</v>
      </c>
      <c r="K14" s="33"/>
      <c r="L14" s="33"/>
      <c r="M14" s="33"/>
      <c r="N14" s="33">
        <f>C36*'E Balans VL '!Y24/100/3.6*1000000</f>
        <v>950.58498660434429</v>
      </c>
      <c r="O14" s="33"/>
      <c r="P14" s="33"/>
      <c r="R14" s="32"/>
    </row>
    <row r="15" spans="1:18">
      <c r="A15" s="6" t="s">
        <v>270</v>
      </c>
      <c r="B15" s="37">
        <f t="shared" si="0"/>
        <v>89406.455000000002</v>
      </c>
      <c r="C15" s="33"/>
      <c r="D15" s="37">
        <f>IF( ISERROR(IND_rest_gas_kWh/1000),0,IND_rest_gas_kWh/1000)*0.902</f>
        <v>59021.749015954054</v>
      </c>
      <c r="E15" s="33">
        <f>C37*'E Balans VL '!I15/100/3.6*1000000</f>
        <v>4548.3844510898607</v>
      </c>
      <c r="F15" s="33">
        <f>C37*'E Balans VL '!L15/100/3.6*1000000+C37*'E Balans VL '!N15/100/3.6*1000000</f>
        <v>20379.094942192769</v>
      </c>
      <c r="G15" s="34"/>
      <c r="H15" s="33"/>
      <c r="I15" s="33"/>
      <c r="J15" s="40">
        <f>C37*'E Balans VL '!D15/100/3.6*1000000+C37*'E Balans VL '!E15/100/3.6*1000000</f>
        <v>375.08961511831262</v>
      </c>
      <c r="K15" s="33"/>
      <c r="L15" s="33"/>
      <c r="M15" s="33"/>
      <c r="N15" s="33">
        <f>C37*'E Balans VL '!Y15/100/3.6*1000000</f>
        <v>16798.031683436056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147812.71706</v>
      </c>
      <c r="C18" s="21">
        <f>C5+C16</f>
        <v>0</v>
      </c>
      <c r="D18" s="21">
        <f>MAX((D5+D16),0)</f>
        <v>60666.915467766128</v>
      </c>
      <c r="E18" s="21">
        <f>MAX((E5+E16),0)</f>
        <v>5150.8872973429288</v>
      </c>
      <c r="F18" s="21">
        <f>MAX((F5+F16),0)</f>
        <v>23900.509158987083</v>
      </c>
      <c r="G18" s="21"/>
      <c r="H18" s="21"/>
      <c r="I18" s="21"/>
      <c r="J18" s="21">
        <f>MAX((J5+J16),0)</f>
        <v>395.91982832335447</v>
      </c>
      <c r="K18" s="21"/>
      <c r="L18" s="21">
        <f>MAX((L5+L16),0)</f>
        <v>0</v>
      </c>
      <c r="M18" s="21"/>
      <c r="N18" s="21">
        <f>MAX((N5+N16),0)</f>
        <v>18667.49345357604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0.20113443691064231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29730.227614095191</v>
      </c>
      <c r="C22" s="23">
        <f ca="1">C18*C20</f>
        <v>0</v>
      </c>
      <c r="D22" s="23">
        <f>D18*D20</f>
        <v>12254.716924488759</v>
      </c>
      <c r="E22" s="23">
        <f>E18*E20</f>
        <v>1169.251416496845</v>
      </c>
      <c r="F22" s="23">
        <f>F18*F20</f>
        <v>6381.4359454495516</v>
      </c>
      <c r="G22" s="23"/>
      <c r="H22" s="23"/>
      <c r="I22" s="23"/>
      <c r="J22" s="23">
        <f>J18*J20</f>
        <v>140.15561922646748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521.54459999999995</v>
      </c>
      <c r="C30" s="39">
        <f>IF(ISERROR(B30*3.6/1000000/'E Balans VL '!Z18*100),0,B30*3.6/1000000/'E Balans VL '!Z18*100)</f>
        <v>7.2998863334195474E-2</v>
      </c>
      <c r="D30" s="237" t="s">
        <v>692</v>
      </c>
    </row>
    <row r="31" spans="1:18">
      <c r="A31" s="6" t="s">
        <v>33</v>
      </c>
      <c r="B31" s="37">
        <f>IF( ISERROR(IND_ander_ele_kWh/1000),0,IND_ander_ele_kWh/1000)</f>
        <v>1352.671</v>
      </c>
      <c r="C31" s="39">
        <f>IF(ISERROR(B31*3.6/1000000/'E Balans VL '!Z19*100),0,B31*3.6/1000000/'E Balans VL '!Z19*100)</f>
        <v>5.9206190235587805E-2</v>
      </c>
      <c r="D31" s="237" t="s">
        <v>692</v>
      </c>
    </row>
    <row r="32" spans="1:18">
      <c r="A32" s="171" t="s">
        <v>41</v>
      </c>
      <c r="B32" s="37">
        <f>IF( ISERROR(IND_voed_ele_kWh/1000),0,IND_voed_ele_kWh/1000)</f>
        <v>870.34540000000004</v>
      </c>
      <c r="C32" s="39">
        <f>IF(ISERROR(B32*3.6/1000000/'E Balans VL '!Z20*100),0,B32*3.6/1000000/'E Balans VL '!Z20*100)</f>
        <v>0.21546861829490779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21.567060000000001</v>
      </c>
      <c r="C35" s="39">
        <f>IF(ISERROR(B35*3.6/1000000/'E Balans VL '!Z22*100),0,B35*3.6/1000000/'E Balans VL '!Z22*100)</f>
        <v>6.1198517392411415E-4</v>
      </c>
      <c r="D35" s="237" t="s">
        <v>692</v>
      </c>
    </row>
    <row r="36" spans="1:5">
      <c r="A36" s="171" t="s">
        <v>34</v>
      </c>
      <c r="B36" s="37">
        <f>IF( ISERROR(IND_chemie_ele_kWh/1000),0,IND_chemie_ele_kWh/1000)</f>
        <v>55640.133999999998</v>
      </c>
      <c r="C36" s="39">
        <f>IF(ISERROR(B36*3.6/1000000/'E Balans VL '!Z24*100),0,B36*3.6/1000000/'E Balans VL '!Z24*100)</f>
        <v>1.4187384914093004</v>
      </c>
      <c r="D36" s="237" t="s">
        <v>692</v>
      </c>
    </row>
    <row r="37" spans="1:5">
      <c r="A37" s="171" t="s">
        <v>270</v>
      </c>
      <c r="B37" s="37">
        <f>IF( ISERROR(IND_rest_ele_kWh/1000),0,IND_rest_ele_kWh/1000)</f>
        <v>89406.455000000002</v>
      </c>
      <c r="C37" s="39">
        <f>IF(ISERROR(B37*3.6/1000000/'E Balans VL '!Z15*100),0,B37*3.6/1000000/'E Balans VL '!Z15*100)</f>
        <v>0.66293355679216481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3433.1469999999999</v>
      </c>
      <c r="C5" s="17">
        <f>'Eigen informatie GS &amp; warmtenet'!B60</f>
        <v>0</v>
      </c>
      <c r="D5" s="30">
        <f>IF(ISERROR(SUM(LB_lb_gas_kWh,LB_rest_gas_kWh)/1000),0,SUM(LB_lb_gas_kWh,LB_rest_gas_kWh)/1000)*0.902</f>
        <v>13348.042372307962</v>
      </c>
      <c r="E5" s="17">
        <f>B17*'E Balans VL '!I25/3.6*1000000/100</f>
        <v>31.799245448141274</v>
      </c>
      <c r="F5" s="17">
        <f>B17*('E Balans VL '!L25/3.6*1000000+'E Balans VL '!N25/3.6*1000000)/100</f>
        <v>8710.5479528323394</v>
      </c>
      <c r="G5" s="18"/>
      <c r="H5" s="17"/>
      <c r="I5" s="17"/>
      <c r="J5" s="17">
        <f>('E Balans VL '!D25+'E Balans VL '!E25)/3.6*1000000*landbouw!B17/100</f>
        <v>526.33974913234317</v>
      </c>
      <c r="K5" s="17"/>
      <c r="L5" s="17">
        <f>L6*(-1)</f>
        <v>0</v>
      </c>
      <c r="M5" s="17"/>
      <c r="N5" s="17">
        <f>N6*(-1)</f>
        <v>0</v>
      </c>
      <c r="O5" s="17"/>
      <c r="P5" s="17"/>
      <c r="R5" s="32"/>
    </row>
    <row r="6" spans="1:18">
      <c r="A6" s="16" t="s">
        <v>494</v>
      </c>
      <c r="B6" s="17" t="s">
        <v>211</v>
      </c>
      <c r="C6" s="17">
        <f>'lokale energieproductie'!O92+'lokale energieproductie'!O61</f>
        <v>7515</v>
      </c>
      <c r="D6" s="310">
        <f>('lokale energieproductie'!P61+'lokale energieproductie'!P92)*(-1)</f>
        <v>-15030.000000000002</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3433.1469999999999</v>
      </c>
      <c r="C8" s="21">
        <f>C5+C6</f>
        <v>7515</v>
      </c>
      <c r="D8" s="21">
        <f>MAX((D5+D6),0)</f>
        <v>0</v>
      </c>
      <c r="E8" s="21">
        <f>MAX((E5+E6),0)</f>
        <v>31.799245448141274</v>
      </c>
      <c r="F8" s="21">
        <f>MAX((F5+F6),0)</f>
        <v>8710.5479528323394</v>
      </c>
      <c r="G8" s="21"/>
      <c r="H8" s="21"/>
      <c r="I8" s="21"/>
      <c r="J8" s="21">
        <f>MAX((J5+J6),0)</f>
        <v>526.33974913234317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0.20113443691064231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690.52408867646091</v>
      </c>
      <c r="C12" s="23">
        <f ca="1">C8*C10</f>
        <v>1785.9176470588238</v>
      </c>
      <c r="D12" s="23">
        <f>D8*D10</f>
        <v>0</v>
      </c>
      <c r="E12" s="23">
        <f>E8*E10</f>
        <v>7.2184287167280692</v>
      </c>
      <c r="F12" s="23">
        <f>F8*F10</f>
        <v>2325.7163034062346</v>
      </c>
      <c r="G12" s="23"/>
      <c r="H12" s="23"/>
      <c r="I12" s="23"/>
      <c r="J12" s="23">
        <f>J8*J10</f>
        <v>186.32427119284947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0.48812070810100028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369.23141253015825</v>
      </c>
      <c r="C26" s="247">
        <f>B26*'GWP N2O_CH4'!B5</f>
        <v>7753.859663133323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102.16987376525947</v>
      </c>
      <c r="C27" s="247">
        <f>B27*'GWP N2O_CH4'!B5</f>
        <v>2145.5673490704489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6.914599814341317</v>
      </c>
      <c r="C28" s="247">
        <f>B28*'GWP N2O_CH4'!B4</f>
        <v>2143.5259424458081</v>
      </c>
      <c r="D28" s="50"/>
    </row>
    <row r="29" spans="1:4">
      <c r="A29" s="41" t="s">
        <v>277</v>
      </c>
      <c r="B29" s="247">
        <f>B34*'ha_N2O bodem landbouw'!B4</f>
        <v>14.775364913419491</v>
      </c>
      <c r="C29" s="247">
        <f>B29*'GWP N2O_CH4'!B4</f>
        <v>4580.3631231600421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3.3138540478905359E-3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1.0986372149590485E-4</v>
      </c>
      <c r="C5" s="464" t="s">
        <v>211</v>
      </c>
      <c r="D5" s="449">
        <f>SUM(D6:D11)</f>
        <v>2.7759420088890966E-4</v>
      </c>
      <c r="E5" s="449">
        <f>SUM(E6:E11)</f>
        <v>1.9525450927385234E-3</v>
      </c>
      <c r="F5" s="462" t="s">
        <v>211</v>
      </c>
      <c r="G5" s="449">
        <f>SUM(G6:G11)</f>
        <v>0.57853052366640068</v>
      </c>
      <c r="H5" s="449">
        <f>SUM(H6:H11)</f>
        <v>0.10702935709170064</v>
      </c>
      <c r="I5" s="464" t="s">
        <v>211</v>
      </c>
      <c r="J5" s="464" t="s">
        <v>211</v>
      </c>
      <c r="K5" s="464" t="s">
        <v>211</v>
      </c>
      <c r="L5" s="464" t="s">
        <v>211</v>
      </c>
      <c r="M5" s="449">
        <f>SUM(M6:M11)</f>
        <v>3.6760114758943509E-2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5.6611574668217056E-5</v>
      </c>
      <c r="C6" s="450"/>
      <c r="D6" s="893">
        <f>vkm_2011_GW_PW*SUMIFS(TableVerdeelsleutelVkm[CNG],TableVerdeelsleutelVkm[Voertuigtype],"Lichte voertuigen")*SUMIFS(TableECFTransport[EnergieConsumptieFactor (PJ per km)],TableECFTransport[Index],CONCATENATE($A6,"_CNG_CNG"))</f>
        <v>1.3094880488377034E-4</v>
      </c>
      <c r="E6" s="893">
        <f>vkm_2011_GW_PW*SUMIFS(TableVerdeelsleutelVkm[LPG],TableVerdeelsleutelVkm[Voertuigtype],"Lichte voertuigen")*SUMIFS(TableECFTransport[EnergieConsumptieFactor (PJ per km)],TableECFTransport[Index],CONCATENATE($A6,"_LPG_LPG"))</f>
        <v>8.5265953963486606E-4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0.17713371115372639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4.9930332596726287E-2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1.1783446786130693E-2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6.4908068558679116E-2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2.2197380661632706E-5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3.7552996817486806E-3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1.0500408585847269E-5</v>
      </c>
      <c r="C8" s="450"/>
      <c r="D8" s="452">
        <f>vkm_2011_NGW_PW*SUMIFS(TableVerdeelsleutelVkm[CNG],TableVerdeelsleutelVkm[Voertuigtype],"Lichte voertuigen")*SUMIFS(TableECFTransport[EnergieConsumptieFactor (PJ per km)],TableECFTransport[Index],CONCATENATE($A8,"_CNG_CNG"))</f>
        <v>4.2959437160183805E-5</v>
      </c>
      <c r="E8" s="452">
        <f>vkm_2011_NGW_PW*SUMIFS(TableVerdeelsleutelVkm[LPG],TableVerdeelsleutelVkm[Voertuigtype],"Lichte voertuigen")*SUMIFS(TableECFTransport[EnergieConsumptieFactor (PJ per km)],TableECFTransport[Index],CONCATENATE($A8,"_LPG_LPG"))</f>
        <v>2.5815791495483088E-4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5.0133887833593703E-2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1.5838581348107721E-2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3.3875979345874539E-3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3.5630417176258323E-3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1.1529587950740899E-6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2.0614014202985465E-4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4.275173824184052E-5</v>
      </c>
      <c r="C10" s="450"/>
      <c r="D10" s="452">
        <f>vkm_2011_SW_PW*SUMIFS(TableVerdeelsleutelVkm[CNG],TableVerdeelsleutelVkm[Voertuigtype],"Lichte voertuigen")*SUMIFS(TableECFTransport[EnergieConsumptieFactor (PJ per km)],TableECFTransport[Index],CONCATENATE($A10,"_CNG_CNG"))</f>
        <v>1.0368595884495551E-4</v>
      </c>
      <c r="E10" s="452">
        <f>vkm_2011_SW_PW*SUMIFS(TableVerdeelsleutelVkm[LPG],TableVerdeelsleutelVkm[Voertuigtype],"Lichte voertuigen")*SUMIFS(TableECFTransport[EnergieConsumptieFactor (PJ per km)],TableECFTransport[Index],CONCATENATE($A10,"_LPG_LPG"))</f>
        <v>8.4172763814882666E-4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0.15742723642593784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4.1190888154891941E-2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1.0374476195548731E-2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0.12536457797683778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4.6204652517982593E-5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7.253154018898097E-3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30.517700415529127</v>
      </c>
      <c r="C14" s="21"/>
      <c r="D14" s="21">
        <f t="shared" ref="D14:M14" si="0">((D5)*10^9/3600)+D12</f>
        <v>77.109500246919339</v>
      </c>
      <c r="E14" s="21">
        <f t="shared" si="0"/>
        <v>542.3736368718121</v>
      </c>
      <c r="F14" s="21"/>
      <c r="G14" s="21">
        <f t="shared" si="0"/>
        <v>160702.92324066686</v>
      </c>
      <c r="H14" s="21">
        <f t="shared" si="0"/>
        <v>29730.376969916844</v>
      </c>
      <c r="I14" s="21"/>
      <c r="J14" s="21"/>
      <c r="K14" s="21"/>
      <c r="L14" s="21"/>
      <c r="M14" s="21">
        <f t="shared" si="0"/>
        <v>10211.142988595419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0.20113443691064231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6.1381604888851262</v>
      </c>
      <c r="C18" s="23"/>
      <c r="D18" s="23">
        <f t="shared" ref="D18:M18" si="1">D14*D16</f>
        <v>15.576119049877708</v>
      </c>
      <c r="E18" s="23">
        <f t="shared" si="1"/>
        <v>123.11881556990134</v>
      </c>
      <c r="F18" s="23"/>
      <c r="G18" s="23">
        <f t="shared" si="1"/>
        <v>42907.680505258053</v>
      </c>
      <c r="H18" s="23">
        <f t="shared" si="1"/>
        <v>7402.8638655092946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6.5990170921821347E-3</v>
      </c>
      <c r="H50" s="321">
        <f t="shared" si="2"/>
        <v>0</v>
      </c>
      <c r="I50" s="321">
        <f t="shared" si="2"/>
        <v>0</v>
      </c>
      <c r="J50" s="321">
        <f t="shared" si="2"/>
        <v>0</v>
      </c>
      <c r="K50" s="321">
        <f t="shared" si="2"/>
        <v>0</v>
      </c>
      <c r="L50" s="321">
        <f t="shared" si="2"/>
        <v>0</v>
      </c>
      <c r="M50" s="321">
        <f t="shared" si="2"/>
        <v>3.7632270759313616E-4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6.5990170921821347E-3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3.7632270759313616E-4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1833.0603033839263</v>
      </c>
      <c r="H54" s="21">
        <f t="shared" si="3"/>
        <v>0</v>
      </c>
      <c r="I54" s="21">
        <f t="shared" si="3"/>
        <v>0</v>
      </c>
      <c r="J54" s="21">
        <f t="shared" si="3"/>
        <v>0</v>
      </c>
      <c r="K54" s="21">
        <f t="shared" si="3"/>
        <v>0</v>
      </c>
      <c r="L54" s="21">
        <f t="shared" si="3"/>
        <v>0</v>
      </c>
      <c r="M54" s="21">
        <f t="shared" si="3"/>
        <v>104.53408544253783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0.20113443691064231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489.42710100350837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7182.9565746698572</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14226.127808528905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5260.5</v>
      </c>
      <c r="C8" s="571">
        <f>B101</f>
        <v>6188.8235294117649</v>
      </c>
      <c r="D8" s="1056"/>
      <c r="E8" s="1056">
        <f>E101</f>
        <v>0</v>
      </c>
      <c r="F8" s="1057"/>
      <c r="G8" s="572"/>
      <c r="H8" s="1056">
        <f>I101</f>
        <v>0</v>
      </c>
      <c r="I8" s="1056">
        <f>G101+F101</f>
        <v>0</v>
      </c>
      <c r="J8" s="1056">
        <f>H101+D101+C101</f>
        <v>0</v>
      </c>
      <c r="K8" s="1056"/>
      <c r="L8" s="1056"/>
      <c r="M8" s="1056"/>
      <c r="N8" s="573"/>
      <c r="O8" s="574">
        <f>C8*$C$12+D8*$D$12+E8*$E$12+F8*$F$12+G8*$G$12+H8*$H$12+I8*$I$12+J8*$J$12</f>
        <v>1250.1423529411766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26669.584383198762</v>
      </c>
      <c r="C10" s="584">
        <f t="shared" ref="C10:L10" si="0">SUM(C8:C9)</f>
        <v>6188.8235294117649</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1250.1423529411766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7515</v>
      </c>
      <c r="C17" s="596">
        <f>B102</f>
        <v>8841.176470588236</v>
      </c>
      <c r="D17" s="597"/>
      <c r="E17" s="597">
        <f>E102</f>
        <v>0</v>
      </c>
      <c r="F17" s="1062"/>
      <c r="G17" s="598"/>
      <c r="H17" s="596">
        <f>I102</f>
        <v>0</v>
      </c>
      <c r="I17" s="597">
        <f>G102+F102</f>
        <v>0</v>
      </c>
      <c r="J17" s="597">
        <f>H102+D102+C102</f>
        <v>0</v>
      </c>
      <c r="K17" s="597"/>
      <c r="L17" s="597"/>
      <c r="M17" s="597"/>
      <c r="N17" s="1063"/>
      <c r="O17" s="599">
        <f>C17*$C$22+E17*$E$22+H17*$H$22+I17*$I$22+J17*$J$22+D17*$D$22+F17*$F$22+G17*$G$22+K17*$K$22+L17*$L$22</f>
        <v>1785.9176470588238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7515</v>
      </c>
      <c r="C20" s="583">
        <f>SUM(C17:C19)</f>
        <v>8841.176470588236</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1785.9176470588238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13049</v>
      </c>
      <c r="C28" s="797">
        <v>2260</v>
      </c>
      <c r="D28" s="654" t="s">
        <v>907</v>
      </c>
      <c r="E28" s="653" t="s">
        <v>908</v>
      </c>
      <c r="F28" s="653" t="s">
        <v>909</v>
      </c>
      <c r="G28" s="653" t="s">
        <v>910</v>
      </c>
      <c r="H28" s="653" t="s">
        <v>911</v>
      </c>
      <c r="I28" s="653" t="s">
        <v>908</v>
      </c>
      <c r="J28" s="796">
        <v>39651</v>
      </c>
      <c r="K28" s="796">
        <v>39651</v>
      </c>
      <c r="L28" s="653" t="s">
        <v>912</v>
      </c>
      <c r="M28" s="653">
        <v>1169</v>
      </c>
      <c r="N28" s="653">
        <v>5260.5</v>
      </c>
      <c r="O28" s="653">
        <v>7515</v>
      </c>
      <c r="P28" s="653">
        <v>15030.000000000002</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1169</v>
      </c>
      <c r="N58" s="611">
        <f>SUM(N28:N57)</f>
        <v>5260.5</v>
      </c>
      <c r="O58" s="611">
        <f t="shared" ref="O58:W58" si="2">SUM(O28:O57)</f>
        <v>7515</v>
      </c>
      <c r="P58" s="611">
        <f t="shared" si="2"/>
        <v>15030.000000000002</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1169</v>
      </c>
      <c r="N61" s="616">
        <f t="shared" si="4"/>
        <v>5260.5</v>
      </c>
      <c r="O61" s="616">
        <f t="shared" si="4"/>
        <v>7515</v>
      </c>
      <c r="P61" s="616">
        <f t="shared" si="4"/>
        <v>15030.000000000002</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6188.8235294117649</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8841.176470588236</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2019-08-12T08:07:15Z</dcterms:modified>
</cp:coreProperties>
</file>