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H90" i="14"/>
  <c r="H18" i="59"/>
  <c r="D14" i="48"/>
  <c r="K78" i="14"/>
  <c r="O10" i="59"/>
  <c r="H20"/>
  <c r="M22" i="14"/>
  <c r="G20" i="59"/>
  <c r="G88" i="14"/>
  <c r="G18" i="59" s="1"/>
  <c r="K20"/>
  <c r="C98" i="18"/>
  <c r="H101" s="1"/>
  <c r="D13" i="15"/>
  <c r="C16" i="16"/>
  <c r="P22" i="14"/>
  <c r="E20" i="59"/>
  <c r="C13" i="15"/>
  <c r="B16" i="16"/>
  <c r="N78" i="14"/>
  <c r="N9" i="59"/>
  <c r="N10" s="1"/>
  <c r="M77" i="14"/>
  <c r="M9" i="59" s="1"/>
  <c r="H9" i="18"/>
  <c r="Q22" i="14"/>
  <c r="G10" i="59"/>
  <c r="D22" i="14"/>
  <c r="L22"/>
  <c r="E10" i="59"/>
  <c r="L20"/>
  <c r="B8" i="18"/>
  <c r="G77" i="14"/>
  <c r="G9" i="59" s="1"/>
  <c r="I77" i="14"/>
  <c r="I9" i="59" s="1"/>
  <c r="B13" i="15"/>
  <c r="B10" i="18"/>
  <c r="N13" i="15"/>
  <c r="L13"/>
  <c r="F77" i="14"/>
  <c r="F9" i="59" s="1"/>
  <c r="I101" i="18"/>
  <c r="H8" s="1"/>
  <c r="E101"/>
  <c r="E8" s="1"/>
  <c r="D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N90" l="1"/>
  <c r="N18" i="59"/>
  <c r="N20" s="1"/>
  <c r="D10"/>
  <c r="G101" i="18"/>
  <c r="C101"/>
  <c r="H78" i="14"/>
  <c r="H9" i="59"/>
  <c r="H10" s="1"/>
  <c r="O90" i="14"/>
  <c r="O18" i="59"/>
  <c r="O20" s="1"/>
  <c r="Q14" i="48"/>
  <c r="Q77" i="14"/>
  <c r="P9" i="59" s="1"/>
  <c r="F101" i="18"/>
  <c r="C77" i="14"/>
  <c r="C9" i="59" s="1"/>
  <c r="J87" i="14"/>
  <c r="J20" i="18"/>
  <c r="H20"/>
  <c r="M87" i="14"/>
  <c r="F76"/>
  <c r="E10" i="18"/>
  <c r="C20"/>
  <c r="D87" i="14"/>
  <c r="D17" i="59" s="1"/>
  <c r="D20" s="1"/>
  <c r="H10" i="18"/>
  <c r="M76" i="14"/>
  <c r="B88"/>
  <c r="B18" i="59" s="1"/>
  <c r="I17" i="18"/>
  <c r="O17" s="1"/>
  <c r="O20" s="1"/>
  <c r="D76" i="14"/>
  <c r="D8" i="59" s="1"/>
  <c r="C10" i="18"/>
  <c r="J8"/>
  <c r="C88" i="14"/>
  <c r="C18" i="59" s="1"/>
  <c r="B77" i="14"/>
  <c r="B9" i="59" s="1"/>
  <c r="E20" i="18"/>
  <c r="F87" i="14"/>
  <c r="Q88"/>
  <c r="P18" i="59" s="1"/>
  <c r="H14" i="15"/>
  <c r="H16" s="1"/>
  <c r="G14"/>
  <c r="G16" s="1"/>
  <c r="I10" i="14" l="1"/>
  <c r="I16" s="1"/>
  <c r="H5" i="48"/>
  <c r="F90" i="14"/>
  <c r="F17" i="59"/>
  <c r="F20" s="1"/>
  <c r="H10" i="14"/>
  <c r="H16" s="1"/>
  <c r="G5" i="48"/>
  <c r="M78" i="14"/>
  <c r="M8" i="59"/>
  <c r="M10" s="1"/>
  <c r="M90" i="14"/>
  <c r="M17" i="59"/>
  <c r="M20" s="1"/>
  <c r="F78" i="14"/>
  <c r="F8" i="59"/>
  <c r="F10" s="1"/>
  <c r="J90" i="14"/>
  <c r="J17" i="59"/>
  <c r="J20" s="1"/>
  <c r="I8" i="18"/>
  <c r="Q76" i="14"/>
  <c r="D78"/>
  <c r="J10" i="18"/>
  <c r="J76" i="14"/>
  <c r="I87"/>
  <c r="I17" i="59" s="1"/>
  <c r="I20" s="1"/>
  <c r="I20" i="18"/>
  <c r="Q87" i="14"/>
  <c r="D90"/>
  <c r="C87"/>
  <c r="A31" i="23"/>
  <c r="A32"/>
  <c r="A33"/>
  <c r="C90" i="14" l="1"/>
  <c r="C17" i="59"/>
  <c r="C20" s="1"/>
  <c r="I76" i="14"/>
  <c r="I10" i="18"/>
  <c r="Q90" i="14"/>
  <c r="B17" i="6" s="1"/>
  <c r="P17" i="59"/>
  <c r="P20" s="1"/>
  <c r="Q78" i="14"/>
  <c r="B9" i="6" s="1"/>
  <c r="P8" i="59"/>
  <c r="P10" s="1"/>
  <c r="O8" i="18"/>
  <c r="O10" s="1"/>
  <c r="J78" i="14"/>
  <c r="J8" i="59"/>
  <c r="J10" s="1"/>
  <c r="B87" i="14"/>
  <c r="I90"/>
  <c r="B11" i="44"/>
  <c r="B25"/>
  <c r="B24"/>
  <c r="I8" i="59" l="1"/>
  <c r="I10" s="1"/>
  <c r="B76" i="14"/>
  <c r="I78"/>
  <c r="C76"/>
  <c r="B90"/>
  <c r="B17" i="59"/>
  <c r="B20" s="1"/>
  <c r="A6" i="23"/>
  <c r="A5"/>
  <c r="B78" i="14" l="1"/>
  <c r="B4" i="6" s="1"/>
  <c r="B8" i="59"/>
  <c r="B10" s="1"/>
  <c r="C78" i="14"/>
  <c r="C8" i="59"/>
  <c r="C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5" i="48" l="1"/>
  <c r="G26"/>
  <c r="G24"/>
  <c r="G29"/>
  <c r="G22"/>
  <c r="G30"/>
  <c r="G32"/>
  <c r="G23"/>
  <c r="F24"/>
  <c r="F32"/>
  <c r="F29"/>
  <c r="F27"/>
  <c r="F31"/>
  <c r="F30"/>
  <c r="F28"/>
  <c r="C19" i="14"/>
  <c r="B10" i="48"/>
  <c r="L10" i="14"/>
  <c r="L16" s="1"/>
  <c r="L27" s="1"/>
  <c r="K5" i="48"/>
  <c r="D30"/>
  <c r="D29"/>
  <c r="D31"/>
  <c r="D28"/>
  <c r="D24"/>
  <c r="D32"/>
  <c r="L32"/>
  <c r="L27"/>
  <c r="L22"/>
  <c r="L30"/>
  <c r="L29"/>
  <c r="L31"/>
  <c r="L24"/>
  <c r="L28"/>
  <c r="Q10" i="14"/>
  <c r="P5" i="48"/>
  <c r="P23" s="1"/>
  <c r="K28"/>
  <c r="K32"/>
  <c r="K24"/>
  <c r="K29"/>
  <c r="K25"/>
  <c r="K27"/>
  <c r="K30"/>
  <c r="K31"/>
  <c r="K26"/>
  <c r="K22"/>
  <c r="B7"/>
  <c r="C24" i="14"/>
  <c r="C26" s="1"/>
  <c r="J15" i="16"/>
  <c r="D4" i="48"/>
  <c r="D22" s="1"/>
  <c r="E11" i="14"/>
  <c r="H32" i="48"/>
  <c r="H29"/>
  <c r="H26"/>
  <c r="H28"/>
  <c r="H22"/>
  <c r="H24"/>
  <c r="H25"/>
  <c r="H30"/>
  <c r="H23"/>
  <c r="D11" i="14"/>
  <c r="C4" i="48"/>
  <c r="C11" i="14"/>
  <c r="B4" i="48"/>
  <c r="N31"/>
  <c r="N32"/>
  <c r="N30"/>
  <c r="N29"/>
  <c r="N24"/>
  <c r="N27"/>
  <c r="N28"/>
  <c r="E32"/>
  <c r="E28"/>
  <c r="E24"/>
  <c r="E29"/>
  <c r="E30"/>
  <c r="E31"/>
  <c r="M26"/>
  <c r="M32"/>
  <c r="M22"/>
  <c r="M25"/>
  <c r="M24"/>
  <c r="M30"/>
  <c r="M29"/>
  <c r="M23"/>
  <c r="J24"/>
  <c r="J32"/>
  <c r="J29"/>
  <c r="J30"/>
  <c r="J31"/>
  <c r="J28"/>
  <c r="J27"/>
  <c r="Q11" i="14"/>
  <c r="P4" i="48"/>
  <c r="P11" i="14"/>
  <c r="O4" i="48"/>
  <c r="I25"/>
  <c r="I32"/>
  <c r="I22"/>
  <c r="I26"/>
  <c r="I28"/>
  <c r="I27"/>
  <c r="I24"/>
  <c r="I31"/>
  <c r="I29"/>
  <c r="I30"/>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G11" i="14"/>
  <c r="F4" i="48"/>
  <c r="F22" s="1"/>
  <c r="M12" i="22"/>
  <c r="M13" i="48"/>
  <c r="M31" s="1"/>
  <c r="N18" i="14"/>
  <c r="Q16"/>
  <c r="Q27" s="1"/>
  <c r="L63"/>
  <c r="P22" i="48"/>
  <c r="P15"/>
  <c r="G13"/>
  <c r="H18" i="14"/>
  <c r="H13" i="48"/>
  <c r="H31" s="1"/>
  <c r="I18" i="14"/>
  <c r="P22" i="16"/>
  <c r="Q43" i="14" s="1"/>
  <c r="Q13"/>
  <c r="P8" i="48"/>
  <c r="P26" s="1"/>
  <c r="O22"/>
  <c r="J10" i="14"/>
  <c r="J16" s="1"/>
  <c r="J27" s="1"/>
  <c r="I5" i="48"/>
  <c r="K23"/>
  <c r="K33" s="1"/>
  <c r="K15"/>
  <c r="E9"/>
  <c r="E27" s="1"/>
  <c r="F20" i="14"/>
  <c r="F22" s="1"/>
  <c r="J46"/>
  <c r="J61" s="1"/>
  <c r="J63" s="1"/>
  <c r="J7" i="48"/>
  <c r="J25" s="1"/>
  <c r="K24" i="14"/>
  <c r="K26" s="1"/>
  <c r="C20"/>
  <c r="C22" s="1"/>
  <c r="B9" i="48"/>
  <c r="D10" i="14"/>
  <c r="J12" i="17"/>
  <c r="K54" i="14" s="1"/>
  <c r="K56" s="1"/>
  <c r="L46"/>
  <c r="L61" s="1"/>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O11" i="14"/>
  <c r="N4" i="48"/>
  <c r="N22" s="1"/>
  <c r="K11" i="14"/>
  <c r="J4" i="48"/>
  <c r="N20" i="14"/>
  <c r="M9" i="48"/>
  <c r="M10"/>
  <c r="M28" s="1"/>
  <c r="N19" i="14"/>
  <c r="O22" i="16"/>
  <c r="P43" i="14" s="1"/>
  <c r="P13"/>
  <c r="O8" i="48"/>
  <c r="Q63" i="14"/>
  <c r="G14" i="22"/>
  <c r="N22" i="14"/>
  <c r="N27" s="1"/>
  <c r="H19"/>
  <c r="R19" s="1"/>
  <c r="G10" i="48"/>
  <c r="G31"/>
  <c r="Q13"/>
  <c r="P16" i="14"/>
  <c r="P27" s="1"/>
  <c r="P46"/>
  <c r="P61" s="1"/>
  <c r="R18"/>
  <c r="I23" i="48"/>
  <c r="I33" s="1"/>
  <c r="I15"/>
  <c r="E7"/>
  <c r="E25" s="1"/>
  <c r="F24" i="14"/>
  <c r="F26"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52" l="1"/>
  <c r="H61" s="1"/>
  <c r="J5" i="48"/>
  <c r="J23" s="1"/>
  <c r="K10" i="14"/>
  <c r="H9" i="48"/>
  <c r="I20" i="14"/>
  <c r="I22" s="1"/>
  <c r="I27" s="1"/>
  <c r="M27" i="48"/>
  <c r="M33" s="1"/>
  <c r="M15"/>
  <c r="E22"/>
  <c r="Q4"/>
  <c r="R11" i="14"/>
  <c r="G28" i="48"/>
  <c r="Q10"/>
  <c r="O26"/>
  <c r="O33" s="1"/>
  <c r="O15"/>
  <c r="J22"/>
  <c r="E5"/>
  <c r="E23" s="1"/>
  <c r="F10" i="14"/>
  <c r="G9" i="48"/>
  <c r="H20" i="14"/>
  <c r="P63"/>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H27" i="48" l="1"/>
  <c r="H33" s="1"/>
  <c r="H15"/>
  <c r="G27"/>
  <c r="G33" s="1"/>
  <c r="G15"/>
  <c r="Q9"/>
  <c r="F46" i="14"/>
  <c r="F61" s="1"/>
  <c r="F63" s="1"/>
  <c r="F16"/>
  <c r="F27" s="1"/>
  <c r="I63"/>
  <c r="F13"/>
  <c r="E8" i="48"/>
  <c r="E26" s="1"/>
  <c r="E33" s="1"/>
  <c r="J22" i="16"/>
  <c r="K43" i="14" s="1"/>
  <c r="K46" s="1"/>
  <c r="K61" s="1"/>
  <c r="K13"/>
  <c r="K16" s="1"/>
  <c r="K27" s="1"/>
  <c r="J8" i="48"/>
  <c r="H22" i="14"/>
  <c r="H27" s="1"/>
  <c r="H63" s="1"/>
  <c r="R20"/>
  <c r="R22" s="1"/>
  <c r="E15" i="48"/>
  <c r="O13" i="14"/>
  <c r="N8" i="48"/>
  <c r="N26" s="1"/>
  <c r="F8"/>
  <c r="G13" i="14"/>
  <c r="K63" l="1"/>
  <c r="J26" i="48"/>
  <c r="J33" s="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<sst xmlns="http://schemas.openxmlformats.org/spreadsheetml/2006/main" count="2446" uniqueCount="925">
  <si>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</si>
  <si>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</si>
  <si>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</si>
  <si>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</si>
  <si>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</si>
  <si>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</si>
  <si>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</si>
  <si>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</si>
  <si>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</si>
  <si>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</si>
  <si>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</si>
  <si>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</si>
  <si>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</si>
  <si>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</si>
  <si>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</si>
  <si>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</si>
  <si>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</si>
  <si>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</si>
  <si>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</si>
  <si>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</si>
  <si>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</si>
  <si>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</si>
  <si>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</si>
  <si>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</si>
  <si>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</si>
  <si>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</si>
  <si>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</si>
  <si>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</si>
  <si>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</si>
  <si>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</si>
  <si>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</si>
  <si>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</si>
  <si>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</si>
  <si>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</si>
  <si>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</si>
  <si>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</si>
  <si>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</si>
  <si>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</si>
  <si>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</si>
  <si>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</si>
  <si>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</si>
  <si>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</si>
  <si>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</si>
  <si>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</si>
  <si>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</si>
  <si>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</si>
  <si>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</si>
  <si>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</si>
  <si>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</si>
  <si>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</si>
  <si>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</si>
  <si>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</si>
  <si>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</si>
  <si>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</si>
  <si>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</si>
  <si>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</si>
  <si>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</si>
  <si>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</si>
  <si>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</si>
  <si>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</si>
  <si>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</si>
  <si>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</si>
  <si>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</si>
  <si>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</si>
  <si>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</si>
  <si>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</si>
  <si>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</si>
  <si>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</si>
  <si>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</si>
  <si>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</si>
  <si>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</si>
  <si>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</si>
  <si>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</si>
  <si>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</si>
  <si>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</si>
  <si>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</si>
  <si>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</si>
  <si>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</si>
  <si>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</si>
  <si>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</si>
  <si>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</si>
  <si>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</si>
  <si>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</si>
  <si>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</si>
  <si>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</si>
  <si>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</si>
  <si>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</si>
  <si>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</si>
  <si>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</si>
  <si>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</si>
  <si>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</si>
  <si>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</si>
  <si>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</si>
  <si>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</si>
  <si>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</si>
  <si>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</si>
  <si>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</si>
  <si>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</si>
  <si>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</si>
  <si>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</si>
  <si>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</si>
  <si>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</si>
  <si>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</si>
  <si>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</si>
  <si>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</si>
  <si>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</si>
  <si>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</si>
  <si>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</si>
  <si>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</si>
  <si>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</si>
  <si>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</si>
  <si>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</si>
  <si>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</si>
  <si>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</si>
  <si>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</si>
  <si>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</si>
  <si>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</si>
  <si>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</si>
  <si>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</si>
  <si>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</si>
  <si>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</si>
  <si>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</si>
  <si>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</si>
  <si>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</si>
  <si>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</si>
  <si>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</si>
  <si>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</si>
  <si>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</si>
  <si>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</si>
  <si>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</si>
  <si>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</si>
  <si>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</si>
  <si>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</si>
  <si>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</si>
  <si>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</si>
  <si>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</si>
  <si>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</si>
  <si>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</si>
  <si>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</si>
  <si>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</si>
  <si>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</si>
  <si>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</si>
  <si>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</si>
  <si>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</si>
  <si>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</si>
  <si>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</si>
  <si>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</si>
  <si>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</si>
  <si>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</si>
  <si>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</si>
  <si>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</si>
  <si>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</si>
  <si>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</si>
  <si>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</si>
  <si>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</si>
  <si>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</si>
  <si>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</si>
  <si>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</si>
  <si>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</si>
  <si>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</si>
  <si>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</si>
  <si>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</si>
  <si>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</si>
  <si>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</si>
  <si>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</si>
  <si>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</si>
  <si>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</si>
  <si>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</si>
  <si>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</si>
  <si>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</si>
  <si>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</si>
  <si>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</si>
  <si>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</si>
  <si>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</si>
  <si>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</si>
  <si>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</si>
  <si>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</si>
  <si>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</si>
  <si>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</si>
  <si>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</si>
  <si>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</si>
  <si>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</si>
  <si>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</si>
  <si>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</si>
  <si>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</si>
  <si>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</si>
  <si>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</si>
  <si>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</si>
  <si>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</si>
  <si>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</si>
  <si>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</si>
  <si>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</si>
  <si>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</si>
  <si>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</si>
  <si>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</si>
  <si>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</si>
  <si>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</si>
  <si>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</si>
  <si>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</si>
  <si>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</si>
  <si>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</si>
  <si>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</si>
  <si>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</si>
  <si>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</si>
  <si>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</si>
  <si>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</si>
  <si>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</si>
  <si>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</si>
  <si>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</si>
  <si>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</si>
  <si>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</si>
  <si>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</si>
  <si>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</si>
  <si>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</si>
  <si>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</si>
  <si>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</si>
  <si>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</si>
  <si>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</si>
  <si>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</si>
  <si>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</si>
  <si>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</si>
  <si>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</si>
  <si>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</si>
  <si>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</si>
  <si>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</si>
  <si>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</si>
  <si>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</si>
  <si>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</si>
  <si>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</si>
  <si>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</si>
  <si>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</si>
  <si>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</si>
  <si>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</si>
  <si>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</si>
  <si>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</si>
  <si>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</si>
  <si>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</si>
  <si>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</si>
  <si>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</si>
  <si>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</si>
  <si>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</si>
  <si>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</si>
  <si>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</si>
  <si>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</si>
  <si>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</si>
  <si>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</si>
  <si>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</si>
  <si>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</si>
  <si>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</si>
  <si>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</si>
  <si>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</si>
  <si>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</si>
  <si>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</si>
  <si>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</si>
  <si>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</si>
  <si>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</si>
  <si>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</si>
  <si>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</si>
  <si>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</si>
  <si>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</si>
  <si>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</si>
  <si>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</si>
  <si>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</si>
  <si>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</si>
  <si>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</si>
  <si>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</si>
  <si>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</si>
  <si>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</si>
  <si>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</si>
  <si>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</si>
  <si>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</si>
  <si>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</si>
  <si>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</si>
  <si>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</si>
  <si>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</si>
  <si>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</si>
  <si>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</si>
  <si>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</si>
  <si>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</si>
  <si>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</si>
  <si>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</si>
  <si>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</si>
  <si>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</si>
  <si>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</si>
  <si>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</si>
  <si>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</si>
  <si>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</si>
  <si>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</si>
  <si>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</si>
  <si>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</si>
  <si>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</si>
  <si>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</si>
  <si>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</si>
  <si>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</si>
  <si>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</si>
  <si>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</si>
  <si>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</si>
  <si>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</si>
  <si>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</si>
  <si>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</si>
  <si>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</si>
  <si>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</si>
  <si>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</si>
  <si>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</si>
  <si>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</si>
  <si>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</si>
  <si>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</si>
  <si>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</si>
  <si>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</si>
  <si>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</si>
  <si>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</si>
  <si>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</si>
  <si>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</si>
  <si>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</si>
  <si>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</si>
  <si>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</si>
  <si>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</si>
  <si>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</si>
  <si>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</si>
  <si>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</si>
  <si>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</si>
  <si>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</si>
  <si>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</si>
  <si>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</si>
  <si>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</si>
  <si>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</si>
  <si>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</si>
  <si>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</si>
  <si>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</si>
  <si>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</si>
  <si>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</si>
  <si>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</si>
  <si>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</si>
  <si>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</si>
  <si>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</si>
  <si>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</si>
  <si>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</si>
  <si>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</si>
  <si>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</si>
  <si>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</si>
  <si>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</si>
  <si>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</si>
  <si>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</si>
  <si>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</si>
  <si>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</si>
  <si>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</si>
  <si>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</si>
  <si>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</si>
  <si>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</si>
  <si>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</si>
  <si>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</si>
  <si>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</si>
  <si>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</si>
  <si>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</si>
  <si>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</si>
  <si>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</si>
  <si>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</si>
  <si>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</si>
  <si>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</si>
  <si>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</si>
  <si>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</si>
  <si>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</si>
  <si>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</si>
  <si>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</si>
  <si>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</si>
  <si>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</si>
  <si>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</si>
  <si>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</si>
  <si>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</si>
  <si>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</si>
  <si>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</si>
  <si>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</si>
  <si>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</si>
  <si>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</si>
  <si>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</si>
  <si>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</si>
  <si>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</si>
  <si>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</si>
  <si>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</si>
  <si>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</si>
  <si>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</si>
  <si>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</si>
  <si>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</si>
  <si>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</si>
  <si>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</si>
  <si>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</si>
  <si>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</si>
  <si>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</si>
  <si>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</si>
  <si>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</si>
  <si>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</si>
  <si>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</si>
  <si>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</si>
  <si>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</si>
  <si>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</si>
  <si>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</si>
  <si>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</si>
  <si>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</si>
  <si>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</si>
  <si>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</si>
  <si>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</si>
  <si>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</si>
  <si>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</si>
  <si>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</si>
  <si>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</si>
  <si>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</si>
  <si>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</si>
  <si>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</si>
  <si>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</si>
  <si>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</si>
  <si>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</si>
  <si>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</si>
  <si>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</si>
  <si>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</si>
  <si>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</si>
  <si>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</si>
  <si>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</si>
  <si>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</si>
  <si>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</si>
  <si>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</si>
  <si>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</si>
  <si>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</si>
  <si>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</si>
  <si>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</si>
  <si>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</si>
  <si>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</si>
  <si>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</si>
  <si>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</si>
  <si>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</si>
  <si>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</si>
  <si>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</si>
  <si>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</si>
  <si>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</si>
  <si>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</si>
  <si>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</si>
  <si>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</si>
  <si>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</si>
  <si>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</si>
  <si>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</si>
  <si>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</si>
  <si>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</si>
  <si>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</si>
  <si>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</si>
  <si>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</si>
  <si>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</si>
  <si>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</si>
  <si>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</si>
  <si>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</si>
  <si>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</si>
  <si>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</si>
  <si>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</si>
  <si>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</si>
  <si>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</si>
  <si>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</si>
  <si>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</si>
  <si>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</si>
  <si>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</si>
  <si>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</si>
  <si>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</si>
  <si>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</si>
  <si>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</si>
  <si>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</si>
  <si>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</si>
  <si>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</si>
  <si>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</si>
  <si>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</si>
  <si>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</si>
  <si>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</si>
  <si>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</si>
  <si>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</si>
  <si>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</si>
  <si>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</si>
  <si>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</si>
  <si>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</si>
  <si>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</si>
  <si>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</si>
  <si>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</si>
  <si>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</si>
  <si>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</si>
  <si>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</si>
  <si>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</si>
  <si>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</si>
  <si>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</si>
  <si>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</si>
  <si>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</si>
  <si>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</si>
  <si>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</si>
  <si>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</si>
  <si>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</si>
  <si>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</si>
  <si>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</si>
  <si>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</si>
  <si>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</si>
  <si>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</si>
  <si>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</si>
  <si>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</si>
  <si>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</si>
  <si>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</si>
  <si>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</si>
  <si>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</si>
  <si>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</si>
  <si>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</si>
  <si>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</si>
  <si>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</si>
  <si>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</si>
  <si>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</si>
  <si>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</si>
  <si>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</si>
  <si>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</si>
  <si>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</si>
  <si>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</si>
  <si>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</si>
  <si>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</si>
  <si>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</si>
  <si>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</si>
  <si>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</si>
  <si>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</si>
  <si>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</si>
  <si>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</si>
  <si>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</si>
  <si>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</si>
  <si>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</si>
  <si>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</si>
  <si>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</si>
  <si>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</si>
  <si>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</si>
  <si>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</si>
  <si>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</si>
  <si>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</si>
  <si>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</si>
  <si>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</si>
  <si>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</si>
  <si>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</si>
  <si>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</si>
  <si>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</si>
  <si>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</si>
  <si>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</si>
  <si>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</si>
  <si>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</si>
  <si>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</si>
  <si>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</si>
  <si>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</si>
  <si>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</si>
  <si>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</si>
  <si>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</si>
  <si>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</si>
  <si>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</si>
  <si>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</si>
  <si>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</si>
  <si>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</si>
  <si>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</si>
  <si>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</si>
  <si>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</si>
  <si>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</si>
  <si>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</si>
  <si>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</si>
  <si>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</si>
  <si>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</si>
  <si>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</si>
  <si>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</si>
  <si>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</si>
  <si>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</si>
  <si>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</si>
  <si>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</si>
  <si>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</si>
  <si>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</si>
  <si>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</si>
  <si>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</si>
  <si>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</si>
  <si>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</si>
  <si>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</si>
  <si>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</si>
  <si>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</si>
  <si>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</si>
  <si>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</si>
  <si>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</si>
  <si>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</si>
  <si>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</si>
  <si>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</si>
  <si>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</si>
  <si>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</si>
  <si>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</si>
  <si>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</si>
  <si>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</si>
  <si>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</si>
  <si>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</si>
  <si>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</si>
  <si>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</si>
  <si>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</si>
  <si>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</si>
  <si>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</si>
  <si>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</si>
  <si>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</si>
  <si>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</si>
  <si>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</si>
  <si>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</si>
  <si>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</si>
  <si>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</si>
  <si>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</si>
  <si>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</si>
  <si>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</si>
  <si>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</si>
  <si>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</si>
  <si>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</si>
  <si>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</si>
  <si>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</si>
  <si>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</si>
  <si>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</si>
  <si>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</si>
  <si>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</si>
  <si>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</si>
  <si>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</si>
  <si>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</si>
  <si>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</si>
  <si>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</si>
  <si>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</si>
  <si>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</si>
  <si>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</si>
  <si>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</si>
  <si>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</si>
  <si>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</si>
  <si>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</si>
  <si>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</si>
  <si>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</si>
  <si>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</si>
  <si>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</si>
  <si>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</si>
  <si>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</si>
  <si>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</si>
  <si>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</si>
  <si>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</si>
  <si>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</si>
  <si>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</si>
  <si>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</si>
  <si>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</si>
  <si>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</si>
  <si>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</si>
  <si>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</si>
  <si>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</si>
  <si>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</si>
  <si>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</si>
  <si>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</si>
  <si>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</si>
  <si>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</si>
  <si>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</si>
  <si>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</si>
  <si>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</si>
  <si>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</si>
  <si>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</si>
  <si>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</si>
  <si>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</si>
  <si>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</si>
  <si>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</si>
  <si>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</si>
  <si>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</si>
  <si>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</si>
  <si>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</si>
  <si>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</si>
  <si>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</si>
  <si>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</si>
  <si>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</si>
  <si>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</si>
  <si>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</si>
  <si>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</si>
  <si>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</si>
  <si>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</si>
  <si>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</si>
  <si>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</si>
  <si>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</si>
  <si>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</si>
  <si>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</si>
  <si>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</si>
  <si>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</si>
  <si>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</si>
  <si>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</si>
  <si>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</si>
  <si>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</si>
  <si>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</si>
  <si>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</si>
  <si>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</si>
  <si>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</si>
  <si>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</si>
  <si>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</si>
  <si>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</si>
  <si>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</si>
  <si>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</si>
  <si>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</si>
  <si>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</si>
  <si>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</si>
  <si>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</si>
  <si>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</si>
  <si>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</si>
  <si>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</si>
  <si>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</si>
  <si>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</si>
  <si>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</si>
  <si>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</si>
  <si>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</si>
  <si>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</si>
  <si>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</si>
  <si>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</si>
  <si>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</si>
  <si>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</si>
  <si>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</si>
  <si>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</si>
  <si>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</si>
  <si>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</si>
  <si>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</si>
  <si>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</si>
  <si>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</si>
  <si>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</si>
  <si>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</si>
  <si>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</si>
  <si>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</si>
  <si>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</si>
  <si>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</si>
  <si>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</si>
  <si>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</si>
  <si>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</si>
  <si>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</si>
  <si>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</si>
  <si>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</si>
  <si>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</si>
  <si>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</si>
  <si>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</si>
  <si>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</si>
  <si>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</si>
  <si>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</si>
  <si>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</si>
  <si>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</si>
  <si>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</si>
  <si>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</si>
  <si>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</si>
  <si>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</si>
  <si>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</si>
  <si>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</si>
  <si>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</si>
  <si>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</si>
  <si>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</si>
  <si>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</si>
  <si>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</si>
  <si>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</si>
  <si>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</si>
  <si>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</si>
  <si>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</si>
  <si>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</si>
  <si>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</si>
  <si>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</si>
  <si>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</si>
  <si>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</si>
  <si>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</si>
  <si>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</si>
  <si>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</si>
  <si>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</si>
  <si>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</si>
  <si>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</si>
  <si>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</si>
  <si>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</si>
  <si>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</si>
  <si>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</si>
  <si>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</si>
  <si>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</si>
  <si>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</si>
  <si>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</si>
  <si>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</si>
  <si>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</si>
  <si>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</si>
  <si>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</si>
  <si>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</si>
  <si>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</si>
  <si>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</si>
  <si>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</si>
  <si>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</si>
  <si>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</si>
  <si>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</si>
  <si>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</si>
  <si>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</si>
  <si>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</si>
  <si>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</si>
  <si>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</si>
  <si>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</si>
  <si>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</si>
  <si>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</si>
  <si>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</si>
  <si>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</si>
  <si>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</si>
  <si>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</si>
  <si>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</si>
  <si>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</si>
  <si>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</si>
  <si>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</si>
  <si>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</si>
  <si>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</si>
  <si>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</si>
  <si>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</si>
  <si>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</si>
  <si>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</si>
  <si>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</si>
  <si>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</si>
  <si>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</si>
  <si>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</si>
  <si>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</si>
  <si>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</si>
  <si>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</si>
  <si>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</si>
  <si>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</si>
  <si>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</si>
  <si>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</si>
  <si>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</si>
  <si>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</si>
  <si>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</si>
  <si>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</si>
  <si>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</si>
  <si>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</si>
  <si>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</si>
  <si>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</si>
  <si>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</si>
  <si>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</si>
  <si>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</si>
  <si>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</si>
  <si>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</si>
  <si>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</si>
  <si>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</si>
  <si>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</si>
  <si>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</si>
  <si>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</si>
  <si>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</si>
  <si>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</si>
  <si>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</si>
  <si>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</si>
  <si>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</si>
  <si>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</si>
  <si>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</si>
  <si>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</si>
  <si>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</si>
  <si>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</si>
  <si>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</si>
  <si>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</si>
  <si>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</si>
  <si>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</si>
  <si>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</si>
  <si>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</si>
  <si>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</si>
  <si>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</si>
  <si>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</si>
  <si>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</si>
  <si>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</si>
  <si>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</si>
  <si>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</si>
  <si>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</si>
  <si>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</si>
  <si>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</si>
  <si>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</si>
  <si>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</si>
  <si>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</si>
  <si>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</si>
  <si>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</si>
  <si>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</si>
  <si>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</si>
  <si>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</si>
  <si>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</si>
  <si>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</si>
  <si>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</si>
  <si>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</si>
  <si>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</si>
  <si>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</si>
  <si>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</si>
  <si>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</si>
  <si>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</si>
  <si>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</si>
  <si>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</si>
  <si>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</si>
  <si>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</si>
  <si>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</si>
  <si>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</si>
  <si>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</si>
  <si>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</si>
  <si>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</si>
  <si>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</si>
  <si>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</si>
  <si>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</si>
  <si>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</si>
  <si>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</si>
  <si>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</si>
  <si>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</si>
  <si>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</si>
  <si>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</si>
  <si>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</si>
  <si>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</si>
  <si>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</si>
  <si>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</si>
  <si>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</si>
  <si>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</si>
  <si>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</si>
  <si>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</si>
  <si>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</si>
  <si>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</si>
  <si>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</si>
  <si>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</si>
  <si>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13040</t>
  </si>
  <si>
    <t>TURNHOUT</t>
  </si>
  <si>
    <t>Paarden&amp;pony's 200 - 600 kg</t>
  </si>
  <si>
    <t>Paarden&amp;pony's &lt; 200 kg</t>
  </si>
  <si>
    <t>referentietaak LNE (2017); Jaarverslag De Lijn (2014)</t>
  </si>
  <si>
    <t>op basis van VEA (maart 2018) en Inventaris Hernieuwbare Energiebronnen (juni 2018)</t>
  </si>
  <si>
    <t>VEA (maart 2016)</t>
  </si>
  <si>
    <t>VEA (juni 2018)</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</si>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</sst>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297516.20649994479</c:v>
                </c:pt>
                <c:pt idx="1">
                  <c:v>215537.91835266032</c:v>
                </c:pt>
                <c:pt idx="2">
                  <c:v>2564.6770000000001</c:v>
                </c:pt>
                <c:pt idx="3">
                  <c:v>7822.2999263744232</c:v>
                </c:pt>
                <c:pt idx="4">
                  <c:v>459713.11775355152</c:v>
                </c:pt>
                <c:pt idx="5">
                  <c:v>243042.03451912038</c:v>
                </c:pt>
                <c:pt idx="6">
                  <c:v>5387.8117094010622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297516.20649994479</c:v>
                </c:pt>
                <c:pt idx="1">
                  <c:v>215537.91835266032</c:v>
                </c:pt>
                <c:pt idx="2">
                  <c:v>2564.6770000000001</c:v>
                </c:pt>
                <c:pt idx="3">
                  <c:v>7822.2999263744232</c:v>
                </c:pt>
                <c:pt idx="4">
                  <c:v>459713.11775355152</c:v>
                </c:pt>
                <c:pt idx="5">
                  <c:v>243042.03451912038</c:v>
                </c:pt>
                <c:pt idx="6">
                  <c:v>5387.8117094010622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55823.610687078901</c:v>
                </c:pt>
                <c:pt idx="2">
                  <c:v>45016.29898904619</c:v>
                </c:pt>
                <c:pt idx="3">
                  <c:v>541.49814490987376</c:v>
                </c:pt>
                <c:pt idx="4">
                  <c:v>1875.9649737109103</c:v>
                </c:pt>
                <c:pt idx="5">
                  <c:v>90270.374594215391</c:v>
                </c:pt>
                <c:pt idx="6">
                  <c:v>60955.286434458212</c:v>
                </c:pt>
                <c:pt idx="7">
                  <c:v>1360.9355399104068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55823.610687078901</c:v>
                </c:pt>
                <c:pt idx="2">
                  <c:v>45016.29898904619</c:v>
                </c:pt>
                <c:pt idx="3">
                  <c:v>541.49814490987376</c:v>
                </c:pt>
                <c:pt idx="4">
                  <c:v>1875.9649737109103</c:v>
                </c:pt>
                <c:pt idx="5">
                  <c:v>90270.374594215391</c:v>
                </c:pt>
                <c:pt idx="6">
                  <c:v>60955.286434458212</c:v>
                </c:pt>
                <c:pt idx="7">
                  <c:v>1360.9355399104068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13040</v>
      </c>
      <c r="B6" s="416"/>
      <c r="C6" s="417"/>
    </row>
    <row r="7" spans="1:7" s="414" customFormat="1" ht="15.75" customHeight="1">
      <c r="A7" s="418" t="str">
        <f>txtMunicipality</f>
        <v>TURNHOUT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0.21113697549822991</v>
      </c>
      <c r="C17" s="525">
        <f ca="1">'EF ele_warmte'!B22</f>
        <v>0.23482101686688509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0.21113697549822991</v>
      </c>
      <c r="C29" s="526">
        <f ca="1">'EF ele_warmte'!B22</f>
        <v>0.23482101686688509</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18934</v>
      </c>
      <c r="C9" s="342">
        <v>19676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2205</v>
      </c>
    </row>
    <row r="15" spans="1:6">
      <c r="A15" s="348" t="s">
        <v>184</v>
      </c>
      <c r="B15" s="334">
        <v>3425</v>
      </c>
    </row>
    <row r="16" spans="1:6">
      <c r="A16" s="348" t="s">
        <v>6</v>
      </c>
      <c r="B16" s="334">
        <v>1033</v>
      </c>
    </row>
    <row r="17" spans="1:6">
      <c r="A17" s="348" t="s">
        <v>7</v>
      </c>
      <c r="B17" s="334">
        <v>164</v>
      </c>
    </row>
    <row r="18" spans="1:6">
      <c r="A18" s="348" t="s">
        <v>8</v>
      </c>
      <c r="B18" s="334">
        <v>644</v>
      </c>
    </row>
    <row r="19" spans="1:6">
      <c r="A19" s="348" t="s">
        <v>9</v>
      </c>
      <c r="B19" s="334">
        <v>555</v>
      </c>
    </row>
    <row r="20" spans="1:6">
      <c r="A20" s="348" t="s">
        <v>10</v>
      </c>
      <c r="B20" s="334">
        <v>244</v>
      </c>
    </row>
    <row r="21" spans="1:6">
      <c r="A21" s="348" t="s">
        <v>11</v>
      </c>
      <c r="B21" s="334">
        <v>1206</v>
      </c>
    </row>
    <row r="22" spans="1:6">
      <c r="A22" s="348" t="s">
        <v>12</v>
      </c>
      <c r="B22" s="334">
        <v>3078</v>
      </c>
    </row>
    <row r="23" spans="1:6">
      <c r="A23" s="348" t="s">
        <v>13</v>
      </c>
      <c r="B23" s="334">
        <v>42</v>
      </c>
    </row>
    <row r="24" spans="1:6">
      <c r="A24" s="348" t="s">
        <v>14</v>
      </c>
      <c r="B24" s="334">
        <v>3</v>
      </c>
    </row>
    <row r="25" spans="1:6">
      <c r="A25" s="348" t="s">
        <v>15</v>
      </c>
      <c r="B25" s="334">
        <v>292</v>
      </c>
    </row>
    <row r="26" spans="1:6">
      <c r="A26" s="348" t="s">
        <v>16</v>
      </c>
      <c r="B26" s="334">
        <v>47</v>
      </c>
    </row>
    <row r="27" spans="1:6">
      <c r="A27" s="348" t="s">
        <v>17</v>
      </c>
      <c r="B27" s="334">
        <v>0</v>
      </c>
    </row>
    <row r="28" spans="1:6" s="356" customFormat="1">
      <c r="A28" s="355" t="s">
        <v>18</v>
      </c>
      <c r="B28" s="355">
        <v>379512</v>
      </c>
    </row>
    <row r="29" spans="1:6">
      <c r="A29" s="355" t="s">
        <v>901</v>
      </c>
      <c r="B29" s="355">
        <v>132</v>
      </c>
      <c r="C29" s="356"/>
      <c r="D29" s="356"/>
      <c r="E29" s="356"/>
      <c r="F29" s="356"/>
    </row>
    <row r="30" spans="1:6">
      <c r="A30" s="341" t="s">
        <v>902</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602646.6</v>
      </c>
    </row>
    <row r="37" spans="1:6">
      <c r="A37" s="348" t="s">
        <v>25</v>
      </c>
      <c r="B37" s="348" t="s">
        <v>28</v>
      </c>
      <c r="C37" s="334">
        <v>0</v>
      </c>
      <c r="D37" s="334">
        <v>0</v>
      </c>
      <c r="E37" s="334">
        <v>0</v>
      </c>
      <c r="F37" s="334">
        <v>0</v>
      </c>
    </row>
    <row r="38" spans="1:6">
      <c r="A38" s="348" t="s">
        <v>25</v>
      </c>
      <c r="B38" s="348" t="s">
        <v>29</v>
      </c>
      <c r="C38" s="334">
        <v>4</v>
      </c>
      <c r="D38" s="334">
        <v>333982.30485661502</v>
      </c>
      <c r="E38" s="334">
        <v>3</v>
      </c>
      <c r="F38" s="334">
        <v>16839.98</v>
      </c>
    </row>
    <row r="39" spans="1:6">
      <c r="A39" s="348" t="s">
        <v>30</v>
      </c>
      <c r="B39" s="348" t="s">
        <v>31</v>
      </c>
      <c r="C39" s="334">
        <v>16801</v>
      </c>
      <c r="D39" s="334">
        <v>232550903.88915101</v>
      </c>
      <c r="E39" s="334">
        <v>19032</v>
      </c>
      <c r="F39" s="334">
        <v>56346222</v>
      </c>
    </row>
    <row r="40" spans="1:6">
      <c r="A40" s="348" t="s">
        <v>30</v>
      </c>
      <c r="B40" s="348" t="s">
        <v>29</v>
      </c>
      <c r="C40" s="334">
        <v>0</v>
      </c>
      <c r="D40" s="334">
        <v>0</v>
      </c>
      <c r="E40" s="334">
        <v>2</v>
      </c>
      <c r="F40" s="334">
        <v>15794.326000000001</v>
      </c>
    </row>
    <row r="41" spans="1:6">
      <c r="A41" s="348" t="s">
        <v>32</v>
      </c>
      <c r="B41" s="348" t="s">
        <v>33</v>
      </c>
      <c r="C41" s="334">
        <v>184</v>
      </c>
      <c r="D41" s="334">
        <v>6351414.0811064299</v>
      </c>
      <c r="E41" s="334">
        <v>316</v>
      </c>
      <c r="F41" s="334">
        <v>8382469</v>
      </c>
    </row>
    <row r="42" spans="1:6">
      <c r="A42" s="348" t="s">
        <v>32</v>
      </c>
      <c r="B42" s="348" t="s">
        <v>34</v>
      </c>
      <c r="C42" s="334">
        <v>9</v>
      </c>
      <c r="D42" s="334">
        <v>13252145.4598135</v>
      </c>
      <c r="E42" s="334">
        <v>8</v>
      </c>
      <c r="F42" s="334">
        <v>17404687</v>
      </c>
    </row>
    <row r="43" spans="1:6">
      <c r="A43" s="348" t="s">
        <v>32</v>
      </c>
      <c r="B43" s="348" t="s">
        <v>35</v>
      </c>
      <c r="C43" s="334">
        <v>0</v>
      </c>
      <c r="D43" s="334">
        <v>0</v>
      </c>
      <c r="E43" s="334">
        <v>0</v>
      </c>
      <c r="F43" s="334">
        <v>0</v>
      </c>
    </row>
    <row r="44" spans="1:6">
      <c r="A44" s="348" t="s">
        <v>32</v>
      </c>
      <c r="B44" s="348" t="s">
        <v>36</v>
      </c>
      <c r="C44" s="334">
        <v>13</v>
      </c>
      <c r="D44" s="334">
        <v>775668.91219566704</v>
      </c>
      <c r="E44" s="334">
        <v>30</v>
      </c>
      <c r="F44" s="334">
        <v>852538.5</v>
      </c>
    </row>
    <row r="45" spans="1:6">
      <c r="A45" s="348" t="s">
        <v>32</v>
      </c>
      <c r="B45" s="348" t="s">
        <v>37</v>
      </c>
      <c r="C45" s="334">
        <v>0</v>
      </c>
      <c r="D45" s="334">
        <v>0</v>
      </c>
      <c r="E45" s="334">
        <v>3</v>
      </c>
      <c r="F45" s="334">
        <v>475374.9</v>
      </c>
    </row>
    <row r="46" spans="1:6">
      <c r="A46" s="348" t="s">
        <v>32</v>
      </c>
      <c r="B46" s="348" t="s">
        <v>38</v>
      </c>
      <c r="C46" s="334">
        <v>0</v>
      </c>
      <c r="D46" s="334">
        <v>0</v>
      </c>
      <c r="E46" s="334">
        <v>0</v>
      </c>
      <c r="F46" s="334">
        <v>0</v>
      </c>
    </row>
    <row r="47" spans="1:6">
      <c r="A47" s="348" t="s">
        <v>32</v>
      </c>
      <c r="B47" s="348" t="s">
        <v>39</v>
      </c>
      <c r="C47" s="334">
        <v>21</v>
      </c>
      <c r="D47" s="334">
        <v>29269659.842450898</v>
      </c>
      <c r="E47" s="334">
        <v>23</v>
      </c>
      <c r="F47" s="334">
        <v>28765230</v>
      </c>
    </row>
    <row r="48" spans="1:6">
      <c r="A48" s="348" t="s">
        <v>32</v>
      </c>
      <c r="B48" s="348" t="s">
        <v>29</v>
      </c>
      <c r="C48" s="334">
        <v>39</v>
      </c>
      <c r="D48" s="334">
        <v>79722236.600712195</v>
      </c>
      <c r="E48" s="334">
        <v>48</v>
      </c>
      <c r="F48" s="334">
        <v>112000000</v>
      </c>
    </row>
    <row r="49" spans="1:6">
      <c r="A49" s="348" t="s">
        <v>32</v>
      </c>
      <c r="B49" s="348" t="s">
        <v>40</v>
      </c>
      <c r="C49" s="334">
        <v>4</v>
      </c>
      <c r="D49" s="334">
        <v>78496.256942761</v>
      </c>
      <c r="E49" s="334">
        <v>4</v>
      </c>
      <c r="F49" s="334">
        <v>15610.99</v>
      </c>
    </row>
    <row r="50" spans="1:6">
      <c r="A50" s="348" t="s">
        <v>32</v>
      </c>
      <c r="B50" s="348" t="s">
        <v>41</v>
      </c>
      <c r="C50" s="334">
        <v>28</v>
      </c>
      <c r="D50" s="334">
        <v>30922165.296170499</v>
      </c>
      <c r="E50" s="334">
        <v>37</v>
      </c>
      <c r="F50" s="334">
        <v>20390628</v>
      </c>
    </row>
    <row r="51" spans="1:6">
      <c r="A51" s="348" t="s">
        <v>42</v>
      </c>
      <c r="B51" s="348" t="s">
        <v>43</v>
      </c>
      <c r="C51" s="334">
        <v>6</v>
      </c>
      <c r="D51" s="334">
        <v>336608.20429084502</v>
      </c>
      <c r="E51" s="334">
        <v>61</v>
      </c>
      <c r="F51" s="334">
        <v>1338060</v>
      </c>
    </row>
    <row r="52" spans="1:6">
      <c r="A52" s="348" t="s">
        <v>42</v>
      </c>
      <c r="B52" s="348" t="s">
        <v>29</v>
      </c>
      <c r="C52" s="334">
        <v>9</v>
      </c>
      <c r="D52" s="334">
        <v>2193829.54890414</v>
      </c>
      <c r="E52" s="334">
        <v>9</v>
      </c>
      <c r="F52" s="334">
        <v>159290.9</v>
      </c>
    </row>
    <row r="53" spans="1:6">
      <c r="A53" s="348" t="s">
        <v>44</v>
      </c>
      <c r="B53" s="348" t="s">
        <v>45</v>
      </c>
      <c r="C53" s="334">
        <v>451</v>
      </c>
      <c r="D53" s="334">
        <v>11762153.679625301</v>
      </c>
      <c r="E53" s="334">
        <v>843</v>
      </c>
      <c r="F53" s="334">
        <v>3053046</v>
      </c>
    </row>
    <row r="54" spans="1:6">
      <c r="A54" s="348" t="s">
        <v>46</v>
      </c>
      <c r="B54" s="348" t="s">
        <v>47</v>
      </c>
      <c r="C54" s="334">
        <v>0</v>
      </c>
      <c r="D54" s="334">
        <v>0</v>
      </c>
      <c r="E54" s="334">
        <v>1</v>
      </c>
      <c r="F54" s="334">
        <v>2564677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141</v>
      </c>
      <c r="D57" s="334">
        <v>7611375.8928958001</v>
      </c>
      <c r="E57" s="334">
        <v>219</v>
      </c>
      <c r="F57" s="334">
        <v>5635681</v>
      </c>
    </row>
    <row r="58" spans="1:6">
      <c r="A58" s="348" t="s">
        <v>49</v>
      </c>
      <c r="B58" s="348" t="s">
        <v>51</v>
      </c>
      <c r="C58" s="334">
        <v>109</v>
      </c>
      <c r="D58" s="334">
        <v>17647338.644081101</v>
      </c>
      <c r="E58" s="334">
        <v>146</v>
      </c>
      <c r="F58" s="334">
        <v>15530446</v>
      </c>
    </row>
    <row r="59" spans="1:6">
      <c r="A59" s="348" t="s">
        <v>49</v>
      </c>
      <c r="B59" s="348" t="s">
        <v>52</v>
      </c>
      <c r="C59" s="334">
        <v>426</v>
      </c>
      <c r="D59" s="334">
        <v>28826330.290580701</v>
      </c>
      <c r="E59" s="334">
        <v>623</v>
      </c>
      <c r="F59" s="334">
        <v>33474620</v>
      </c>
    </row>
    <row r="60" spans="1:6">
      <c r="A60" s="348" t="s">
        <v>49</v>
      </c>
      <c r="B60" s="348" t="s">
        <v>53</v>
      </c>
      <c r="C60" s="334">
        <v>214</v>
      </c>
      <c r="D60" s="334">
        <v>15283516.8656541</v>
      </c>
      <c r="E60" s="334">
        <v>235</v>
      </c>
      <c r="F60" s="334">
        <v>7855305</v>
      </c>
    </row>
    <row r="61" spans="1:6">
      <c r="A61" s="348" t="s">
        <v>49</v>
      </c>
      <c r="B61" s="348" t="s">
        <v>54</v>
      </c>
      <c r="C61" s="334">
        <v>638</v>
      </c>
      <c r="D61" s="334">
        <v>37479212.948843896</v>
      </c>
      <c r="E61" s="334">
        <v>1219</v>
      </c>
      <c r="F61" s="334">
        <v>19463389</v>
      </c>
    </row>
    <row r="62" spans="1:6">
      <c r="A62" s="348" t="s">
        <v>49</v>
      </c>
      <c r="B62" s="348" t="s">
        <v>55</v>
      </c>
      <c r="C62" s="334">
        <v>46</v>
      </c>
      <c r="D62" s="334">
        <v>4885702.5163595397</v>
      </c>
      <c r="E62" s="334">
        <v>48</v>
      </c>
      <c r="F62" s="334">
        <v>2728938</v>
      </c>
    </row>
    <row r="63" spans="1:6">
      <c r="A63" s="348" t="s">
        <v>49</v>
      </c>
      <c r="B63" s="348" t="s">
        <v>29</v>
      </c>
      <c r="C63" s="334">
        <v>96</v>
      </c>
      <c r="D63" s="334">
        <v>9893778.0384512395</v>
      </c>
      <c r="E63" s="334">
        <v>91</v>
      </c>
      <c r="F63" s="334">
        <v>5050599</v>
      </c>
    </row>
    <row r="64" spans="1:6">
      <c r="A64" s="348" t="s">
        <v>56</v>
      </c>
      <c r="B64" s="348" t="s">
        <v>57</v>
      </c>
      <c r="C64" s="334">
        <v>0</v>
      </c>
      <c r="D64" s="334">
        <v>0</v>
      </c>
      <c r="E64" s="334">
        <v>0</v>
      </c>
      <c r="F64" s="334">
        <v>0</v>
      </c>
    </row>
    <row r="65" spans="1:6">
      <c r="A65" s="348" t="s">
        <v>56</v>
      </c>
      <c r="B65" s="348" t="s">
        <v>29</v>
      </c>
      <c r="C65" s="334">
        <v>5</v>
      </c>
      <c r="D65" s="334">
        <v>354341.51672733598</v>
      </c>
      <c r="E65" s="334">
        <v>1</v>
      </c>
      <c r="F65" s="334">
        <v>37322.269999999997</v>
      </c>
    </row>
    <row r="66" spans="1:6">
      <c r="A66" s="348" t="s">
        <v>56</v>
      </c>
      <c r="B66" s="348" t="s">
        <v>58</v>
      </c>
      <c r="C66" s="334">
        <v>6</v>
      </c>
      <c r="D66" s="334">
        <v>562457.96507034497</v>
      </c>
      <c r="E66" s="334">
        <v>24</v>
      </c>
      <c r="F66" s="334">
        <v>861176.2</v>
      </c>
    </row>
    <row r="67" spans="1:6">
      <c r="A67" s="355" t="s">
        <v>56</v>
      </c>
      <c r="B67" s="355" t="s">
        <v>59</v>
      </c>
      <c r="C67" s="334">
        <v>0</v>
      </c>
      <c r="D67" s="334">
        <v>0</v>
      </c>
      <c r="E67" s="334">
        <v>0</v>
      </c>
      <c r="F67" s="334">
        <v>0</v>
      </c>
    </row>
    <row r="68" spans="1:6">
      <c r="A68" s="341" t="s">
        <v>56</v>
      </c>
      <c r="B68" s="341" t="s">
        <v>60</v>
      </c>
      <c r="C68" s="334">
        <v>12</v>
      </c>
      <c r="D68" s="334">
        <v>676602.12832963001</v>
      </c>
      <c r="E68" s="334">
        <v>28</v>
      </c>
      <c r="F68" s="334">
        <v>862237.6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153638476</v>
      </c>
      <c r="E73" s="476">
        <v>157975911.17155635</v>
      </c>
    </row>
    <row r="74" spans="1:6">
      <c r="A74" s="348" t="s">
        <v>64</v>
      </c>
      <c r="B74" s="348" t="s">
        <v>714</v>
      </c>
      <c r="C74" s="1311" t="s">
        <v>716</v>
      </c>
      <c r="D74" s="476">
        <v>14538077.039840659</v>
      </c>
      <c r="E74" s="476">
        <v>14608482.097261544</v>
      </c>
    </row>
    <row r="75" spans="1:6">
      <c r="A75" s="348" t="s">
        <v>65</v>
      </c>
      <c r="B75" s="348" t="s">
        <v>713</v>
      </c>
      <c r="C75" s="1311" t="s">
        <v>717</v>
      </c>
      <c r="D75" s="476">
        <v>29740943</v>
      </c>
      <c r="E75" s="476">
        <v>30483500.976804804</v>
      </c>
    </row>
    <row r="76" spans="1:6">
      <c r="A76" s="348" t="s">
        <v>65</v>
      </c>
      <c r="B76" s="348" t="s">
        <v>714</v>
      </c>
      <c r="C76" s="1311" t="s">
        <v>718</v>
      </c>
      <c r="D76" s="476">
        <v>534428.03984065971</v>
      </c>
      <c r="E76" s="476">
        <v>567664.35296285804</v>
      </c>
    </row>
    <row r="77" spans="1:6">
      <c r="A77" s="348" t="s">
        <v>66</v>
      </c>
      <c r="B77" s="348" t="s">
        <v>713</v>
      </c>
      <c r="C77" s="1311" t="s">
        <v>719</v>
      </c>
      <c r="D77" s="476">
        <v>62020237</v>
      </c>
      <c r="E77" s="476">
        <v>66520458.93493101</v>
      </c>
    </row>
    <row r="78" spans="1:6">
      <c r="A78" s="341" t="s">
        <v>66</v>
      </c>
      <c r="B78" s="341" t="s">
        <v>714</v>
      </c>
      <c r="C78" s="341" t="s">
        <v>720</v>
      </c>
      <c r="D78" s="1307">
        <v>16529385</v>
      </c>
      <c r="E78" s="1307">
        <v>18424179.668424014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1439751.9203186806</v>
      </c>
      <c r="C83" s="476">
        <v>1423439.4108484318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4107.409326225943</v>
      </c>
    </row>
    <row r="92" spans="1:6">
      <c r="A92" s="341" t="s">
        <v>69</v>
      </c>
      <c r="B92" s="342">
        <v>10377.182141566476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12843</v>
      </c>
    </row>
    <row r="98" spans="1:6">
      <c r="A98" s="348" t="s">
        <v>72</v>
      </c>
      <c r="B98" s="334">
        <v>18</v>
      </c>
    </row>
    <row r="99" spans="1:6">
      <c r="A99" s="348" t="s">
        <v>73</v>
      </c>
      <c r="B99" s="334">
        <v>63</v>
      </c>
    </row>
    <row r="100" spans="1:6">
      <c r="A100" s="348" t="s">
        <v>74</v>
      </c>
      <c r="B100" s="334">
        <v>462</v>
      </c>
    </row>
    <row r="101" spans="1:6">
      <c r="A101" s="348" t="s">
        <v>75</v>
      </c>
      <c r="B101" s="334">
        <v>128</v>
      </c>
    </row>
    <row r="102" spans="1:6">
      <c r="A102" s="348" t="s">
        <v>76</v>
      </c>
      <c r="B102" s="334">
        <v>292</v>
      </c>
    </row>
    <row r="103" spans="1:6">
      <c r="A103" s="348" t="s">
        <v>77</v>
      </c>
      <c r="B103" s="334">
        <v>271</v>
      </c>
    </row>
    <row r="104" spans="1:6">
      <c r="A104" s="348" t="s">
        <v>78</v>
      </c>
      <c r="B104" s="334">
        <v>2518</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20</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177</v>
      </c>
    </row>
    <row r="130" spans="1:6">
      <c r="A130" s="348" t="s">
        <v>295</v>
      </c>
      <c r="B130" s="334">
        <v>4</v>
      </c>
    </row>
    <row r="131" spans="1:6">
      <c r="A131" s="348" t="s">
        <v>296</v>
      </c>
      <c r="B131" s="334">
        <v>7</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350157.14882915636</v>
      </c>
      <c r="C3" s="43" t="s">
        <v>170</v>
      </c>
      <c r="D3" s="43"/>
      <c r="E3" s="154"/>
      <c r="F3" s="43"/>
      <c r="G3" s="43"/>
      <c r="H3" s="43"/>
      <c r="I3" s="43"/>
      <c r="J3" s="43"/>
      <c r="K3" s="96"/>
    </row>
    <row r="4" spans="1:11">
      <c r="A4" s="384" t="s">
        <v>171</v>
      </c>
      <c r="B4" s="49">
        <f>IF(ISERROR('SEAP template'!B78+'SEAP template'!C78),0,'SEAP template'!B78+'SEAP template'!C78)</f>
        <v>18998.091467792419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744.96967601019287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0.21113697549822991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1328.4160382755215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5657.1428571428578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0.23482101686688509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2564.6770000000001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2564.6770000000001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0.21113697549822991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541.49814490987376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56362.016325999997</v>
      </c>
      <c r="C5" s="17">
        <f>IF(ISERROR('Eigen informatie GS &amp; warmtenet'!B57),0,'Eigen informatie GS &amp; warmtenet'!B57)</f>
        <v>0</v>
      </c>
      <c r="D5" s="30">
        <f>(SUM(HH_hh_gas_kWh,HH_rest_gas_kWh)/1000)*0.902</f>
        <v>209760.9153080142</v>
      </c>
      <c r="E5" s="17">
        <f>B46*B57</f>
        <v>3015.7451653478934</v>
      </c>
      <c r="F5" s="17">
        <f>B51*B62</f>
        <v>0</v>
      </c>
      <c r="G5" s="18"/>
      <c r="H5" s="17"/>
      <c r="I5" s="17"/>
      <c r="J5" s="17">
        <f>B50*B61+C50*C61</f>
        <v>0</v>
      </c>
      <c r="K5" s="17"/>
      <c r="L5" s="17"/>
      <c r="M5" s="17"/>
      <c r="N5" s="17">
        <f>B48*B59+C48*C59</f>
        <v>23236.047041023499</v>
      </c>
      <c r="O5" s="17">
        <f>B69*B70*B71</f>
        <v>309.54000000000002</v>
      </c>
      <c r="P5" s="17">
        <f>B77*B78*B79/1000-B77*B78*B79/1000/B80</f>
        <v>724.5333333333333</v>
      </c>
    </row>
    <row r="6" spans="1:16">
      <c r="A6" s="16" t="s">
        <v>631</v>
      </c>
      <c r="B6" s="789">
        <f>kWh_PV_kleiner_dan_10kW</f>
        <v>4107.409326225943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60469.425652225938</v>
      </c>
      <c r="C8" s="21">
        <f>C5</f>
        <v>0</v>
      </c>
      <c r="D8" s="21">
        <f>D5</f>
        <v>209760.9153080142</v>
      </c>
      <c r="E8" s="21">
        <f>E5</f>
        <v>3015.7451653478934</v>
      </c>
      <c r="F8" s="21">
        <f>F5</f>
        <v>0</v>
      </c>
      <c r="G8" s="21"/>
      <c r="H8" s="21"/>
      <c r="I8" s="21"/>
      <c r="J8" s="21">
        <f>J5</f>
        <v>0</v>
      </c>
      <c r="K8" s="21"/>
      <c r="L8" s="21">
        <f>L5</f>
        <v>0</v>
      </c>
      <c r="M8" s="21">
        <f>M5</f>
        <v>0</v>
      </c>
      <c r="N8" s="21">
        <f>N5</f>
        <v>23236.047041023499</v>
      </c>
      <c r="O8" s="21">
        <f>O5</f>
        <v>309.54000000000002</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0.21113697549822991</v>
      </c>
      <c r="C10" s="25">
        <f ca="1">'EF ele_warmte'!B22</f>
        <v>0.23482101686688509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12767.331642326062</v>
      </c>
      <c r="C12" s="23">
        <f ca="1">C10*C8</f>
        <v>0</v>
      </c>
      <c r="D12" s="23">
        <f>D8*D10</f>
        <v>42371.70489221887</v>
      </c>
      <c r="E12" s="23">
        <f>E10*E8</f>
        <v>684.57415253397187</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12843</v>
      </c>
      <c r="C18" s="166" t="s">
        <v>111</v>
      </c>
      <c r="D18" s="228"/>
      <c r="E18" s="15"/>
    </row>
    <row r="19" spans="1:7">
      <c r="A19" s="171" t="s">
        <v>72</v>
      </c>
      <c r="B19" s="37">
        <f>aantalw2001_ander</f>
        <v>18</v>
      </c>
      <c r="C19" s="166" t="s">
        <v>111</v>
      </c>
      <c r="D19" s="229"/>
      <c r="E19" s="15"/>
    </row>
    <row r="20" spans="1:7">
      <c r="A20" s="171" t="s">
        <v>73</v>
      </c>
      <c r="B20" s="37">
        <f>aantalw2001_propaan</f>
        <v>63</v>
      </c>
      <c r="C20" s="167">
        <f>IF(ISERROR(B20/SUM($B$20,$B$21,$B$22)*100),0,B20/SUM($B$20,$B$21,$B$22)*100)</f>
        <v>9.6477794793261857</v>
      </c>
      <c r="D20" s="229"/>
      <c r="E20" s="15"/>
    </row>
    <row r="21" spans="1:7">
      <c r="A21" s="171" t="s">
        <v>74</v>
      </c>
      <c r="B21" s="37">
        <f>aantalw2001_elektriciteit</f>
        <v>462</v>
      </c>
      <c r="C21" s="167">
        <f>IF(ISERROR(B21/SUM($B$20,$B$21,$B$22)*100),0,B21/SUM($B$20,$B$21,$B$22)*100)</f>
        <v>70.750382848392036</v>
      </c>
      <c r="D21" s="229"/>
      <c r="E21" s="15"/>
    </row>
    <row r="22" spans="1:7">
      <c r="A22" s="171" t="s">
        <v>75</v>
      </c>
      <c r="B22" s="37">
        <f>aantalw2001_hout</f>
        <v>128</v>
      </c>
      <c r="C22" s="167">
        <f>IF(ISERROR(B22/SUM($B$20,$B$21,$B$22)*100),0,B22/SUM($B$20,$B$21,$B$22)*100)</f>
        <v>19.601837672281778</v>
      </c>
      <c r="D22" s="229"/>
      <c r="E22" s="15"/>
    </row>
    <row r="23" spans="1:7">
      <c r="A23" s="171" t="s">
        <v>76</v>
      </c>
      <c r="B23" s="37">
        <f>aantalw2001_niet_gespec</f>
        <v>292</v>
      </c>
      <c r="C23" s="166" t="s">
        <v>111</v>
      </c>
      <c r="D23" s="228"/>
      <c r="E23" s="15"/>
    </row>
    <row r="24" spans="1:7">
      <c r="A24" s="171" t="s">
        <v>77</v>
      </c>
      <c r="B24" s="37">
        <f>aantalw2001_steenkool</f>
        <v>271</v>
      </c>
      <c r="C24" s="166" t="s">
        <v>111</v>
      </c>
      <c r="D24" s="229"/>
      <c r="E24" s="15"/>
    </row>
    <row r="25" spans="1:7">
      <c r="A25" s="171" t="s">
        <v>78</v>
      </c>
      <c r="B25" s="37">
        <f>aantalw2001_stookolie</f>
        <v>2518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18934</v>
      </c>
      <c r="C28" s="36"/>
      <c r="D28" s="228"/>
    </row>
    <row r="29" spans="1:7" s="15" customFormat="1">
      <c r="A29" s="230" t="s">
        <v>741</v>
      </c>
      <c r="B29" s="37">
        <f>SUM(HH_hh_gas_aantal,HH_rest_gas_aantal)</f>
        <v>16801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16801</v>
      </c>
      <c r="C32" s="167">
        <f>IF(ISERROR(B32/SUM($B$32,$B$34,$B$35,$B$36,$B$38,$B$39)*100),0,B32/SUM($B$32,$B$34,$B$35,$B$36,$B$38,$B$39)*100)</f>
        <v>88.912997459779859</v>
      </c>
      <c r="D32" s="233"/>
      <c r="G32" s="15"/>
    </row>
    <row r="33" spans="1:7">
      <c r="A33" s="171" t="s">
        <v>72</v>
      </c>
      <c r="B33" s="34" t="s">
        <v>111</v>
      </c>
      <c r="C33" s="167"/>
      <c r="D33" s="233"/>
      <c r="G33" s="15"/>
    </row>
    <row r="34" spans="1:7">
      <c r="A34" s="171" t="s">
        <v>73</v>
      </c>
      <c r="B34" s="33">
        <f>IF((($B$28-$B$32-$B$39-$B$77-$B$38)*C20/100)&lt;0,0,($B$28-$B$32-$B$39-$B$77-$B$38)*C20/100)</f>
        <v>202.12098009188358</v>
      </c>
      <c r="C34" s="167">
        <f>IF(ISERROR(B34/SUM($B$32,$B$34,$B$35,$B$36,$B$38,$B$39)*100),0,B34/SUM($B$32,$B$34,$B$35,$B$36,$B$38,$B$39)*100)</f>
        <v>1.0696495559477328</v>
      </c>
      <c r="D34" s="233"/>
      <c r="G34" s="15"/>
    </row>
    <row r="35" spans="1:7">
      <c r="A35" s="171" t="s">
        <v>74</v>
      </c>
      <c r="B35" s="33">
        <f>IF((($B$28-$B$32-$B$39-$B$77-$B$38)*C21/100)&lt;0,0,($B$28-$B$32-$B$39-$B$77-$B$38)*C21/100)</f>
        <v>1482.2205206738131</v>
      </c>
      <c r="C35" s="167">
        <f>IF(ISERROR(B35/SUM($B$32,$B$34,$B$35,$B$36,$B$38,$B$39)*100),0,B35/SUM($B$32,$B$34,$B$35,$B$36,$B$38,$B$39)*100)</f>
        <v>7.8440967436167073</v>
      </c>
      <c r="D35" s="233"/>
      <c r="G35" s="15"/>
    </row>
    <row r="36" spans="1:7">
      <c r="A36" s="171" t="s">
        <v>75</v>
      </c>
      <c r="B36" s="33">
        <f>IF((($B$28-$B$32-$B$39-$B$77-$B$38)*C22/100)&lt;0,0,($B$28-$B$32-$B$39-$B$77-$B$38)*C22/100)</f>
        <v>410.65849923430324</v>
      </c>
      <c r="C36" s="167">
        <f>IF(ISERROR(B36/SUM($B$32,$B$34,$B$35,$B$36,$B$38,$B$39)*100),0,B36/SUM($B$32,$B$34,$B$35,$B$36,$B$38,$B$39)*100)</f>
        <v>2.1732562406557117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16801</v>
      </c>
      <c r="C44" s="34" t="s">
        <v>111</v>
      </c>
      <c r="D44" s="174"/>
    </row>
    <row r="45" spans="1:7">
      <c r="A45" s="171" t="s">
        <v>72</v>
      </c>
      <c r="B45" s="33" t="str">
        <f t="shared" si="0"/>
        <v>-</v>
      </c>
      <c r="C45" s="34" t="s">
        <v>111</v>
      </c>
      <c r="D45" s="174"/>
    </row>
    <row r="46" spans="1:7">
      <c r="A46" s="171" t="s">
        <v>73</v>
      </c>
      <c r="B46" s="33">
        <f t="shared" si="0"/>
        <v>202.12098009188358</v>
      </c>
      <c r="C46" s="34" t="s">
        <v>111</v>
      </c>
      <c r="D46" s="174"/>
    </row>
    <row r="47" spans="1:7">
      <c r="A47" s="171" t="s">
        <v>74</v>
      </c>
      <c r="B47" s="33">
        <f t="shared" si="0"/>
        <v>1482.2205206738131</v>
      </c>
      <c r="C47" s="34" t="s">
        <v>111</v>
      </c>
      <c r="D47" s="174"/>
    </row>
    <row r="48" spans="1:7">
      <c r="A48" s="171" t="s">
        <v>75</v>
      </c>
      <c r="B48" s="33">
        <f t="shared" si="0"/>
        <v>410.65849923430324</v>
      </c>
      <c r="C48" s="33">
        <f>B48*10</f>
        <v>4106.5849923430324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89738.977999999988</v>
      </c>
      <c r="C5" s="17">
        <f>IF(ISERROR('Eigen informatie GS &amp; warmtenet'!B58),0,'Eigen informatie GS &amp; warmtenet'!B58)</f>
        <v>0</v>
      </c>
      <c r="D5" s="30">
        <f>SUM(D6:D12)</f>
        <v>109707.78418757346</v>
      </c>
      <c r="E5" s="17">
        <f>SUM(E6:E12)</f>
        <v>824.90399916674528</v>
      </c>
      <c r="F5" s="17">
        <f>SUM(F6:F12)</f>
        <v>12829.854094130709</v>
      </c>
      <c r="G5" s="18"/>
      <c r="H5" s="17"/>
      <c r="I5" s="17"/>
      <c r="J5" s="17">
        <f>SUM(J6:J12)</f>
        <v>0</v>
      </c>
      <c r="K5" s="17"/>
      <c r="L5" s="17"/>
      <c r="M5" s="17"/>
      <c r="N5" s="17">
        <f>SUM(N6:N12)</f>
        <v>4997.106643217996</v>
      </c>
      <c r="O5" s="17">
        <f>B38*B39*B40</f>
        <v>6.2533333333333339</v>
      </c>
      <c r="P5" s="17">
        <f>B46*B47*B48/1000-B46*B47*B48/1000/B49</f>
        <v>133.46666666666667</v>
      </c>
      <c r="R5" s="32"/>
    </row>
    <row r="6" spans="1:18">
      <c r="A6" s="32" t="s">
        <v>54</v>
      </c>
      <c r="B6" s="37">
        <f>B26</f>
        <v>19463.388999999999</v>
      </c>
      <c r="C6" s="33"/>
      <c r="D6" s="37">
        <f>IF(ISERROR(TER_kantoor_gas_kWh/1000),0,TER_kantoor_gas_kWh/1000)*0.902</f>
        <v>33806.250079857193</v>
      </c>
      <c r="E6" s="33">
        <f>$C$26*'E Balans VL '!I12/100/3.6*1000000</f>
        <v>56.388293617081167</v>
      </c>
      <c r="F6" s="33">
        <f>$C$26*('E Balans VL '!L12+'E Balans VL '!N12)/100/3.6*1000000</f>
        <v>2202.8268230935532</v>
      </c>
      <c r="G6" s="34"/>
      <c r="H6" s="33"/>
      <c r="I6" s="33"/>
      <c r="J6" s="33">
        <f>$C$26*('E Balans VL '!D12+'E Balans VL '!E12)/100/3.6*1000000</f>
        <v>0</v>
      </c>
      <c r="K6" s="33"/>
      <c r="L6" s="33"/>
      <c r="M6" s="33"/>
      <c r="N6" s="33">
        <f>$C$26*'E Balans VL '!Y12/100/3.6*1000000</f>
        <v>194.81418262466497</v>
      </c>
      <c r="O6" s="33"/>
      <c r="P6" s="33"/>
      <c r="R6" s="32"/>
    </row>
    <row r="7" spans="1:18">
      <c r="A7" s="32" t="s">
        <v>53</v>
      </c>
      <c r="B7" s="37">
        <f t="shared" ref="B7:B12" si="0">B27</f>
        <v>7855.3050000000003</v>
      </c>
      <c r="C7" s="33"/>
      <c r="D7" s="37">
        <f>IF(ISERROR(TER_horeca_gas_kWh/1000),0,TER_horeca_gas_kWh/1000)*0.902</f>
        <v>13785.732212819998</v>
      </c>
      <c r="E7" s="33">
        <f>$C$27*'E Balans VL '!I9/100/3.6*1000000</f>
        <v>329.74375661159257</v>
      </c>
      <c r="F7" s="33">
        <f>$C$27*('E Balans VL '!L9+'E Balans VL '!N9)/100/3.6*1000000</f>
        <v>1687.8733674507864</v>
      </c>
      <c r="G7" s="34"/>
      <c r="H7" s="33"/>
      <c r="I7" s="33"/>
      <c r="J7" s="33">
        <f>$C$27*('E Balans VL '!D9+'E Balans VL '!E9)/100/3.6*1000000</f>
        <v>0</v>
      </c>
      <c r="K7" s="33"/>
      <c r="L7" s="33"/>
      <c r="M7" s="33"/>
      <c r="N7" s="33">
        <f>$C$27*'E Balans VL '!Y9/100/3.6*1000000</f>
        <v>2.0242434013656281</v>
      </c>
      <c r="O7" s="33"/>
      <c r="P7" s="33"/>
      <c r="R7" s="32"/>
    </row>
    <row r="8" spans="1:18">
      <c r="A8" s="6" t="s">
        <v>52</v>
      </c>
      <c r="B8" s="37">
        <f t="shared" si="0"/>
        <v>33474.620000000003</v>
      </c>
      <c r="C8" s="33"/>
      <c r="D8" s="37">
        <f>IF(ISERROR(TER_handel_gas_kWh/1000),0,TER_handel_gas_kWh/1000)*0.902</f>
        <v>26001.349922103793</v>
      </c>
      <c r="E8" s="33">
        <f>$C$28*'E Balans VL '!I13/100/3.6*1000000</f>
        <v>359.54527893425751</v>
      </c>
      <c r="F8" s="33">
        <f>$C$28*('E Balans VL '!L13+'E Balans VL '!N13)/100/3.6*1000000</f>
        <v>4333.56598671346</v>
      </c>
      <c r="G8" s="34"/>
      <c r="H8" s="33"/>
      <c r="I8" s="33"/>
      <c r="J8" s="33">
        <f>$C$28*('E Balans VL '!D13+'E Balans VL '!E13)/100/3.6*1000000</f>
        <v>0</v>
      </c>
      <c r="K8" s="33"/>
      <c r="L8" s="33"/>
      <c r="M8" s="33"/>
      <c r="N8" s="33">
        <f>$C$28*'E Balans VL '!Y13/100/3.6*1000000</f>
        <v>271.54794523372368</v>
      </c>
      <c r="O8" s="33"/>
      <c r="P8" s="33"/>
      <c r="R8" s="32"/>
    </row>
    <row r="9" spans="1:18">
      <c r="A9" s="32" t="s">
        <v>51</v>
      </c>
      <c r="B9" s="37">
        <f t="shared" si="0"/>
        <v>15530.446</v>
      </c>
      <c r="C9" s="33"/>
      <c r="D9" s="37">
        <f>IF(ISERROR(TER_gezond_gas_kWh/1000),0,TER_gezond_gas_kWh/1000)*0.902</f>
        <v>15917.899456961153</v>
      </c>
      <c r="E9" s="33">
        <f>$C$29*'E Balans VL '!I10/100/3.6*1000000</f>
        <v>12.363239498336402</v>
      </c>
      <c r="F9" s="33">
        <f>$C$29*('E Balans VL '!L10+'E Balans VL '!N10)/100/3.6*1000000</f>
        <v>1887.9501464596656</v>
      </c>
      <c r="G9" s="34"/>
      <c r="H9" s="33"/>
      <c r="I9" s="33"/>
      <c r="J9" s="33">
        <f>$C$29*('E Balans VL '!D10+'E Balans VL '!E10)/100/3.6*1000000</f>
        <v>0</v>
      </c>
      <c r="K9" s="33"/>
      <c r="L9" s="33"/>
      <c r="M9" s="33"/>
      <c r="N9" s="33">
        <f>$C$29*'E Balans VL '!Y10/100/3.6*1000000</f>
        <v>125.45082826667159</v>
      </c>
      <c r="O9" s="33"/>
      <c r="P9" s="33"/>
      <c r="R9" s="32"/>
    </row>
    <row r="10" spans="1:18">
      <c r="A10" s="32" t="s">
        <v>50</v>
      </c>
      <c r="B10" s="37">
        <f t="shared" si="0"/>
        <v>5635.6809999999996</v>
      </c>
      <c r="C10" s="33"/>
      <c r="D10" s="37">
        <f>IF(ISERROR(TER_ander_gas_kWh/1000),0,TER_ander_gas_kWh/1000)*0.902</f>
        <v>6865.461055392012</v>
      </c>
      <c r="E10" s="33">
        <f>$C$30*'E Balans VL '!I14/100/3.6*1000000</f>
        <v>19.313774847728912</v>
      </c>
      <c r="F10" s="33">
        <f>$C$30*('E Balans VL '!L14+'E Balans VL '!N14)/100/3.6*1000000</f>
        <v>1258.782128300395</v>
      </c>
      <c r="G10" s="34"/>
      <c r="H10" s="33"/>
      <c r="I10" s="33"/>
      <c r="J10" s="33">
        <f>$C$30*('E Balans VL '!D14+'E Balans VL '!E14)/100/3.6*1000000</f>
        <v>0</v>
      </c>
      <c r="K10" s="33"/>
      <c r="L10" s="33"/>
      <c r="M10" s="33"/>
      <c r="N10" s="33">
        <f>$C$30*'E Balans VL '!Y14/100/3.6*1000000</f>
        <v>3969.8044835234978</v>
      </c>
      <c r="O10" s="33"/>
      <c r="P10" s="33"/>
      <c r="R10" s="32"/>
    </row>
    <row r="11" spans="1:18">
      <c r="A11" s="32" t="s">
        <v>55</v>
      </c>
      <c r="B11" s="37">
        <f t="shared" si="0"/>
        <v>2728.9380000000001</v>
      </c>
      <c r="C11" s="33"/>
      <c r="D11" s="37">
        <f>IF(ISERROR(TER_onderwijs_gas_kWh/1000),0,TER_onderwijs_gas_kWh/1000)*0.902</f>
        <v>4406.9036697563051</v>
      </c>
      <c r="E11" s="33">
        <f>$C$31*'E Balans VL '!I11/100/3.6*1000000</f>
        <v>1.8864307947240206</v>
      </c>
      <c r="F11" s="33">
        <f>$C$31*('E Balans VL '!L11+'E Balans VL '!N11)/100/3.6*1000000</f>
        <v>714.35669812971707</v>
      </c>
      <c r="G11" s="34"/>
      <c r="H11" s="33"/>
      <c r="I11" s="33"/>
      <c r="J11" s="33">
        <f>$C$31*('E Balans VL '!D11+'E Balans VL '!E11)/100/3.6*1000000</f>
        <v>0</v>
      </c>
      <c r="K11" s="33"/>
      <c r="L11" s="33"/>
      <c r="M11" s="33"/>
      <c r="N11" s="33">
        <f>$C$31*'E Balans VL '!Y11/100/3.6*1000000</f>
        <v>2.7164253461928394</v>
      </c>
      <c r="O11" s="33"/>
      <c r="P11" s="33"/>
      <c r="R11" s="32"/>
    </row>
    <row r="12" spans="1:18">
      <c r="A12" s="32" t="s">
        <v>260</v>
      </c>
      <c r="B12" s="37">
        <f t="shared" si="0"/>
        <v>5050.5990000000002</v>
      </c>
      <c r="C12" s="33"/>
      <c r="D12" s="37">
        <f>IF(ISERROR(TER_rest_gas_kWh/1000),0,TER_rest_gas_kWh/1000)*0.902</f>
        <v>8924.1877906830177</v>
      </c>
      <c r="E12" s="33">
        <f>$C$32*'E Balans VL '!I8/100/3.6*1000000</f>
        <v>45.663224863024681</v>
      </c>
      <c r="F12" s="33">
        <f>$C$32*('E Balans VL '!L8+'E Balans VL '!N8)/100/3.6*1000000</f>
        <v>744.4989439831337</v>
      </c>
      <c r="G12" s="34"/>
      <c r="H12" s="33"/>
      <c r="I12" s="33"/>
      <c r="J12" s="33">
        <f>$C$32*('E Balans VL '!D8+'E Balans VL '!E8)/100/3.6*1000000</f>
        <v>0</v>
      </c>
      <c r="K12" s="33"/>
      <c r="L12" s="33"/>
      <c r="M12" s="33"/>
      <c r="N12" s="33">
        <f>$C$32*'E Balans VL '!Y8/100/3.6*1000000</f>
        <v>430.74853482188018</v>
      </c>
      <c r="O12" s="33"/>
      <c r="P12" s="33"/>
      <c r="R12" s="32"/>
    </row>
    <row r="13" spans="1:18">
      <c r="A13" s="16" t="s">
        <v>494</v>
      </c>
      <c r="B13" s="247">
        <f ca="1">'lokale energieproductie'!N91+'lokale energieproductie'!N60</f>
        <v>1656</v>
      </c>
      <c r="C13" s="247">
        <f ca="1">'lokale energieproductie'!O91+'lokale energieproductie'!O60</f>
        <v>1575.0000000000002</v>
      </c>
      <c r="D13" s="310">
        <f ca="1">('lokale energieproductie'!P60+'lokale energieproductie'!P91)*(-1)</f>
        <v>-2100.0000000000005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91394.977999999988</v>
      </c>
      <c r="C16" s="21">
        <f t="shared" ca="1" si="1"/>
        <v>1575.0000000000002</v>
      </c>
      <c r="D16" s="21">
        <f t="shared" ca="1" si="1"/>
        <v>107607.78418757346</v>
      </c>
      <c r="E16" s="21">
        <f t="shared" si="1"/>
        <v>824.90399916674528</v>
      </c>
      <c r="F16" s="21">
        <f t="shared" ca="1" si="1"/>
        <v>12829.854094130709</v>
      </c>
      <c r="G16" s="21">
        <f t="shared" si="1"/>
        <v>0</v>
      </c>
      <c r="H16" s="21">
        <f t="shared" si="1"/>
        <v>0</v>
      </c>
      <c r="I16" s="21">
        <f t="shared" si="1"/>
        <v>0</v>
      </c>
      <c r="J16" s="21">
        <f t="shared" si="1"/>
        <v>0</v>
      </c>
      <c r="K16" s="21">
        <f t="shared" si="1"/>
        <v>0</v>
      </c>
      <c r="L16" s="21">
        <f t="shared" ca="1" si="1"/>
        <v>0</v>
      </c>
      <c r="M16" s="21">
        <f t="shared" si="1"/>
        <v>0</v>
      </c>
      <c r="N16" s="21">
        <f t="shared" ca="1" si="1"/>
        <v>1165.6780717894244</v>
      </c>
      <c r="O16" s="21">
        <f>O5</f>
        <v>6.2533333333333339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0.21113697549822991</v>
      </c>
      <c r="C18" s="25">
        <f ca="1">'EF ele_warmte'!B22</f>
        <v>0.23482101686688509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19296.85923064726</v>
      </c>
      <c r="C20" s="23">
        <f t="shared" ref="C20:P20" ca="1" si="2">C16*C18</f>
        <v>369.84310156534406</v>
      </c>
      <c r="D20" s="23">
        <f t="shared" ca="1" si="2"/>
        <v>21736.772405889838</v>
      </c>
      <c r="E20" s="23">
        <f t="shared" si="2"/>
        <v>187.25320781085119</v>
      </c>
      <c r="F20" s="23">
        <f t="shared" ca="1" si="2"/>
        <v>3425.5710431328994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19463.388999999999</v>
      </c>
      <c r="C26" s="39">
        <f>IF(ISERROR(B26*3.6/1000000/'E Balans VL '!Z12*100),0,B26*3.6/1000000/'E Balans VL '!Z12*100)</f>
        <v>0.42753584131596534</v>
      </c>
      <c r="D26" s="237" t="s">
        <v>692</v>
      </c>
      <c r="F26" s="6"/>
    </row>
    <row r="27" spans="1:18">
      <c r="A27" s="231" t="s">
        <v>53</v>
      </c>
      <c r="B27" s="33">
        <f>IF(ISERROR(TER_horeca_ele_kWh/1000),0,TER_horeca_ele_kWh/1000)</f>
        <v>7855.3050000000003</v>
      </c>
      <c r="C27" s="39">
        <f>IF(ISERROR(B27*3.6/1000000/'E Balans VL '!Z9*100),0,B27*3.6/1000000/'E Balans VL '!Z9*100)</f>
        <v>0.63125205935507833</v>
      </c>
      <c r="D27" s="237" t="s">
        <v>692</v>
      </c>
      <c r="F27" s="6"/>
    </row>
    <row r="28" spans="1:18">
      <c r="A28" s="171" t="s">
        <v>52</v>
      </c>
      <c r="B28" s="33">
        <f>IF(ISERROR(TER_handel_ele_kWh/1000),0,TER_handel_ele_kWh/1000)</f>
        <v>33474.620000000003</v>
      </c>
      <c r="C28" s="39">
        <f>IF(ISERROR(B28*3.6/1000000/'E Balans VL '!Z13*100),0,B28*3.6/1000000/'E Balans VL '!Z13*100)</f>
        <v>0.98982112753944529</v>
      </c>
      <c r="D28" s="237" t="s">
        <v>692</v>
      </c>
      <c r="F28" s="6"/>
    </row>
    <row r="29" spans="1:18">
      <c r="A29" s="231" t="s">
        <v>51</v>
      </c>
      <c r="B29" s="33">
        <f>IF(ISERROR(TER_gezond_ele_kWh/1000),0,TER_gezond_ele_kWh/1000)</f>
        <v>15530.446</v>
      </c>
      <c r="C29" s="39">
        <f>IF(ISERROR(B29*3.6/1000000/'E Balans VL '!Z10*100),0,B29*3.6/1000000/'E Balans VL '!Z10*100)</f>
        <v>1.7498803034290613</v>
      </c>
      <c r="D29" s="237" t="s">
        <v>692</v>
      </c>
      <c r="F29" s="6"/>
    </row>
    <row r="30" spans="1:18">
      <c r="A30" s="231" t="s">
        <v>50</v>
      </c>
      <c r="B30" s="33">
        <f>IF(ISERROR(TER_ander_ele_kWh/1000),0,TER_ander_ele_kWh/1000)</f>
        <v>5635.6809999999996</v>
      </c>
      <c r="C30" s="39">
        <f>IF(ISERROR(B30*3.6/1000000/'E Balans VL '!Z14*100),0,B30*3.6/1000000/'E Balans VL '!Z14*100)</f>
        <v>0.42621692026848806</v>
      </c>
      <c r="D30" s="237" t="s">
        <v>692</v>
      </c>
      <c r="F30" s="6"/>
    </row>
    <row r="31" spans="1:18">
      <c r="A31" s="231" t="s">
        <v>55</v>
      </c>
      <c r="B31" s="33">
        <f>IF(ISERROR(TER_onderwijs_ele_kWh/1000),0,TER_onderwijs_ele_kWh/1000)</f>
        <v>2728.9380000000001</v>
      </c>
      <c r="C31" s="39">
        <f>IF(ISERROR(B31*3.6/1000000/'E Balans VL '!Z11*100),0,B31*3.6/1000000/'E Balans VL '!Z11*100)</f>
        <v>0.5664641792239542</v>
      </c>
      <c r="D31" s="237" t="s">
        <v>692</v>
      </c>
    </row>
    <row r="32" spans="1:18">
      <c r="A32" s="231" t="s">
        <v>260</v>
      </c>
      <c r="B32" s="33">
        <f>IF(ISERROR(TER_rest_ele_kWh/1000),0,TER_rest_ele_kWh/1000)</f>
        <v>5050.5990000000002</v>
      </c>
      <c r="C32" s="39">
        <f>IF(ISERROR(B32*3.6/1000000/'E Balans VL '!Z8*100),0,B32*3.6/1000000/'E Balans VL '!Z8*100)</f>
        <v>4.2548325408225805E-2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7</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188286.53839</v>
      </c>
      <c r="C5" s="17">
        <f>IF(ISERROR('Eigen informatie GS &amp; warmtenet'!B59),0,'Eigen informatie GS &amp; warmtenet'!B59)</f>
        <v>0</v>
      </c>
      <c r="D5" s="30">
        <f>SUM(D6:D15)</f>
        <v>144655.35137735153</v>
      </c>
      <c r="E5" s="17">
        <f>SUM(E6:E15)</f>
        <v>8358.139637778384</v>
      </c>
      <c r="F5" s="17">
        <f>SUM(F6:F15)</f>
        <v>71709.331264041219</v>
      </c>
      <c r="G5" s="18"/>
      <c r="H5" s="17"/>
      <c r="I5" s="17"/>
      <c r="J5" s="17">
        <f>SUM(J6:J15)</f>
        <v>958.59632234204321</v>
      </c>
      <c r="K5" s="17"/>
      <c r="L5" s="17"/>
      <c r="M5" s="17"/>
      <c r="N5" s="17">
        <f>SUM(N6:N15)</f>
        <v>46969.80361918109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852.5385</v>
      </c>
      <c r="C8" s="33"/>
      <c r="D8" s="37">
        <f>IF( ISERROR(IND_metaal_Gas_kWH/1000),0,IND_metaal_Gas_kWH/1000)*0.902</f>
        <v>699.65335880049167</v>
      </c>
      <c r="E8" s="33">
        <f>C30*'E Balans VL '!I18/100/3.6*1000000</f>
        <v>21.336054834174195</v>
      </c>
      <c r="F8" s="33">
        <f>C30*'E Balans VL '!L18/100/3.6*1000000+C30*'E Balans VL '!N18/100/3.6*1000000</f>
        <v>267.1898066445919</v>
      </c>
      <c r="G8" s="34"/>
      <c r="H8" s="33"/>
      <c r="I8" s="33"/>
      <c r="J8" s="40">
        <f>C30*'E Balans VL '!D18/100/3.6*1000000+C30*'E Balans VL '!E18/100/3.6*1000000</f>
        <v>0</v>
      </c>
      <c r="K8" s="33"/>
      <c r="L8" s="33"/>
      <c r="M8" s="33"/>
      <c r="N8" s="33">
        <f>C30*'E Balans VL '!Y18/100/3.6*1000000</f>
        <v>21.417979650341636</v>
      </c>
      <c r="O8" s="33"/>
      <c r="P8" s="33"/>
      <c r="R8" s="32"/>
    </row>
    <row r="9" spans="1:18">
      <c r="A9" s="6" t="s">
        <v>33</v>
      </c>
      <c r="B9" s="37">
        <f t="shared" si="0"/>
        <v>8382.4689999999991</v>
      </c>
      <c r="C9" s="33"/>
      <c r="D9" s="37">
        <f>IF( ISERROR(IND_andere_gas_kWh/1000),0,IND_andere_gas_kWh/1000)*0.902</f>
        <v>5728.975501158</v>
      </c>
      <c r="E9" s="33">
        <f>C31*'E Balans VL '!I19/100/3.6*1000000</f>
        <v>2304.8351675679487</v>
      </c>
      <c r="F9" s="33">
        <f>C31*'E Balans VL '!L19/100/3.6*1000000+C31*'E Balans VL '!N19/100/3.6*1000000</f>
        <v>6606.844226334405</v>
      </c>
      <c r="G9" s="34"/>
      <c r="H9" s="33"/>
      <c r="I9" s="33"/>
      <c r="J9" s="40">
        <f>C31*'E Balans VL '!D19/100/3.6*1000000+C31*'E Balans VL '!E19/100/3.6*1000000</f>
        <v>0</v>
      </c>
      <c r="K9" s="33"/>
      <c r="L9" s="33"/>
      <c r="M9" s="33"/>
      <c r="N9" s="33">
        <f>C31*'E Balans VL '!Y19/100/3.6*1000000</f>
        <v>2713.6264754561143</v>
      </c>
      <c r="O9" s="33"/>
      <c r="P9" s="33"/>
      <c r="R9" s="32"/>
    </row>
    <row r="10" spans="1:18">
      <c r="A10" s="6" t="s">
        <v>41</v>
      </c>
      <c r="B10" s="37">
        <f t="shared" si="0"/>
        <v>20390.628000000001</v>
      </c>
      <c r="C10" s="33"/>
      <c r="D10" s="37">
        <f>IF( ISERROR(IND_voed_gas_kWh/1000),0,IND_voed_gas_kWh/1000)*0.902</f>
        <v>27891.793097145794</v>
      </c>
      <c r="E10" s="33">
        <f>C32*'E Balans VL '!I20/100/3.6*1000000</f>
        <v>207.87121919893752</v>
      </c>
      <c r="F10" s="33">
        <f>C32*'E Balans VL '!L20/100/3.6*1000000+C32*'E Balans VL '!N20/100/3.6*1000000</f>
        <v>38517.768760932551</v>
      </c>
      <c r="G10" s="34"/>
      <c r="H10" s="33"/>
      <c r="I10" s="33"/>
      <c r="J10" s="40">
        <f>C32*'E Balans VL '!D20/100/3.6*1000000+C32*'E Balans VL '!E20/100/3.6*1000000</f>
        <v>488.01444647687686</v>
      </c>
      <c r="K10" s="33"/>
      <c r="L10" s="33"/>
      <c r="M10" s="33"/>
      <c r="N10" s="33">
        <f>C32*'E Balans VL '!Y20/100/3.6*1000000</f>
        <v>10748.209668338117</v>
      </c>
      <c r="O10" s="33"/>
      <c r="P10" s="33"/>
      <c r="R10" s="32"/>
    </row>
    <row r="11" spans="1:18">
      <c r="A11" s="6" t="s">
        <v>40</v>
      </c>
      <c r="B11" s="37">
        <f t="shared" si="0"/>
        <v>15.610989999999999</v>
      </c>
      <c r="C11" s="33"/>
      <c r="D11" s="37">
        <f>IF( ISERROR(IND_textiel_gas_kWh/1000),0,IND_textiel_gas_kWh/1000)*0.902</f>
        <v>70.803623762370421</v>
      </c>
      <c r="E11" s="33">
        <f>C33*'E Balans VL '!I21/100/3.6*1000000</f>
        <v>4.1376760669538395E-2</v>
      </c>
      <c r="F11" s="33">
        <f>C33*'E Balans VL '!L21/100/3.6*1000000+C33*'E Balans VL '!N21/100/3.6*1000000</f>
        <v>0.6972029173353157</v>
      </c>
      <c r="G11" s="34"/>
      <c r="H11" s="33"/>
      <c r="I11" s="33"/>
      <c r="J11" s="40">
        <f>C33*'E Balans VL '!D21/100/3.6*1000000+C33*'E Balans VL '!E21/100/3.6*1000000</f>
        <v>0</v>
      </c>
      <c r="K11" s="33"/>
      <c r="L11" s="33"/>
      <c r="M11" s="33"/>
      <c r="N11" s="33">
        <f>C33*'E Balans VL '!Y21/100/3.6*1000000</f>
        <v>0.1471224213569588</v>
      </c>
      <c r="O11" s="33"/>
      <c r="P11" s="33"/>
      <c r="R11" s="32"/>
    </row>
    <row r="12" spans="1:18">
      <c r="A12" s="6" t="s">
        <v>37</v>
      </c>
      <c r="B12" s="37">
        <f t="shared" si="0"/>
        <v>475.37490000000003</v>
      </c>
      <c r="C12" s="33"/>
      <c r="D12" s="37">
        <f>IF( ISERROR(IND_min_gas_kWh/1000),0,IND_min_gas_kWh/1000)*0.902</f>
        <v>0</v>
      </c>
      <c r="E12" s="33">
        <f>C34*'E Balans VL '!I22/100/3.6*1000000</f>
        <v>1.4396955348697722</v>
      </c>
      <c r="F12" s="33">
        <f>C34*'E Balans VL '!L22/100/3.6*1000000+C34*'E Balans VL '!N22/100/3.6*1000000</f>
        <v>14.855874321964944</v>
      </c>
      <c r="G12" s="34"/>
      <c r="H12" s="33"/>
      <c r="I12" s="33"/>
      <c r="J12" s="40">
        <f>C34*'E Balans VL '!D22/100/3.6*1000000+C34*'E Balans VL '!E22/100/3.6*1000000</f>
        <v>0.70487544890994513</v>
      </c>
      <c r="K12" s="33"/>
      <c r="L12" s="33"/>
      <c r="M12" s="33"/>
      <c r="N12" s="33">
        <f>C34*'E Balans VL '!Y22/100/3.6*1000000</f>
        <v>0</v>
      </c>
      <c r="O12" s="33"/>
      <c r="P12" s="33"/>
      <c r="R12" s="32"/>
    </row>
    <row r="13" spans="1:18">
      <c r="A13" s="6" t="s">
        <v>39</v>
      </c>
      <c r="B13" s="37">
        <f t="shared" si="0"/>
        <v>28765.23</v>
      </c>
      <c r="C13" s="33"/>
      <c r="D13" s="37">
        <f>IF( ISERROR(IND_papier_gas_kWh/1000),0,IND_papier_gas_kWh/1000)*0.902</f>
        <v>26401.23317789071</v>
      </c>
      <c r="E13" s="33">
        <f>C35*'E Balans VL '!I23/100/3.6*1000000</f>
        <v>59.574732936271936</v>
      </c>
      <c r="F13" s="33">
        <f>C35*'E Balans VL '!L23/100/3.6*1000000+C35*'E Balans VL '!N23/100/3.6*1000000</f>
        <v>570.4761786517189</v>
      </c>
      <c r="G13" s="34"/>
      <c r="H13" s="33"/>
      <c r="I13" s="33"/>
      <c r="J13" s="40">
        <f>C35*'E Balans VL '!D23/100/3.6*1000000+C35*'E Balans VL '!E23/100/3.6*1000000</f>
        <v>0</v>
      </c>
      <c r="K13" s="33"/>
      <c r="L13" s="33"/>
      <c r="M13" s="33"/>
      <c r="N13" s="33">
        <f>C35*'E Balans VL '!Y23/100/3.6*1000000</f>
        <v>12146.057062473838</v>
      </c>
      <c r="O13" s="33"/>
      <c r="P13" s="33"/>
      <c r="R13" s="32"/>
    </row>
    <row r="14" spans="1:18">
      <c r="A14" s="6" t="s">
        <v>34</v>
      </c>
      <c r="B14" s="37">
        <f t="shared" si="0"/>
        <v>17404.687000000002</v>
      </c>
      <c r="C14" s="33"/>
      <c r="D14" s="37">
        <f>IF( ISERROR(IND_chemie_gas_kWh/1000),0,IND_chemie_gas_kWh/1000)*0.902</f>
        <v>11953.435204751779</v>
      </c>
      <c r="E14" s="33">
        <f>C36*'E Balans VL '!I24/100/3.6*1000000</f>
        <v>65.253031905167049</v>
      </c>
      <c r="F14" s="33">
        <f>C36*'E Balans VL '!L24/100/3.6*1000000+C36*'E Balans VL '!N24/100/3.6*1000000</f>
        <v>202.48530214930346</v>
      </c>
      <c r="G14" s="34"/>
      <c r="H14" s="33"/>
      <c r="I14" s="33"/>
      <c r="J14" s="40">
        <f>C36*'E Balans VL '!D24/100/3.6*1000000+C36*'E Balans VL '!E24/100/3.6*1000000</f>
        <v>0</v>
      </c>
      <c r="K14" s="33"/>
      <c r="L14" s="33"/>
      <c r="M14" s="33"/>
      <c r="N14" s="33">
        <f>C36*'E Balans VL '!Y24/100/3.6*1000000</f>
        <v>297.35072454620257</v>
      </c>
      <c r="O14" s="33"/>
      <c r="P14" s="33"/>
      <c r="R14" s="32"/>
    </row>
    <row r="15" spans="1:18">
      <c r="A15" s="6" t="s">
        <v>270</v>
      </c>
      <c r="B15" s="37">
        <f t="shared" si="0"/>
        <v>112000</v>
      </c>
      <c r="C15" s="33"/>
      <c r="D15" s="37">
        <f>IF( ISERROR(IND_rest_gas_kWh/1000),0,IND_rest_gas_kWh/1000)*0.902</f>
        <v>71909.457413842392</v>
      </c>
      <c r="E15" s="33">
        <f>C37*'E Balans VL '!I15/100/3.6*1000000</f>
        <v>5697.7883590403444</v>
      </c>
      <c r="F15" s="33">
        <f>C37*'E Balans VL '!L15/100/3.6*1000000+C37*'E Balans VL '!N15/100/3.6*1000000</f>
        <v>25529.013912089344</v>
      </c>
      <c r="G15" s="34"/>
      <c r="H15" s="33"/>
      <c r="I15" s="33"/>
      <c r="J15" s="40">
        <f>C37*'E Balans VL '!D15/100/3.6*1000000+C37*'E Balans VL '!E15/100/3.6*1000000</f>
        <v>469.87700041625641</v>
      </c>
      <c r="K15" s="33"/>
      <c r="L15" s="33"/>
      <c r="M15" s="33"/>
      <c r="N15" s="33">
        <f>C37*'E Balans VL '!Y15/100/3.6*1000000</f>
        <v>21042.994586295121</v>
      </c>
      <c r="O15" s="33"/>
      <c r="P15" s="33"/>
      <c r="R15" s="32"/>
    </row>
    <row r="16" spans="1:18">
      <c r="A16" s="16" t="s">
        <v>494</v>
      </c>
      <c r="B16" s="247">
        <f>'lokale energieproductie'!N90+'lokale energieproductie'!N59</f>
        <v>2857.5</v>
      </c>
      <c r="C16" s="247">
        <f>'lokale energieproductie'!O90+'lokale energieproductie'!O59</f>
        <v>4082.1428571428573</v>
      </c>
      <c r="D16" s="310">
        <f>('lokale energieproductie'!P59+'lokale energieproductie'!P90)*(-1)</f>
        <v>-8164.2857142857147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191144.03839</v>
      </c>
      <c r="C18" s="21">
        <f>C5+C16</f>
        <v>4082.1428571428573</v>
      </c>
      <c r="D18" s="21">
        <f>MAX((D5+D16),0)</f>
        <v>136491.06566306582</v>
      </c>
      <c r="E18" s="21">
        <f>MAX((E5+E16),0)</f>
        <v>8358.139637778384</v>
      </c>
      <c r="F18" s="21">
        <f>MAX((F5+F16),0)</f>
        <v>71709.331264041219</v>
      </c>
      <c r="G18" s="21"/>
      <c r="H18" s="21"/>
      <c r="I18" s="21"/>
      <c r="J18" s="21">
        <f>MAX((J5+J16),0)</f>
        <v>958.59632234204321</v>
      </c>
      <c r="K18" s="21"/>
      <c r="L18" s="21">
        <f>MAX((L5+L16),0)</f>
        <v>0</v>
      </c>
      <c r="M18" s="21"/>
      <c r="N18" s="21">
        <f>MAX((N5+N16),0)</f>
        <v>46969.80361918109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0.21113697549822991</v>
      </c>
      <c r="C20" s="25">
        <f ca="1">'EF ele_warmte'!B22</f>
        <v>0.23482101686688509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40357.574150182147</v>
      </c>
      <c r="C22" s="23">
        <f ca="1">C18*C20</f>
        <v>958.57293671017737</v>
      </c>
      <c r="D22" s="23">
        <f>D18*D20</f>
        <v>27571.195263939298</v>
      </c>
      <c r="E22" s="23">
        <f>E18*E20</f>
        <v>1897.2976977756932</v>
      </c>
      <c r="F22" s="23">
        <f>F18*F20</f>
        <v>19146.391447499005</v>
      </c>
      <c r="G22" s="23"/>
      <c r="H22" s="23"/>
      <c r="I22" s="23"/>
      <c r="J22" s="23">
        <f>J18*J20</f>
        <v>339.34309810908326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852.5385</v>
      </c>
      <c r="C30" s="39">
        <f>IF(ISERROR(B30*3.6/1000000/'E Balans VL '!Z18*100),0,B30*3.6/1000000/'E Balans VL '!Z18*100)</f>
        <v>0.11932697884062075</v>
      </c>
      <c r="D30" s="237" t="s">
        <v>692</v>
      </c>
    </row>
    <row r="31" spans="1:18">
      <c r="A31" s="6" t="s">
        <v>33</v>
      </c>
      <c r="B31" s="37">
        <f>IF( ISERROR(IND_ander_ele_kWh/1000),0,IND_ander_ele_kWh/1000)</f>
        <v>8382.4689999999991</v>
      </c>
      <c r="C31" s="39">
        <f>IF(ISERROR(B31*3.6/1000000/'E Balans VL '!Z19*100),0,B31*3.6/1000000/'E Balans VL '!Z19*100)</f>
        <v>0.36689930830033129</v>
      </c>
      <c r="D31" s="237" t="s">
        <v>692</v>
      </c>
    </row>
    <row r="32" spans="1:18">
      <c r="A32" s="171" t="s">
        <v>41</v>
      </c>
      <c r="B32" s="37">
        <f>IF( ISERROR(IND_voed_ele_kWh/1000),0,IND_voed_ele_kWh/1000)</f>
        <v>20390.628000000001</v>
      </c>
      <c r="C32" s="39">
        <f>IF(ISERROR(B32*3.6/1000000/'E Balans VL '!Z20*100),0,B32*3.6/1000000/'E Balans VL '!Z20*100)</f>
        <v>5.0480423534443437</v>
      </c>
      <c r="D32" s="237" t="s">
        <v>692</v>
      </c>
    </row>
    <row r="33" spans="1:5">
      <c r="A33" s="171" t="s">
        <v>40</v>
      </c>
      <c r="B33" s="37">
        <f>IF( ISERROR(IND_textiel_ele_kWh/1000),0,IND_textiel_ele_kWh/1000)</f>
        <v>15.610989999999999</v>
      </c>
      <c r="C33" s="39">
        <f>IF(ISERROR(B33*3.6/1000000/'E Balans VL '!Z21*100),0,B33*3.6/1000000/'E Balans VL '!Z21*100)</f>
        <v>1.7590835828776598E-3</v>
      </c>
      <c r="D33" s="237" t="s">
        <v>692</v>
      </c>
    </row>
    <row r="34" spans="1:5">
      <c r="A34" s="171" t="s">
        <v>37</v>
      </c>
      <c r="B34" s="37">
        <f>IF( ISERROR(IND_min_ele_kWh/1000),0,IND_min_ele_kWh/1000)</f>
        <v>475.37490000000003</v>
      </c>
      <c r="C34" s="39">
        <f>IF(ISERROR(B34*3.6/1000000/'E Balans VL '!Z22*100),0,B34*3.6/1000000/'E Balans VL '!Z22*100)</f>
        <v>1.3489200236641361E-2</v>
      </c>
      <c r="D34" s="237" t="s">
        <v>692</v>
      </c>
    </row>
    <row r="35" spans="1:5">
      <c r="A35" s="171" t="s">
        <v>39</v>
      </c>
      <c r="B35" s="37">
        <f>IF( ISERROR(IND_papier_ele_kWh/1000),0,IND_papier_ele_kWh/1000)</f>
        <v>28765.23</v>
      </c>
      <c r="C35" s="39">
        <f>IF(ISERROR(B35*3.6/1000000/'E Balans VL '!Z22*100),0,B35*3.6/1000000/'E Balans VL '!Z22*100)</f>
        <v>0.81623987156882516</v>
      </c>
      <c r="D35" s="237" t="s">
        <v>692</v>
      </c>
    </row>
    <row r="36" spans="1:5">
      <c r="A36" s="171" t="s">
        <v>34</v>
      </c>
      <c r="B36" s="37">
        <f>IF( ISERROR(IND_chemie_ele_kWh/1000),0,IND_chemie_ele_kWh/1000)</f>
        <v>17404.687000000002</v>
      </c>
      <c r="C36" s="39">
        <f>IF(ISERROR(B36*3.6/1000000/'E Balans VL '!Z24*100),0,B36*3.6/1000000/'E Balans VL '!Z24*100)</f>
        <v>0.44379295308366906</v>
      </c>
      <c r="D36" s="237" t="s">
        <v>692</v>
      </c>
    </row>
    <row r="37" spans="1:5">
      <c r="A37" s="171" t="s">
        <v>270</v>
      </c>
      <c r="B37" s="37">
        <f>IF( ISERROR(IND_rest_ele_kWh/1000),0,IND_rest_ele_kWh/1000)</f>
        <v>112000</v>
      </c>
      <c r="C37" s="39">
        <f>IF(ISERROR(B37*3.6/1000000/'E Balans VL '!Z15*100),0,B37*3.6/1000000/'E Balans VL '!Z15*100)</f>
        <v>0.8304608247885733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1497.3508999999999</v>
      </c>
      <c r="C5" s="17">
        <f>'Eigen informatie GS &amp; warmtenet'!B60</f>
        <v>0</v>
      </c>
      <c r="D5" s="30">
        <f>IF(ISERROR(SUM(LB_lb_gas_kWh,LB_rest_gas_kWh)/1000),0,SUM(LB_lb_gas_kWh,LB_rest_gas_kWh)/1000)*0.902</f>
        <v>2282.4548533818765</v>
      </c>
      <c r="E5" s="17">
        <f>B17*'E Balans VL '!I25/3.6*1000000/100</f>
        <v>13.869091184005589</v>
      </c>
      <c r="F5" s="17">
        <f>B17*('E Balans VL '!L25/3.6*1000000+'E Balans VL '!N25/3.6*1000000)/100</f>
        <v>3799.0644783537259</v>
      </c>
      <c r="G5" s="18"/>
      <c r="H5" s="17"/>
      <c r="I5" s="17"/>
      <c r="J5" s="17">
        <f>('E Balans VL '!D25+'E Balans VL '!E25)/3.6*1000000*landbouw!B17/100</f>
        <v>229.56060345481518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1497.3508999999999</v>
      </c>
      <c r="C8" s="21">
        <f>C5+C6</f>
        <v>0</v>
      </c>
      <c r="D8" s="21">
        <f>MAX((D5+D6),0)</f>
        <v>2282.4548533818765</v>
      </c>
      <c r="E8" s="21">
        <f>MAX((E5+E6),0)</f>
        <v>13.869091184005589</v>
      </c>
      <c r="F8" s="21">
        <f>MAX((F5+F6),0)</f>
        <v>3799.0644783537259</v>
      </c>
      <c r="G8" s="21"/>
      <c r="H8" s="21"/>
      <c r="I8" s="21"/>
      <c r="J8" s="21">
        <f>MAX((J5+J6),0)</f>
        <v>229.56060345481518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0.21113697549822991</v>
      </c>
      <c r="C10" s="31">
        <f ca="1">'EF ele_warmte'!B22</f>
        <v>0.23482101686688509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316.14614028555246</v>
      </c>
      <c r="C12" s="23">
        <f ca="1">C8*C10</f>
        <v>0</v>
      </c>
      <c r="D12" s="23">
        <f>D8*D10</f>
        <v>461.05588038313908</v>
      </c>
      <c r="E12" s="23">
        <f>E8*E10</f>
        <v>3.1482836987692688</v>
      </c>
      <c r="F12" s="23">
        <f>F8*F10</f>
        <v>1014.3502157204449</v>
      </c>
      <c r="G12" s="23"/>
      <c r="H12" s="23"/>
      <c r="I12" s="23"/>
      <c r="J12" s="23">
        <f>J8*J10</f>
        <v>81.26445362300457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0.21289154865307838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246.44567035981308</v>
      </c>
      <c r="C26" s="247">
        <f>B26*'GWP N2O_CH4'!B5</f>
        <v>5175.3590775560742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89.617814561595054</v>
      </c>
      <c r="C27" s="247">
        <f>B27*'GWP N2O_CH4'!B5</f>
        <v>1881.9741057934962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6.0290379481255112</v>
      </c>
      <c r="C28" s="247">
        <f>B28*'GWP N2O_CH4'!B4</f>
        <v>1869.0017639189084</v>
      </c>
      <c r="D28" s="50"/>
    </row>
    <row r="29" spans="1:4">
      <c r="A29" s="41" t="s">
        <v>277</v>
      </c>
      <c r="B29" s="247">
        <f>B34*'ha_N2O bodem landbouw'!B4</f>
        <v>14.596630660434577</v>
      </c>
      <c r="C29" s="247">
        <f>B29*'GWP N2O_CH4'!B4</f>
        <v>4524.9555047347194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3.2737671037628277E-3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1.2107839294943769E-4</v>
      </c>
      <c r="C5" s="464" t="s">
        <v>211</v>
      </c>
      <c r="D5" s="449">
        <f>SUM(D6:D11)</f>
        <v>3.0959267919193856E-4</v>
      </c>
      <c r="E5" s="449">
        <f>SUM(E6:E11)</f>
        <v>2.1049778950303455E-3</v>
      </c>
      <c r="F5" s="462" t="s">
        <v>211</v>
      </c>
      <c r="G5" s="449">
        <f>SUM(G6:G11)</f>
        <v>0.70916593615770429</v>
      </c>
      <c r="H5" s="449">
        <f>SUM(H6:H11)</f>
        <v>0.11857748747344712</v>
      </c>
      <c r="I5" s="464" t="s">
        <v>211</v>
      </c>
      <c r="J5" s="464" t="s">
        <v>211</v>
      </c>
      <c r="K5" s="464" t="s">
        <v>211</v>
      </c>
      <c r="L5" s="464" t="s">
        <v>211</v>
      </c>
      <c r="M5" s="449">
        <f>SUM(M6:M11)</f>
        <v>4.4672251670510262E-2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7.580409880151075E-5</v>
      </c>
      <c r="C6" s="450"/>
      <c r="D6" s="893">
        <f>vkm_2011_GW_PW*SUMIFS(TableVerdeelsleutelVkm[CNG],TableVerdeelsleutelVkm[Voertuigtype],"Lichte voertuigen")*SUMIFS(TableECFTransport[EnergieConsumptieFactor (PJ per km)],TableECFTransport[Index],CONCATENATE($A6,"_CNG_CNG"))</f>
        <v>1.7534322621345498E-4</v>
      </c>
      <c r="E6" s="893">
        <f>vkm_2011_GW_PW*SUMIFS(TableVerdeelsleutelVkm[LPG],TableVerdeelsleutelVkm[Voertuigtype],"Lichte voertuigen")*SUMIFS(TableECFTransport[EnergieConsumptieFactor (PJ per km)],TableECFTransport[Index],CONCATENATE($A6,"_LPG_LPG"))</f>
        <v>1.1417292022936711E-3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0.23718579495570552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6.685777400711429E-2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1.5778285088043589E-2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0.13562345959435834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4.6380760144510433E-5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7.8465858861894531E-3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1.4673963451851082E-5</v>
      </c>
      <c r="C8" s="450"/>
      <c r="D8" s="452">
        <f>vkm_2011_NGW_PW*SUMIFS(TableVerdeelsleutelVkm[CNG],TableVerdeelsleutelVkm[Voertuigtype],"Lichte voertuigen")*SUMIFS(TableECFTransport[EnergieConsumptieFactor (PJ per km)],TableECFTransport[Index],CONCATENATE($A8,"_CNG_CNG"))</f>
        <v>6.0034350629963149E-5</v>
      </c>
      <c r="E8" s="452">
        <f>vkm_2011_NGW_PW*SUMIFS(TableVerdeelsleutelVkm[LPG],TableVerdeelsleutelVkm[Voertuigtype],"Lichte voertuigen")*SUMIFS(TableECFTransport[EnergieConsumptieFactor (PJ per km)],TableECFTransport[Index],CONCATENATE($A8,"_LPG_LPG"))</f>
        <v>3.607668956767173E-4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7.006040115057062E-2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2.2133878118281776E-2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4.7340527633088752E-3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6.3603099242149188E-3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2.0581222022308899E-6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3.6797637946411557E-4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3.0600330696075848E-5</v>
      </c>
      <c r="C10" s="450"/>
      <c r="D10" s="452">
        <f>vkm_2011_SW_PW*SUMIFS(TableVerdeelsleutelVkm[CNG],TableVerdeelsleutelVkm[Voertuigtype],"Lichte voertuigen")*SUMIFS(TableECFTransport[EnergieConsumptieFactor (PJ per km)],TableECFTransport[Index],CONCATENATE($A10,"_CNG_CNG"))</f>
        <v>7.421510234852044E-5</v>
      </c>
      <c r="E10" s="452">
        <f>vkm_2011_SW_PW*SUMIFS(TableVerdeelsleutelVkm[LPG],TableVerdeelsleutelVkm[Voertuigtype],"Lichte voertuigen")*SUMIFS(TableECFTransport[EnergieConsumptieFactor (PJ per km)],TableECFTransport[Index],CONCATENATE($A10,"_LPG_LPG"))</f>
        <v>6.0248179705995697E-4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0.11268139479971757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2.9483123986083399E-2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7.4257191739554125E-3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0.1472545757331373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5.4272479620915193E-5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8.5196323795488135E-3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33.632886930399359</v>
      </c>
      <c r="C14" s="21"/>
      <c r="D14" s="21">
        <f t="shared" ref="D14:M14" si="0">((D5)*10^9/3600)+D12</f>
        <v>85.997966442205154</v>
      </c>
      <c r="E14" s="21">
        <f t="shared" si="0"/>
        <v>584.71608195287365</v>
      </c>
      <c r="F14" s="21"/>
      <c r="G14" s="21">
        <f t="shared" si="0"/>
        <v>196990.5378215845</v>
      </c>
      <c r="H14" s="21">
        <f t="shared" si="0"/>
        <v>32938.190964846428</v>
      </c>
      <c r="I14" s="21"/>
      <c r="J14" s="21"/>
      <c r="K14" s="21"/>
      <c r="L14" s="21"/>
      <c r="M14" s="21">
        <f t="shared" si="0"/>
        <v>12408.958797363961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0.21113697549822991</v>
      </c>
      <c r="C16" s="56">
        <f ca="1">'EF ele_warmte'!B22</f>
        <v>0.23482101686688509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7.1011460237584663</v>
      </c>
      <c r="C18" s="23"/>
      <c r="D18" s="23">
        <f t="shared" ref="D18:M18" si="1">D14*D16</f>
        <v>17.371589221325443</v>
      </c>
      <c r="E18" s="23">
        <f t="shared" si="1"/>
        <v>132.73055060330233</v>
      </c>
      <c r="F18" s="23"/>
      <c r="G18" s="23">
        <f t="shared" si="1"/>
        <v>52596.473598363067</v>
      </c>
      <c r="H18" s="23">
        <f t="shared" si="1"/>
        <v>8201.6095502467597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1.8349692672949305E-2</v>
      </c>
      <c r="H50" s="321">
        <f t="shared" si="2"/>
        <v>0</v>
      </c>
      <c r="I50" s="321">
        <f t="shared" si="2"/>
        <v>0</v>
      </c>
      <c r="J50" s="321">
        <f t="shared" si="2"/>
        <v>0</v>
      </c>
      <c r="K50" s="321">
        <f t="shared" si="2"/>
        <v>0</v>
      </c>
      <c r="L50" s="321">
        <f t="shared" si="2"/>
        <v>0</v>
      </c>
      <c r="M50" s="321">
        <f t="shared" si="2"/>
        <v>1.0464294808945197E-3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1.8349692672949305E-2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1.0464294808945197E-3</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5097.1368535970287</v>
      </c>
      <c r="H54" s="21">
        <f t="shared" si="3"/>
        <v>0</v>
      </c>
      <c r="I54" s="21">
        <f t="shared" si="3"/>
        <v>0</v>
      </c>
      <c r="J54" s="21">
        <f t="shared" si="3"/>
        <v>0</v>
      </c>
      <c r="K54" s="21">
        <f t="shared" si="3"/>
        <v>0</v>
      </c>
      <c r="L54" s="21">
        <f t="shared" si="3"/>
        <v>0</v>
      </c>
      <c r="M54" s="21">
        <f t="shared" si="3"/>
        <v>290.67485580403326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0.21113697549822991</v>
      </c>
      <c r="C56" s="56">
        <f ca="1">'EF ele_warmte'!B22</f>
        <v>0.23482101686688509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1360.9355399104068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93959.654999999984</v>
      </c>
      <c r="D10" s="1025">
        <f ca="1">tertiair!C16</f>
        <v>1575.0000000000002</v>
      </c>
      <c r="E10" s="1025">
        <f ca="1">tertiair!D16</f>
        <v>107607.78418757346</v>
      </c>
      <c r="F10" s="1025">
        <f>tertiair!E16</f>
        <v>824.90399916674528</v>
      </c>
      <c r="G10" s="1025">
        <f ca="1">tertiair!F16</f>
        <v>12829.854094130709</v>
      </c>
      <c r="H10" s="1025">
        <f>tertiair!G16</f>
        <v>0</v>
      </c>
      <c r="I10" s="1025">
        <f>tertiair!H16</f>
        <v>0</v>
      </c>
      <c r="J10" s="1025">
        <f>tertiair!I16</f>
        <v>0</v>
      </c>
      <c r="K10" s="1025">
        <f>tertiair!J16</f>
        <v>0</v>
      </c>
      <c r="L10" s="1025">
        <f>tertiair!K16</f>
        <v>0</v>
      </c>
      <c r="M10" s="1025">
        <f ca="1">tertiair!L16</f>
        <v>0</v>
      </c>
      <c r="N10" s="1025">
        <f>tertiair!M16</f>
        <v>0</v>
      </c>
      <c r="O10" s="1025">
        <f ca="1">tertiair!N16</f>
        <v>1165.6780717894244</v>
      </c>
      <c r="P10" s="1025">
        <f>tertiair!O16</f>
        <v>6.2533333333333339</v>
      </c>
      <c r="Q10" s="1026">
        <f>tertiair!P16</f>
        <v>133.46666666666667</v>
      </c>
      <c r="R10" s="701">
        <f ca="1">SUM(C10:Q10)</f>
        <v>218102.59535266031</v>
      </c>
      <c r="S10" s="67"/>
    </row>
    <row r="11" spans="1:19" s="474" customFormat="1">
      <c r="A11" s="810" t="s">
        <v>225</v>
      </c>
      <c r="B11" s="815"/>
      <c r="C11" s="1025">
        <f>huishoudens!B8</f>
        <v>60469.425652225938</v>
      </c>
      <c r="D11" s="1025">
        <f>huishoudens!C8</f>
        <v>0</v>
      </c>
      <c r="E11" s="1025">
        <f>huishoudens!D8</f>
        <v>209760.9153080142</v>
      </c>
      <c r="F11" s="1025">
        <f>huishoudens!E8</f>
        <v>3015.7451653478934</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23236.047041023499</v>
      </c>
      <c r="P11" s="1025">
        <f>huishoudens!O8</f>
        <v>309.54000000000002</v>
      </c>
      <c r="Q11" s="1026">
        <f>huishoudens!P8</f>
        <v>724.5333333333333</v>
      </c>
      <c r="R11" s="701">
        <f>SUM(C11:Q11)</f>
        <v>297516.20649994479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191144.03839</v>
      </c>
      <c r="D13" s="1025">
        <f>industrie!C18</f>
        <v>4082.1428571428573</v>
      </c>
      <c r="E13" s="1025">
        <f>industrie!D18</f>
        <v>136491.06566306582</v>
      </c>
      <c r="F13" s="1025">
        <f>industrie!E18</f>
        <v>8358.139637778384</v>
      </c>
      <c r="G13" s="1025">
        <f>industrie!F18</f>
        <v>71709.331264041219</v>
      </c>
      <c r="H13" s="1025">
        <f>industrie!G18</f>
        <v>0</v>
      </c>
      <c r="I13" s="1025">
        <f>industrie!H18</f>
        <v>0</v>
      </c>
      <c r="J13" s="1025">
        <f>industrie!I18</f>
        <v>0</v>
      </c>
      <c r="K13" s="1025">
        <f>industrie!J18</f>
        <v>958.59632234204321</v>
      </c>
      <c r="L13" s="1025">
        <f>industrie!K18</f>
        <v>0</v>
      </c>
      <c r="M13" s="1025">
        <f>industrie!L18</f>
        <v>0</v>
      </c>
      <c r="N13" s="1025">
        <f>industrie!M18</f>
        <v>0</v>
      </c>
      <c r="O13" s="1025">
        <f>industrie!N18</f>
        <v>46969.80361918109</v>
      </c>
      <c r="P13" s="1025">
        <f>industrie!O18</f>
        <v>0</v>
      </c>
      <c r="Q13" s="1026">
        <f>industrie!P18</f>
        <v>0</v>
      </c>
      <c r="R13" s="701">
        <f>SUM(C13:Q13)</f>
        <v>459713.11775355152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345573.11904222594</v>
      </c>
      <c r="D16" s="733">
        <f t="shared" ref="D16:R16" ca="1" si="0">SUM(D9:D15)</f>
        <v>5657.1428571428578</v>
      </c>
      <c r="E16" s="733">
        <f t="shared" ca="1" si="0"/>
        <v>453859.76515865349</v>
      </c>
      <c r="F16" s="733">
        <f t="shared" si="0"/>
        <v>12198.788802293024</v>
      </c>
      <c r="G16" s="733">
        <f t="shared" ca="1" si="0"/>
        <v>84539.185358171933</v>
      </c>
      <c r="H16" s="733">
        <f t="shared" si="0"/>
        <v>0</v>
      </c>
      <c r="I16" s="733">
        <f t="shared" si="0"/>
        <v>0</v>
      </c>
      <c r="J16" s="733">
        <f t="shared" si="0"/>
        <v>0</v>
      </c>
      <c r="K16" s="733">
        <f t="shared" si="0"/>
        <v>958.59632234204321</v>
      </c>
      <c r="L16" s="733">
        <f t="shared" si="0"/>
        <v>0</v>
      </c>
      <c r="M16" s="733">
        <f t="shared" ca="1" si="0"/>
        <v>0</v>
      </c>
      <c r="N16" s="733">
        <f t="shared" si="0"/>
        <v>0</v>
      </c>
      <c r="O16" s="733">
        <f t="shared" ca="1" si="0"/>
        <v>71371.528731994011</v>
      </c>
      <c r="P16" s="733">
        <f t="shared" si="0"/>
        <v>315.79333333333335</v>
      </c>
      <c r="Q16" s="733">
        <f t="shared" si="0"/>
        <v>858</v>
      </c>
      <c r="R16" s="733">
        <f t="shared" ca="1" si="0"/>
        <v>975331.91960615665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5097.1368535970287</v>
      </c>
      <c r="I19" s="1025">
        <f>transport!H54</f>
        <v>0</v>
      </c>
      <c r="J19" s="1025">
        <f>transport!I54</f>
        <v>0</v>
      </c>
      <c r="K19" s="1025">
        <f>transport!J54</f>
        <v>0</v>
      </c>
      <c r="L19" s="1025">
        <f>transport!K54</f>
        <v>0</v>
      </c>
      <c r="M19" s="1025">
        <f>transport!L54</f>
        <v>0</v>
      </c>
      <c r="N19" s="1025">
        <f>transport!M54</f>
        <v>290.67485580403326</v>
      </c>
      <c r="O19" s="1025">
        <f>transport!N54</f>
        <v>0</v>
      </c>
      <c r="P19" s="1025">
        <f>transport!O54</f>
        <v>0</v>
      </c>
      <c r="Q19" s="1026">
        <f>transport!P54</f>
        <v>0</v>
      </c>
      <c r="R19" s="701">
        <f>SUM(C19:Q19)</f>
        <v>5387.8117094010622</v>
      </c>
      <c r="S19" s="67"/>
    </row>
    <row r="20" spans="1:19" s="474" customFormat="1">
      <c r="A20" s="810" t="s">
        <v>307</v>
      </c>
      <c r="B20" s="815"/>
      <c r="C20" s="1025">
        <f>transport!B14</f>
        <v>33.632886930399359</v>
      </c>
      <c r="D20" s="1025">
        <f>transport!C14</f>
        <v>0</v>
      </c>
      <c r="E20" s="1025">
        <f>transport!D14</f>
        <v>85.997966442205154</v>
      </c>
      <c r="F20" s="1025">
        <f>transport!E14</f>
        <v>584.71608195287365</v>
      </c>
      <c r="G20" s="1025">
        <f>transport!F14</f>
        <v>0</v>
      </c>
      <c r="H20" s="1025">
        <f>transport!G14</f>
        <v>196990.5378215845</v>
      </c>
      <c r="I20" s="1025">
        <f>transport!H14</f>
        <v>32938.190964846428</v>
      </c>
      <c r="J20" s="1025">
        <f>transport!I14</f>
        <v>0</v>
      </c>
      <c r="K20" s="1025">
        <f>transport!J14</f>
        <v>0</v>
      </c>
      <c r="L20" s="1025">
        <f>transport!K14</f>
        <v>0</v>
      </c>
      <c r="M20" s="1025">
        <f>transport!L14</f>
        <v>0</v>
      </c>
      <c r="N20" s="1025">
        <f>transport!M14</f>
        <v>12408.958797363961</v>
      </c>
      <c r="O20" s="1025">
        <f>transport!N14</f>
        <v>0</v>
      </c>
      <c r="P20" s="1025">
        <f>transport!O14</f>
        <v>0</v>
      </c>
      <c r="Q20" s="1026">
        <f>transport!P14</f>
        <v>0</v>
      </c>
      <c r="R20" s="701">
        <f>SUM(C20:Q20)</f>
        <v>243042.03451912038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33.632886930399359</v>
      </c>
      <c r="D22" s="813">
        <f t="shared" ref="D22:R22" si="1">SUM(D18:D21)</f>
        <v>0</v>
      </c>
      <c r="E22" s="813">
        <f t="shared" si="1"/>
        <v>85.997966442205154</v>
      </c>
      <c r="F22" s="813">
        <f t="shared" si="1"/>
        <v>584.71608195287365</v>
      </c>
      <c r="G22" s="813">
        <f t="shared" si="1"/>
        <v>0</v>
      </c>
      <c r="H22" s="813">
        <f t="shared" si="1"/>
        <v>202087.67467518154</v>
      </c>
      <c r="I22" s="813">
        <f t="shared" si="1"/>
        <v>32938.190964846428</v>
      </c>
      <c r="J22" s="813">
        <f t="shared" si="1"/>
        <v>0</v>
      </c>
      <c r="K22" s="813">
        <f t="shared" si="1"/>
        <v>0</v>
      </c>
      <c r="L22" s="813">
        <f t="shared" si="1"/>
        <v>0</v>
      </c>
      <c r="M22" s="813">
        <f t="shared" si="1"/>
        <v>0</v>
      </c>
      <c r="N22" s="813">
        <f t="shared" si="1"/>
        <v>12699.633653167994</v>
      </c>
      <c r="O22" s="813">
        <f t="shared" si="1"/>
        <v>0</v>
      </c>
      <c r="P22" s="813">
        <f t="shared" si="1"/>
        <v>0</v>
      </c>
      <c r="Q22" s="813">
        <f t="shared" si="1"/>
        <v>0</v>
      </c>
      <c r="R22" s="813">
        <f t="shared" si="1"/>
        <v>248429.84622852143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1497.3508999999999</v>
      </c>
      <c r="D24" s="1025">
        <f>+landbouw!C8</f>
        <v>0</v>
      </c>
      <c r="E24" s="1025">
        <f>+landbouw!D8</f>
        <v>2282.4548533818765</v>
      </c>
      <c r="F24" s="1025">
        <f>+landbouw!E8</f>
        <v>13.869091184005589</v>
      </c>
      <c r="G24" s="1025">
        <f>+landbouw!F8</f>
        <v>3799.0644783537259</v>
      </c>
      <c r="H24" s="1025">
        <f>+landbouw!G8</f>
        <v>0</v>
      </c>
      <c r="I24" s="1025">
        <f>+landbouw!H8</f>
        <v>0</v>
      </c>
      <c r="J24" s="1025">
        <f>+landbouw!I8</f>
        <v>0</v>
      </c>
      <c r="K24" s="1025">
        <f>+landbouw!J8</f>
        <v>229.56060345481518</v>
      </c>
      <c r="L24" s="1025">
        <f>+landbouw!K8</f>
        <v>0</v>
      </c>
      <c r="M24" s="1025">
        <f>+landbouw!L8</f>
        <v>0</v>
      </c>
      <c r="N24" s="1025">
        <f>+landbouw!M8</f>
        <v>0</v>
      </c>
      <c r="O24" s="1025">
        <f>+landbouw!N8</f>
        <v>0</v>
      </c>
      <c r="P24" s="1025">
        <f>+landbouw!O8</f>
        <v>0</v>
      </c>
      <c r="Q24" s="1026">
        <f>+landbouw!P8</f>
        <v>0</v>
      </c>
      <c r="R24" s="701">
        <f>SUM(C24:Q24)</f>
        <v>7822.2999263744232</v>
      </c>
      <c r="S24" s="67"/>
    </row>
    <row r="25" spans="1:19" s="474" customFormat="1" ht="15" thickBot="1">
      <c r="A25" s="832" t="s">
        <v>864</v>
      </c>
      <c r="B25" s="1028"/>
      <c r="C25" s="1029">
        <f>IF(Onbekend_ele_kWh="---",0,Onbekend_ele_kWh)/1000+IF(REST_rest_ele_kWh="---",0,REST_rest_ele_kWh)/1000</f>
        <v>3053.0459999999998</v>
      </c>
      <c r="D25" s="1029"/>
      <c r="E25" s="1029">
        <f>IF(onbekend_gas_kWh="---",0,onbekend_gas_kWh)/1000+IF(REST_rest_gas_kWh="---",0,REST_rest_gas_kWh)/1000</f>
        <v>11762.1536796253</v>
      </c>
      <c r="F25" s="1029"/>
      <c r="G25" s="1029"/>
      <c r="H25" s="1029"/>
      <c r="I25" s="1029"/>
      <c r="J25" s="1029"/>
      <c r="K25" s="1029"/>
      <c r="L25" s="1029"/>
      <c r="M25" s="1029"/>
      <c r="N25" s="1029"/>
      <c r="O25" s="1029"/>
      <c r="P25" s="1029"/>
      <c r="Q25" s="1030"/>
      <c r="R25" s="701">
        <f>SUM(C25:Q25)</f>
        <v>14815.199679625301</v>
      </c>
      <c r="S25" s="67"/>
    </row>
    <row r="26" spans="1:19" s="474" customFormat="1" ht="15.75" thickBot="1">
      <c r="A26" s="706" t="s">
        <v>865</v>
      </c>
      <c r="B26" s="818"/>
      <c r="C26" s="813">
        <f>SUM(C24:C25)</f>
        <v>4550.3968999999997</v>
      </c>
      <c r="D26" s="813">
        <f t="shared" ref="D26:R26" si="2">SUM(D24:D25)</f>
        <v>0</v>
      </c>
      <c r="E26" s="813">
        <f t="shared" si="2"/>
        <v>14044.608533007176</v>
      </c>
      <c r="F26" s="813">
        <f t="shared" si="2"/>
        <v>13.869091184005589</v>
      </c>
      <c r="G26" s="813">
        <f t="shared" si="2"/>
        <v>3799.0644783537259</v>
      </c>
      <c r="H26" s="813">
        <f t="shared" si="2"/>
        <v>0</v>
      </c>
      <c r="I26" s="813">
        <f t="shared" si="2"/>
        <v>0</v>
      </c>
      <c r="J26" s="813">
        <f t="shared" si="2"/>
        <v>0</v>
      </c>
      <c r="K26" s="813">
        <f t="shared" si="2"/>
        <v>229.56060345481518</v>
      </c>
      <c r="L26" s="813">
        <f t="shared" si="2"/>
        <v>0</v>
      </c>
      <c r="M26" s="813">
        <f t="shared" si="2"/>
        <v>0</v>
      </c>
      <c r="N26" s="813">
        <f t="shared" si="2"/>
        <v>0</v>
      </c>
      <c r="O26" s="813">
        <f t="shared" si="2"/>
        <v>0</v>
      </c>
      <c r="P26" s="813">
        <f t="shared" si="2"/>
        <v>0</v>
      </c>
      <c r="Q26" s="813">
        <f t="shared" si="2"/>
        <v>0</v>
      </c>
      <c r="R26" s="813">
        <f t="shared" si="2"/>
        <v>22637.499605999725</v>
      </c>
      <c r="S26" s="67"/>
    </row>
    <row r="27" spans="1:19" s="474" customFormat="1" ht="17.25" thickTop="1" thickBot="1">
      <c r="A27" s="707" t="s">
        <v>116</v>
      </c>
      <c r="B27" s="806"/>
      <c r="C27" s="708">
        <f ca="1">C22+C16+C26</f>
        <v>350157.14882915636</v>
      </c>
      <c r="D27" s="708">
        <f t="shared" ref="D27:R27" ca="1" si="3">D22+D16+D26</f>
        <v>5657.1428571428578</v>
      </c>
      <c r="E27" s="708">
        <f t="shared" ca="1" si="3"/>
        <v>467990.37165810284</v>
      </c>
      <c r="F27" s="708">
        <f t="shared" si="3"/>
        <v>12797.373975429904</v>
      </c>
      <c r="G27" s="708">
        <f t="shared" ca="1" si="3"/>
        <v>88338.249836525662</v>
      </c>
      <c r="H27" s="708">
        <f t="shared" si="3"/>
        <v>202087.67467518154</v>
      </c>
      <c r="I27" s="708">
        <f t="shared" si="3"/>
        <v>32938.190964846428</v>
      </c>
      <c r="J27" s="708">
        <f t="shared" si="3"/>
        <v>0</v>
      </c>
      <c r="K27" s="708">
        <f t="shared" si="3"/>
        <v>1188.1569257968583</v>
      </c>
      <c r="L27" s="708">
        <f t="shared" si="3"/>
        <v>0</v>
      </c>
      <c r="M27" s="708">
        <f t="shared" ca="1" si="3"/>
        <v>0</v>
      </c>
      <c r="N27" s="708">
        <f t="shared" si="3"/>
        <v>12699.633653167994</v>
      </c>
      <c r="O27" s="708">
        <f t="shared" ca="1" si="3"/>
        <v>71371.528731994011</v>
      </c>
      <c r="P27" s="708">
        <f t="shared" si="3"/>
        <v>315.79333333333335</v>
      </c>
      <c r="Q27" s="708">
        <f t="shared" si="3"/>
        <v>858</v>
      </c>
      <c r="R27" s="708">
        <f t="shared" ca="1" si="3"/>
        <v>1246399.2654406778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19838.357375557134</v>
      </c>
      <c r="D40" s="1025">
        <f ca="1">tertiair!C20</f>
        <v>369.84310156534406</v>
      </c>
      <c r="E40" s="1025">
        <f ca="1">tertiair!D20</f>
        <v>21736.772405889838</v>
      </c>
      <c r="F40" s="1025">
        <f>tertiair!E20</f>
        <v>187.25320781085119</v>
      </c>
      <c r="G40" s="1025">
        <f ca="1">tertiair!F20</f>
        <v>3425.5710431328994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45557.797133956068</v>
      </c>
    </row>
    <row r="41" spans="1:18">
      <c r="A41" s="823" t="s">
        <v>225</v>
      </c>
      <c r="B41" s="830"/>
      <c r="C41" s="1025">
        <f ca="1">huishoudens!B12</f>
        <v>12767.331642326062</v>
      </c>
      <c r="D41" s="1025">
        <f ca="1">huishoudens!C12</f>
        <v>0</v>
      </c>
      <c r="E41" s="1025">
        <f>huishoudens!D12</f>
        <v>42371.70489221887</v>
      </c>
      <c r="F41" s="1025">
        <f>huishoudens!E12</f>
        <v>684.57415253397187</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55823.610687078901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40357.574150182147</v>
      </c>
      <c r="D43" s="1025">
        <f ca="1">industrie!C22</f>
        <v>958.57293671017737</v>
      </c>
      <c r="E43" s="1025">
        <f>industrie!D22</f>
        <v>27571.195263939298</v>
      </c>
      <c r="F43" s="1025">
        <f>industrie!E22</f>
        <v>1897.2976977756932</v>
      </c>
      <c r="G43" s="1025">
        <f>industrie!F22</f>
        <v>19146.391447499005</v>
      </c>
      <c r="H43" s="1025">
        <f>industrie!G22</f>
        <v>0</v>
      </c>
      <c r="I43" s="1025">
        <f>industrie!H22</f>
        <v>0</v>
      </c>
      <c r="J43" s="1025">
        <f>industrie!I22</f>
        <v>0</v>
      </c>
      <c r="K43" s="1025">
        <f>industrie!J22</f>
        <v>339.34309810908326</v>
      </c>
      <c r="L43" s="1025">
        <f>industrie!K22</f>
        <v>0</v>
      </c>
      <c r="M43" s="1025">
        <f>industrie!L22</f>
        <v>0</v>
      </c>
      <c r="N43" s="1025">
        <f>industrie!M22</f>
        <v>0</v>
      </c>
      <c r="O43" s="1025">
        <f>industrie!N22</f>
        <v>0</v>
      </c>
      <c r="P43" s="1025">
        <f>industrie!O22</f>
        <v>0</v>
      </c>
      <c r="Q43" s="775">
        <f>industrie!P22</f>
        <v>0</v>
      </c>
      <c r="R43" s="850">
        <f t="shared" ca="1" si="4"/>
        <v>90270.374594215391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72963.263168065343</v>
      </c>
      <c r="D46" s="733">
        <f t="shared" ref="D46:Q46" ca="1" si="5">SUM(D39:D45)</f>
        <v>1328.4160382755215</v>
      </c>
      <c r="E46" s="733">
        <f t="shared" ca="1" si="5"/>
        <v>91679.672562048014</v>
      </c>
      <c r="F46" s="733">
        <f t="shared" si="5"/>
        <v>2769.1250581205163</v>
      </c>
      <c r="G46" s="733">
        <f t="shared" ca="1" si="5"/>
        <v>22571.962490631904</v>
      </c>
      <c r="H46" s="733">
        <f t="shared" si="5"/>
        <v>0</v>
      </c>
      <c r="I46" s="733">
        <f t="shared" si="5"/>
        <v>0</v>
      </c>
      <c r="J46" s="733">
        <f t="shared" si="5"/>
        <v>0</v>
      </c>
      <c r="K46" s="733">
        <f t="shared" si="5"/>
        <v>339.34309810908326</v>
      </c>
      <c r="L46" s="733">
        <f t="shared" si="5"/>
        <v>0</v>
      </c>
      <c r="M46" s="733">
        <f t="shared" ca="1" si="5"/>
        <v>0</v>
      </c>
      <c r="N46" s="733">
        <f t="shared" si="5"/>
        <v>0</v>
      </c>
      <c r="O46" s="733">
        <f t="shared" ca="1" si="5"/>
        <v>0</v>
      </c>
      <c r="P46" s="733">
        <f t="shared" si="5"/>
        <v>0</v>
      </c>
      <c r="Q46" s="733">
        <f t="shared" si="5"/>
        <v>0</v>
      </c>
      <c r="R46" s="733">
        <f ca="1">SUM(R39:R45)</f>
        <v>191651.78241525037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1360.9355399104068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1360.9355399104068</v>
      </c>
    </row>
    <row r="50" spans="1:18">
      <c r="A50" s="826" t="s">
        <v>307</v>
      </c>
      <c r="B50" s="836"/>
      <c r="C50" s="704">
        <f ca="1">transport!B18</f>
        <v>7.1011460237584663</v>
      </c>
      <c r="D50" s="704">
        <f>transport!C18</f>
        <v>0</v>
      </c>
      <c r="E50" s="704">
        <f>transport!D18</f>
        <v>17.371589221325443</v>
      </c>
      <c r="F50" s="704">
        <f>transport!E18</f>
        <v>132.73055060330233</v>
      </c>
      <c r="G50" s="704">
        <f>transport!F18</f>
        <v>0</v>
      </c>
      <c r="H50" s="704">
        <f>transport!G18</f>
        <v>52596.473598363067</v>
      </c>
      <c r="I50" s="704">
        <f>transport!H18</f>
        <v>8201.6095502467597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60955.286434458212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7.1011460237584663</v>
      </c>
      <c r="D52" s="733">
        <f t="shared" ref="D52:Q52" ca="1" si="6">SUM(D48:D51)</f>
        <v>0</v>
      </c>
      <c r="E52" s="733">
        <f t="shared" si="6"/>
        <v>17.371589221325443</v>
      </c>
      <c r="F52" s="733">
        <f t="shared" si="6"/>
        <v>132.73055060330233</v>
      </c>
      <c r="G52" s="733">
        <f t="shared" si="6"/>
        <v>0</v>
      </c>
      <c r="H52" s="733">
        <f t="shared" si="6"/>
        <v>53957.409138273477</v>
      </c>
      <c r="I52" s="733">
        <f t="shared" si="6"/>
        <v>8201.6095502467597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62316.221974368622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316.14614028555246</v>
      </c>
      <c r="D54" s="704">
        <f ca="1">+landbouw!C12</f>
        <v>0</v>
      </c>
      <c r="E54" s="704">
        <f>+landbouw!D12</f>
        <v>461.05588038313908</v>
      </c>
      <c r="F54" s="704">
        <f>+landbouw!E12</f>
        <v>3.1482836987692688</v>
      </c>
      <c r="G54" s="704">
        <f>+landbouw!F12</f>
        <v>1014.3502157204449</v>
      </c>
      <c r="H54" s="704">
        <f>+landbouw!G12</f>
        <v>0</v>
      </c>
      <c r="I54" s="704">
        <f>+landbouw!H12</f>
        <v>0</v>
      </c>
      <c r="J54" s="704">
        <f>+landbouw!I12</f>
        <v>0</v>
      </c>
      <c r="K54" s="704">
        <f>+landbouw!J12</f>
        <v>81.26445362300457</v>
      </c>
      <c r="L54" s="704">
        <f>+landbouw!K12</f>
        <v>0</v>
      </c>
      <c r="M54" s="704">
        <f>+landbouw!L12</f>
        <v>0</v>
      </c>
      <c r="N54" s="704">
        <f>+landbouw!M12</f>
        <v>0</v>
      </c>
      <c r="O54" s="704">
        <f>+landbouw!N12</f>
        <v>0</v>
      </c>
      <c r="P54" s="704">
        <f>+landbouw!O12</f>
        <v>0</v>
      </c>
      <c r="Q54" s="705">
        <f>+landbouw!P12</f>
        <v>0</v>
      </c>
      <c r="R54" s="732">
        <f ca="1">SUM(C54:Q54)</f>
        <v>1875.9649737109103</v>
      </c>
    </row>
    <row r="55" spans="1:18" ht="15" thickBot="1">
      <c r="A55" s="826" t="s">
        <v>864</v>
      </c>
      <c r="B55" s="836"/>
      <c r="C55" s="704">
        <f ca="1">C25*'EF ele_warmte'!B12</f>
        <v>644.61089849696873</v>
      </c>
      <c r="D55" s="704"/>
      <c r="E55" s="704">
        <f>E25*EF_CO2_aardgas</f>
        <v>2375.9550432843107</v>
      </c>
      <c r="F55" s="704"/>
      <c r="G55" s="704"/>
      <c r="H55" s="704"/>
      <c r="I55" s="704"/>
      <c r="J55" s="704"/>
      <c r="K55" s="704"/>
      <c r="L55" s="704"/>
      <c r="M55" s="704"/>
      <c r="N55" s="704"/>
      <c r="O55" s="704"/>
      <c r="P55" s="704"/>
      <c r="Q55" s="705"/>
      <c r="R55" s="732">
        <f ca="1">SUM(C55:Q55)</f>
        <v>3020.5659417812794</v>
      </c>
    </row>
    <row r="56" spans="1:18" ht="15.75" thickBot="1">
      <c r="A56" s="824" t="s">
        <v>865</v>
      </c>
      <c r="B56" s="837"/>
      <c r="C56" s="733">
        <f ca="1">SUM(C54:C55)</f>
        <v>960.75703878252125</v>
      </c>
      <c r="D56" s="733">
        <f t="shared" ref="D56:Q56" ca="1" si="7">SUM(D54:D55)</f>
        <v>0</v>
      </c>
      <c r="E56" s="733">
        <f t="shared" si="7"/>
        <v>2837.0109236674498</v>
      </c>
      <c r="F56" s="733">
        <f t="shared" si="7"/>
        <v>3.1482836987692688</v>
      </c>
      <c r="G56" s="733">
        <f t="shared" si="7"/>
        <v>1014.3502157204449</v>
      </c>
      <c r="H56" s="733">
        <f t="shared" si="7"/>
        <v>0</v>
      </c>
      <c r="I56" s="733">
        <f t="shared" si="7"/>
        <v>0</v>
      </c>
      <c r="J56" s="733">
        <f t="shared" si="7"/>
        <v>0</v>
      </c>
      <c r="K56" s="733">
        <f t="shared" si="7"/>
        <v>81.26445362300457</v>
      </c>
      <c r="L56" s="733">
        <f t="shared" si="7"/>
        <v>0</v>
      </c>
      <c r="M56" s="733">
        <f t="shared" si="7"/>
        <v>0</v>
      </c>
      <c r="N56" s="733">
        <f t="shared" si="7"/>
        <v>0</v>
      </c>
      <c r="O56" s="733">
        <f t="shared" si="7"/>
        <v>0</v>
      </c>
      <c r="P56" s="733">
        <f t="shared" si="7"/>
        <v>0</v>
      </c>
      <c r="Q56" s="734">
        <f t="shared" si="7"/>
        <v>0</v>
      </c>
      <c r="R56" s="735">
        <f ca="1">SUM(R54:R55)</f>
        <v>4896.5309154921897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73931.121352871633</v>
      </c>
      <c r="D61" s="741">
        <f t="shared" ref="D61:Q61" ca="1" si="8">D46+D52+D56</f>
        <v>1328.4160382755215</v>
      </c>
      <c r="E61" s="741">
        <f t="shared" ca="1" si="8"/>
        <v>94534.055074936783</v>
      </c>
      <c r="F61" s="741">
        <f t="shared" si="8"/>
        <v>2905.0038924225878</v>
      </c>
      <c r="G61" s="741">
        <f t="shared" ca="1" si="8"/>
        <v>23586.31270635235</v>
      </c>
      <c r="H61" s="741">
        <f t="shared" si="8"/>
        <v>53957.409138273477</v>
      </c>
      <c r="I61" s="741">
        <f t="shared" si="8"/>
        <v>8201.6095502467597</v>
      </c>
      <c r="J61" s="741">
        <f t="shared" si="8"/>
        <v>0</v>
      </c>
      <c r="K61" s="741">
        <f t="shared" si="8"/>
        <v>420.60755173208781</v>
      </c>
      <c r="L61" s="741">
        <f t="shared" si="8"/>
        <v>0</v>
      </c>
      <c r="M61" s="741">
        <f t="shared" ca="1" si="8"/>
        <v>0</v>
      </c>
      <c r="N61" s="741">
        <f t="shared" si="8"/>
        <v>0</v>
      </c>
      <c r="O61" s="741">
        <f t="shared" ca="1" si="8"/>
        <v>0</v>
      </c>
      <c r="P61" s="741">
        <f t="shared" si="8"/>
        <v>0</v>
      </c>
      <c r="Q61" s="741">
        <f t="shared" si="8"/>
        <v>0</v>
      </c>
      <c r="R61" s="741">
        <f ca="1">R46+R52+R56</f>
        <v>258864.53530511117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0.21113697549822991</v>
      </c>
      <c r="D63" s="782">
        <f t="shared" ca="1" si="9"/>
        <v>0.23482101686688509</v>
      </c>
      <c r="E63" s="1036">
        <f t="shared" ca="1" si="9"/>
        <v>0.20200000000000001</v>
      </c>
      <c r="F63" s="782">
        <f t="shared" si="9"/>
        <v>0.22699999999999998</v>
      </c>
      <c r="G63" s="782">
        <f t="shared" ca="1" si="9"/>
        <v>0.26699999999999996</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14484.591467792419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3172.5</v>
      </c>
      <c r="D76" s="1046">
        <f>'lokale energieproductie'!C8</f>
        <v>3687.9686931197666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744.96967601019287</v>
      </c>
      <c r="R76" s="853">
        <v>0</v>
      </c>
    </row>
    <row r="77" spans="1:18" ht="30.75" thickBot="1">
      <c r="A77" s="754" t="s">
        <v>353</v>
      </c>
      <c r="B77" s="751">
        <f>'lokale energieproductie'!B9*IFERROR(SUM(I77:O77)/SUM(D77:O77),0)</f>
        <v>1341</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3831.4285714285716</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15825.591467792419</v>
      </c>
      <c r="C78" s="756">
        <f>SUM(C72:C77)</f>
        <v>3172.5</v>
      </c>
      <c r="D78" s="757">
        <f t="shared" ref="D78:H78" si="10">SUM(D76:D77)</f>
        <v>3687.9686931197666</v>
      </c>
      <c r="E78" s="757">
        <f t="shared" si="10"/>
        <v>0</v>
      </c>
      <c r="F78" s="757">
        <f t="shared" si="10"/>
        <v>0</v>
      </c>
      <c r="G78" s="757">
        <f t="shared" si="10"/>
        <v>0</v>
      </c>
      <c r="H78" s="757">
        <f t="shared" si="10"/>
        <v>0</v>
      </c>
      <c r="I78" s="757">
        <f>SUM(I76:I77)</f>
        <v>0</v>
      </c>
      <c r="J78" s="757">
        <f>SUM(J76:J77)</f>
        <v>3831.4285714285716</v>
      </c>
      <c r="K78" s="757">
        <f t="shared" ref="K78:L78" si="11">SUM(K76:K77)</f>
        <v>0</v>
      </c>
      <c r="L78" s="757">
        <f t="shared" si="11"/>
        <v>0</v>
      </c>
      <c r="M78" s="757">
        <f>SUM(M76:M77)</f>
        <v>0</v>
      </c>
      <c r="N78" s="757">
        <f>SUM(N76:N77)</f>
        <v>0</v>
      </c>
      <c r="O78" s="861">
        <f>SUM(O76:O77)</f>
        <v>0</v>
      </c>
      <c r="P78" s="758">
        <v>0</v>
      </c>
      <c r="Q78" s="758">
        <f>SUM(Q76:Q77)</f>
        <v>744.96967601019287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5657.1428571428578</v>
      </c>
      <c r="D87" s="778">
        <f>'lokale energieproductie'!C17</f>
        <v>6576.3170211659472</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1328.4160382755215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5657.1428571428578</v>
      </c>
      <c r="D90" s="756">
        <f t="shared" ref="D90:H90" si="12">SUM(D87:D89)</f>
        <v>6576.3170211659472</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1328.4160382755215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14484.591467792419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3172.5</v>
      </c>
      <c r="C8" s="571">
        <f>B101</f>
        <v>3687.9686931197666</v>
      </c>
      <c r="D8" s="1056"/>
      <c r="E8" s="1056">
        <f>E101</f>
        <v>0</v>
      </c>
      <c r="F8" s="1057"/>
      <c r="G8" s="572"/>
      <c r="H8" s="1056">
        <f>I101</f>
        <v>0</v>
      </c>
      <c r="I8" s="1056">
        <f>G101+F101</f>
        <v>0</v>
      </c>
      <c r="J8" s="1056">
        <f>H101+D101+C101</f>
        <v>0</v>
      </c>
      <c r="K8" s="1056"/>
      <c r="L8" s="1056"/>
      <c r="M8" s="1056"/>
      <c r="N8" s="573"/>
      <c r="O8" s="574">
        <f>C8*$C$12+D8*$D$12+E8*$E$12+F8*$F$12+G8*$G$12+H8*$H$12+I8*$I$12+J8*$J$12</f>
        <v>744.96967601019287</v>
      </c>
      <c r="P8" s="1275"/>
      <c r="Q8" s="1276"/>
      <c r="S8" s="1020"/>
      <c r="T8" s="1250"/>
      <c r="U8" s="1250"/>
    </row>
    <row r="9" spans="1:21" s="560" customFormat="1" ht="17.45" customHeight="1" thickBot="1">
      <c r="A9" s="575" t="s">
        <v>248</v>
      </c>
      <c r="B9" s="576">
        <f>N89+'Eigen informatie GS &amp; warmtenet'!B12</f>
        <v>1341</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18998.091467792419</v>
      </c>
      <c r="C10" s="584">
        <f t="shared" ref="C10:L10" si="0">SUM(C8:C9)</f>
        <v>3687.9686931197666</v>
      </c>
      <c r="D10" s="584">
        <f t="shared" si="0"/>
        <v>0</v>
      </c>
      <c r="E10" s="584">
        <f t="shared" si="0"/>
        <v>0</v>
      </c>
      <c r="F10" s="584">
        <f t="shared" si="0"/>
        <v>0</v>
      </c>
      <c r="G10" s="584">
        <f t="shared" si="0"/>
        <v>0</v>
      </c>
      <c r="H10" s="584">
        <f t="shared" si="0"/>
        <v>0</v>
      </c>
      <c r="I10" s="584">
        <f t="shared" si="0"/>
        <v>0</v>
      </c>
      <c r="J10" s="584">
        <f t="shared" si="0"/>
        <v>3831.4285714285716</v>
      </c>
      <c r="K10" s="584">
        <f t="shared" si="0"/>
        <v>0</v>
      </c>
      <c r="L10" s="584">
        <f t="shared" si="0"/>
        <v>0</v>
      </c>
      <c r="M10" s="1059"/>
      <c r="N10" s="1059"/>
      <c r="O10" s="585">
        <f>SUM(O4:O9)</f>
        <v>744.96967601019287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5657.1428571428578</v>
      </c>
      <c r="C17" s="596">
        <f>B102</f>
        <v>6576.3170211659472</v>
      </c>
      <c r="D17" s="597"/>
      <c r="E17" s="597">
        <f>E102</f>
        <v>0</v>
      </c>
      <c r="F17" s="1062"/>
      <c r="G17" s="598"/>
      <c r="H17" s="596">
        <f>I102</f>
        <v>0</v>
      </c>
      <c r="I17" s="597">
        <f>G102+F102</f>
        <v>0</v>
      </c>
      <c r="J17" s="597">
        <f>H102+D102+C102</f>
        <v>0</v>
      </c>
      <c r="K17" s="597"/>
      <c r="L17" s="597"/>
      <c r="M17" s="597"/>
      <c r="N17" s="1063"/>
      <c r="O17" s="599">
        <f>C17*$C$22+E17*$E$22+H17*$H$22+I17*$I$22+J17*$J$22+D17*$D$22+F17*$F$22+G17*$G$22+K17*$K$22+L17*$L$22</f>
        <v>1328.4160382755215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5657.1428571428578</v>
      </c>
      <c r="C20" s="583">
        <f>SUM(C17:C19)</f>
        <v>6576.3170211659472</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1328.4160382755215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13040</v>
      </c>
      <c r="C28" s="797">
        <v>2300</v>
      </c>
      <c r="D28" s="654" t="s">
        <v>907</v>
      </c>
      <c r="E28" s="653" t="s">
        <v>908</v>
      </c>
      <c r="F28" s="653" t="s">
        <v>909</v>
      </c>
      <c r="G28" s="653" t="s">
        <v>910</v>
      </c>
      <c r="H28" s="653" t="s">
        <v>910</v>
      </c>
      <c r="I28" s="653" t="s">
        <v>908</v>
      </c>
      <c r="J28" s="796">
        <v>41001</v>
      </c>
      <c r="K28" s="796">
        <v>41153</v>
      </c>
      <c r="L28" s="653" t="s">
        <v>911</v>
      </c>
      <c r="M28" s="653">
        <v>70</v>
      </c>
      <c r="N28" s="653">
        <v>315.00000000000006</v>
      </c>
      <c r="O28" s="653">
        <v>1575.0000000000002</v>
      </c>
      <c r="P28" s="653">
        <v>2100.0000000000005</v>
      </c>
      <c r="Q28" s="653">
        <v>0</v>
      </c>
      <c r="R28" s="653">
        <v>0</v>
      </c>
      <c r="S28" s="653">
        <v>0</v>
      </c>
      <c r="T28" s="653">
        <v>0</v>
      </c>
      <c r="U28" s="653">
        <v>0</v>
      </c>
      <c r="V28" s="653">
        <v>0</v>
      </c>
      <c r="W28" s="653">
        <v>0</v>
      </c>
      <c r="X28" s="653">
        <v>1300</v>
      </c>
      <c r="Y28" s="653" t="s">
        <v>54</v>
      </c>
      <c r="Z28" s="655" t="s">
        <v>156</v>
      </c>
    </row>
    <row r="29" spans="1:26" s="607" customFormat="1" ht="25.5">
      <c r="A29" s="606"/>
      <c r="B29" s="797">
        <v>13040</v>
      </c>
      <c r="C29" s="797">
        <v>2300</v>
      </c>
      <c r="D29" s="654" t="s">
        <v>912</v>
      </c>
      <c r="E29" s="653" t="s">
        <v>913</v>
      </c>
      <c r="F29" s="653" t="s">
        <v>914</v>
      </c>
      <c r="G29" s="653" t="s">
        <v>915</v>
      </c>
      <c r="H29" s="653" t="s">
        <v>916</v>
      </c>
      <c r="I29" s="653" t="s">
        <v>913</v>
      </c>
      <c r="J29" s="796">
        <v>41324</v>
      </c>
      <c r="K29" s="796">
        <v>41324</v>
      </c>
      <c r="L29" s="653" t="s">
        <v>911</v>
      </c>
      <c r="M29" s="653">
        <v>635</v>
      </c>
      <c r="N29" s="653">
        <v>2857.5</v>
      </c>
      <c r="O29" s="653">
        <v>4082.1428571428573</v>
      </c>
      <c r="P29" s="653">
        <v>8164.2857142857147</v>
      </c>
      <c r="Q29" s="653">
        <v>0</v>
      </c>
      <c r="R29" s="653">
        <v>0</v>
      </c>
      <c r="S29" s="653">
        <v>0</v>
      </c>
      <c r="T29" s="653">
        <v>0</v>
      </c>
      <c r="U29" s="653">
        <v>0</v>
      </c>
      <c r="V29" s="653">
        <v>0</v>
      </c>
      <c r="W29" s="653">
        <v>0</v>
      </c>
      <c r="X29" s="653">
        <v>300</v>
      </c>
      <c r="Y29" s="653" t="s">
        <v>917</v>
      </c>
      <c r="Z29" s="655" t="s">
        <v>389</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705</v>
      </c>
      <c r="N58" s="611">
        <f>SUM(N28:N57)</f>
        <v>3172.5</v>
      </c>
      <c r="O58" s="611">
        <f t="shared" ref="O58:W58" si="2">SUM(O28:O57)</f>
        <v>5657.1428571428578</v>
      </c>
      <c r="P58" s="611">
        <f t="shared" si="2"/>
        <v>10264.285714285716</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635</v>
      </c>
      <c r="N59" s="611">
        <f t="shared" si="3"/>
        <v>2857.5</v>
      </c>
      <c r="O59" s="611">
        <f t="shared" si="3"/>
        <v>4082.1428571428573</v>
      </c>
      <c r="P59" s="611">
        <f t="shared" si="3"/>
        <v>8164.2857142857147</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70</v>
      </c>
      <c r="N60" s="611">
        <f ca="1">SUMIF($Z$28:AD57,"tertiair",N28:N57)</f>
        <v>315.00000000000006</v>
      </c>
      <c r="O60" s="611">
        <f ca="1">SUMIF($Z$28:AE57,"tertiair",O28:O57)</f>
        <v>1575.0000000000002</v>
      </c>
      <c r="P60" s="611">
        <f ca="1">SUMIF($Z$28:AF57,"tertiair",P28:P57)</f>
        <v>2100.0000000000005</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13040</v>
      </c>
      <c r="C64" s="797">
        <v>2300</v>
      </c>
      <c r="D64" s="656" t="s">
        <v>918</v>
      </c>
      <c r="E64" s="656" t="s">
        <v>919</v>
      </c>
      <c r="F64" s="656" t="s">
        <v>920</v>
      </c>
      <c r="G64" s="656" t="s">
        <v>921</v>
      </c>
      <c r="H64" s="656" t="s">
        <v>922</v>
      </c>
      <c r="I64" s="656" t="s">
        <v>923</v>
      </c>
      <c r="J64" s="796">
        <v>38768</v>
      </c>
      <c r="K64" s="796">
        <v>39052</v>
      </c>
      <c r="L64" s="656" t="s">
        <v>924</v>
      </c>
      <c r="M64" s="656">
        <v>298</v>
      </c>
      <c r="N64" s="656">
        <v>1341</v>
      </c>
      <c r="O64" s="656">
        <v>0</v>
      </c>
      <c r="P64" s="656">
        <v>0</v>
      </c>
      <c r="Q64" s="656">
        <v>3831.4285714285716</v>
      </c>
      <c r="R64" s="656">
        <v>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298</v>
      </c>
      <c r="N89" s="611">
        <f t="shared" ref="N89:W89" si="5">SUM(N64:N88)</f>
        <v>1341</v>
      </c>
      <c r="O89" s="611">
        <f t="shared" si="5"/>
        <v>0</v>
      </c>
      <c r="P89" s="611">
        <f t="shared" si="5"/>
        <v>0</v>
      </c>
      <c r="Q89" s="611">
        <f t="shared" si="5"/>
        <v>3831.4285714285716</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298</v>
      </c>
      <c r="N91" s="611">
        <f t="shared" si="7"/>
        <v>1341</v>
      </c>
      <c r="O91" s="611">
        <f t="shared" si="7"/>
        <v>0</v>
      </c>
      <c r="P91" s="611">
        <f t="shared" si="7"/>
        <v>0</v>
      </c>
      <c r="Q91" s="611">
        <f t="shared" si="7"/>
        <v>3831.4285714285716</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0.64069894430287577</v>
      </c>
      <c r="C98" s="636">
        <f>IF(ISERROR(N58/(O58+N58)),0,N58/(N58+O58))</f>
        <v>0.35930105569712406</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3687.9686931197666</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6576.3170211659472</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60469.425652225938</v>
      </c>
      <c r="C4" s="478">
        <f>huishoudens!C8</f>
        <v>0</v>
      </c>
      <c r="D4" s="478">
        <f>huishoudens!D8</f>
        <v>209760.9153080142</v>
      </c>
      <c r="E4" s="478">
        <f>huishoudens!E8</f>
        <v>3015.7451653478934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23236.047041023499</v>
      </c>
      <c r="O4" s="478">
        <f>huishoudens!O8</f>
        <v>309.54000000000002</v>
      </c>
      <c r="P4" s="479">
        <f>huishoudens!P8</f>
        <v>724.5333333333333</v>
      </c>
      <c r="Q4" s="480">
        <f>SUM(B4:P4)</f>
        <v>297516.20649994479</v>
      </c>
    </row>
    <row r="5" spans="1:17">
      <c r="A5" s="477" t="s">
        <v>156</v>
      </c>
      <c r="B5" s="478">
        <f ca="1">tertiair!B16</f>
        <v>91394.977999999988</v>
      </c>
      <c r="C5" s="478">
        <f ca="1">tertiair!C16</f>
        <v>1575.0000000000002</v>
      </c>
      <c r="D5" s="478">
        <f ca="1">tertiair!D16</f>
        <v>107607.78418757346</v>
      </c>
      <c r="E5" s="478">
        <f>tertiair!E16</f>
        <v>824.90399916674528</v>
      </c>
      <c r="F5" s="478">
        <f ca="1">tertiair!F16</f>
        <v>12829.854094130709</v>
      </c>
      <c r="G5" s="478">
        <f>tertiair!G16</f>
        <v>0</v>
      </c>
      <c r="H5" s="478">
        <f>tertiair!H16</f>
        <v>0</v>
      </c>
      <c r="I5" s="478">
        <f>tertiair!I16</f>
        <v>0</v>
      </c>
      <c r="J5" s="478">
        <f>tertiair!J16</f>
        <v>0</v>
      </c>
      <c r="K5" s="478">
        <f>tertiair!K16</f>
        <v>0</v>
      </c>
      <c r="L5" s="478">
        <f ca="1">tertiair!L16</f>
        <v>0</v>
      </c>
      <c r="M5" s="478">
        <f>tertiair!M16</f>
        <v>0</v>
      </c>
      <c r="N5" s="478">
        <f ca="1">tertiair!N16</f>
        <v>1165.6780717894244</v>
      </c>
      <c r="O5" s="478">
        <f>tertiair!O16</f>
        <v>6.2533333333333339</v>
      </c>
      <c r="P5" s="479">
        <f>tertiair!P16</f>
        <v>133.46666666666667</v>
      </c>
      <c r="Q5" s="477">
        <f t="shared" ref="Q5:Q14" ca="1" si="0">SUM(B5:P5)</f>
        <v>215537.91835266032</v>
      </c>
    </row>
    <row r="6" spans="1:17">
      <c r="A6" s="477" t="s">
        <v>194</v>
      </c>
      <c r="B6" s="478">
        <f>'openbare verlichting'!B8</f>
        <v>2564.6770000000001</v>
      </c>
      <c r="C6" s="478"/>
      <c r="D6" s="478"/>
      <c r="E6" s="478"/>
      <c r="F6" s="478"/>
      <c r="G6" s="478"/>
      <c r="H6" s="478"/>
      <c r="I6" s="478"/>
      <c r="J6" s="478"/>
      <c r="K6" s="478"/>
      <c r="L6" s="478"/>
      <c r="M6" s="478"/>
      <c r="N6" s="478"/>
      <c r="O6" s="478"/>
      <c r="P6" s="479"/>
      <c r="Q6" s="477">
        <f t="shared" si="0"/>
        <v>2564.6770000000001</v>
      </c>
    </row>
    <row r="7" spans="1:17">
      <c r="A7" s="477" t="s">
        <v>112</v>
      </c>
      <c r="B7" s="478">
        <f>landbouw!B8</f>
        <v>1497.3508999999999</v>
      </c>
      <c r="C7" s="478">
        <f>landbouw!C8</f>
        <v>0</v>
      </c>
      <c r="D7" s="478">
        <f>landbouw!D8</f>
        <v>2282.4548533818765</v>
      </c>
      <c r="E7" s="478">
        <f>landbouw!E8</f>
        <v>13.869091184005589</v>
      </c>
      <c r="F7" s="478">
        <f>landbouw!F8</f>
        <v>3799.0644783537259</v>
      </c>
      <c r="G7" s="478">
        <f>landbouw!G8</f>
        <v>0</v>
      </c>
      <c r="H7" s="478">
        <f>landbouw!H8</f>
        <v>0</v>
      </c>
      <c r="I7" s="478">
        <f>landbouw!I8</f>
        <v>0</v>
      </c>
      <c r="J7" s="478">
        <f>landbouw!J8</f>
        <v>229.56060345481518</v>
      </c>
      <c r="K7" s="478">
        <f>landbouw!K8</f>
        <v>0</v>
      </c>
      <c r="L7" s="478">
        <f>landbouw!L8</f>
        <v>0</v>
      </c>
      <c r="M7" s="478">
        <f>landbouw!M8</f>
        <v>0</v>
      </c>
      <c r="N7" s="478">
        <f>landbouw!N8</f>
        <v>0</v>
      </c>
      <c r="O7" s="478">
        <f>landbouw!O8</f>
        <v>0</v>
      </c>
      <c r="P7" s="479">
        <f>landbouw!P8</f>
        <v>0</v>
      </c>
      <c r="Q7" s="477">
        <f t="shared" si="0"/>
        <v>7822.2999263744232</v>
      </c>
    </row>
    <row r="8" spans="1:17">
      <c r="A8" s="477" t="s">
        <v>650</v>
      </c>
      <c r="B8" s="478">
        <f>industrie!B18</f>
        <v>191144.03839</v>
      </c>
      <c r="C8" s="478">
        <f>industrie!C18</f>
        <v>4082.1428571428573</v>
      </c>
      <c r="D8" s="478">
        <f>industrie!D18</f>
        <v>136491.06566306582</v>
      </c>
      <c r="E8" s="478">
        <f>industrie!E18</f>
        <v>8358.139637778384</v>
      </c>
      <c r="F8" s="478">
        <f>industrie!F18</f>
        <v>71709.331264041219</v>
      </c>
      <c r="G8" s="478">
        <f>industrie!G18</f>
        <v>0</v>
      </c>
      <c r="H8" s="478">
        <f>industrie!H18</f>
        <v>0</v>
      </c>
      <c r="I8" s="478">
        <f>industrie!I18</f>
        <v>0</v>
      </c>
      <c r="J8" s="478">
        <f>industrie!J18</f>
        <v>958.59632234204321</v>
      </c>
      <c r="K8" s="478">
        <f>industrie!K18</f>
        <v>0</v>
      </c>
      <c r="L8" s="478">
        <f>industrie!L18</f>
        <v>0</v>
      </c>
      <c r="M8" s="478">
        <f>industrie!M18</f>
        <v>0</v>
      </c>
      <c r="N8" s="478">
        <f>industrie!N18</f>
        <v>46969.80361918109</v>
      </c>
      <c r="O8" s="478">
        <f>industrie!O18</f>
        <v>0</v>
      </c>
      <c r="P8" s="479">
        <f>industrie!P18</f>
        <v>0</v>
      </c>
      <c r="Q8" s="477">
        <f t="shared" si="0"/>
        <v>459713.11775355152</v>
      </c>
    </row>
    <row r="9" spans="1:17" s="483" customFormat="1">
      <c r="A9" s="481" t="s">
        <v>571</v>
      </c>
      <c r="B9" s="482">
        <f>transport!B14</f>
        <v>33.632886930399359</v>
      </c>
      <c r="C9" s="482">
        <f>transport!C14</f>
        <v>0</v>
      </c>
      <c r="D9" s="482">
        <f>transport!D14</f>
        <v>85.997966442205154</v>
      </c>
      <c r="E9" s="482">
        <f>transport!E14</f>
        <v>584.71608195287365</v>
      </c>
      <c r="F9" s="482">
        <f>transport!F14</f>
        <v>0</v>
      </c>
      <c r="G9" s="482">
        <f>transport!G14</f>
        <v>196990.5378215845</v>
      </c>
      <c r="H9" s="482">
        <f>transport!H14</f>
        <v>32938.190964846428</v>
      </c>
      <c r="I9" s="482">
        <f>transport!I14</f>
        <v>0</v>
      </c>
      <c r="J9" s="482">
        <f>transport!J14</f>
        <v>0</v>
      </c>
      <c r="K9" s="482">
        <f>transport!K14</f>
        <v>0</v>
      </c>
      <c r="L9" s="482">
        <f>transport!L14</f>
        <v>0</v>
      </c>
      <c r="M9" s="482">
        <f>transport!M14</f>
        <v>12408.958797363961</v>
      </c>
      <c r="N9" s="482">
        <f>transport!N14</f>
        <v>0</v>
      </c>
      <c r="O9" s="482">
        <f>transport!O14</f>
        <v>0</v>
      </c>
      <c r="P9" s="482">
        <f>transport!P14</f>
        <v>0</v>
      </c>
      <c r="Q9" s="481">
        <f>SUM(B9:P9)</f>
        <v>243042.03451912038</v>
      </c>
    </row>
    <row r="10" spans="1:17">
      <c r="A10" s="477" t="s">
        <v>561</v>
      </c>
      <c r="B10" s="478">
        <f>transport!B54</f>
        <v>0</v>
      </c>
      <c r="C10" s="478">
        <f>transport!C54</f>
        <v>0</v>
      </c>
      <c r="D10" s="478">
        <f>transport!D54</f>
        <v>0</v>
      </c>
      <c r="E10" s="478">
        <f>transport!E54</f>
        <v>0</v>
      </c>
      <c r="F10" s="478">
        <f>transport!F54</f>
        <v>0</v>
      </c>
      <c r="G10" s="478">
        <f>transport!G54</f>
        <v>5097.1368535970287</v>
      </c>
      <c r="H10" s="478">
        <f>transport!H54</f>
        <v>0</v>
      </c>
      <c r="I10" s="478">
        <f>transport!I54</f>
        <v>0</v>
      </c>
      <c r="J10" s="478">
        <f>transport!J54</f>
        <v>0</v>
      </c>
      <c r="K10" s="478">
        <f>transport!K54</f>
        <v>0</v>
      </c>
      <c r="L10" s="478">
        <f>transport!L54</f>
        <v>0</v>
      </c>
      <c r="M10" s="478">
        <f>transport!M54</f>
        <v>290.67485580403326</v>
      </c>
      <c r="N10" s="478">
        <f>transport!N54</f>
        <v>0</v>
      </c>
      <c r="O10" s="478">
        <f>transport!O54</f>
        <v>0</v>
      </c>
      <c r="P10" s="479">
        <f>transport!P54</f>
        <v>0</v>
      </c>
      <c r="Q10" s="477">
        <f t="shared" si="0"/>
        <v>5387.8117094010622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3053.0459999999998</v>
      </c>
      <c r="C14" s="485"/>
      <c r="D14" s="485">
        <f>'SEAP template'!E25</f>
        <v>11762.1536796253</v>
      </c>
      <c r="E14" s="485"/>
      <c r="F14" s="485"/>
      <c r="G14" s="485"/>
      <c r="H14" s="485"/>
      <c r="I14" s="485"/>
      <c r="J14" s="485"/>
      <c r="K14" s="485"/>
      <c r="L14" s="485"/>
      <c r="M14" s="485"/>
      <c r="N14" s="485"/>
      <c r="O14" s="485"/>
      <c r="P14" s="486"/>
      <c r="Q14" s="477">
        <f t="shared" si="0"/>
        <v>14815.199679625301</v>
      </c>
    </row>
    <row r="15" spans="1:17" s="487" customFormat="1">
      <c r="A15" s="1051" t="s">
        <v>565</v>
      </c>
      <c r="B15" s="991">
        <f ca="1">SUM(B4:B14)</f>
        <v>350157.1488291563</v>
      </c>
      <c r="C15" s="991">
        <f t="shared" ref="C15:Q15" ca="1" si="1">SUM(C4:C14)</f>
        <v>5657.1428571428578</v>
      </c>
      <c r="D15" s="991">
        <f t="shared" ca="1" si="1"/>
        <v>467990.3716581029</v>
      </c>
      <c r="E15" s="991">
        <f t="shared" si="1"/>
        <v>12797.373975429904</v>
      </c>
      <c r="F15" s="991">
        <f t="shared" ca="1" si="1"/>
        <v>88338.249836525647</v>
      </c>
      <c r="G15" s="991">
        <f t="shared" si="1"/>
        <v>202087.67467518154</v>
      </c>
      <c r="H15" s="991">
        <f t="shared" si="1"/>
        <v>32938.190964846428</v>
      </c>
      <c r="I15" s="991">
        <f t="shared" si="1"/>
        <v>0</v>
      </c>
      <c r="J15" s="991">
        <f t="shared" si="1"/>
        <v>1188.1569257968583</v>
      </c>
      <c r="K15" s="991">
        <f t="shared" si="1"/>
        <v>0</v>
      </c>
      <c r="L15" s="991">
        <f t="shared" ca="1" si="1"/>
        <v>0</v>
      </c>
      <c r="M15" s="991">
        <f t="shared" si="1"/>
        <v>12699.633653167994</v>
      </c>
      <c r="N15" s="991">
        <f t="shared" ca="1" si="1"/>
        <v>71371.528731994011</v>
      </c>
      <c r="O15" s="991">
        <f t="shared" si="1"/>
        <v>315.79333333333335</v>
      </c>
      <c r="P15" s="991">
        <f t="shared" si="1"/>
        <v>858</v>
      </c>
      <c r="Q15" s="991">
        <f t="shared" ca="1" si="1"/>
        <v>1246399.2654406775</v>
      </c>
    </row>
    <row r="17" spans="1:17">
      <c r="A17" s="488" t="s">
        <v>566</v>
      </c>
      <c r="B17" s="787">
        <f ca="1">huishoudens!B10</f>
        <v>0.21113697549822991</v>
      </c>
      <c r="C17" s="787">
        <f ca="1">huishoudens!C10</f>
        <v>0.23482101686688509</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12767.331642326062</v>
      </c>
      <c r="C22" s="478">
        <f t="shared" ref="C22:C32" ca="1" si="3">C4*$C$17</f>
        <v>0</v>
      </c>
      <c r="D22" s="478">
        <f t="shared" ref="D22:D32" si="4">D4*$D$17</f>
        <v>42371.70489221887</v>
      </c>
      <c r="E22" s="478">
        <f t="shared" ref="E22:E32" si="5">E4*$E$17</f>
        <v>684.57415253397187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55823.610687078901</v>
      </c>
    </row>
    <row r="23" spans="1:17">
      <c r="A23" s="477" t="s">
        <v>156</v>
      </c>
      <c r="B23" s="478">
        <f t="shared" ca="1" si="2"/>
        <v>19296.85923064726</v>
      </c>
      <c r="C23" s="478">
        <f t="shared" ca="1" si="3"/>
        <v>369.84310156534406</v>
      </c>
      <c r="D23" s="478">
        <f t="shared" ca="1" si="4"/>
        <v>21736.772405889838</v>
      </c>
      <c r="E23" s="478">
        <f t="shared" si="5"/>
        <v>187.25320781085119</v>
      </c>
      <c r="F23" s="478">
        <f t="shared" ca="1" si="6"/>
        <v>3425.5710431328994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45016.29898904619</v>
      </c>
    </row>
    <row r="24" spans="1:17">
      <c r="A24" s="477" t="s">
        <v>194</v>
      </c>
      <c r="B24" s="478">
        <f t="shared" ca="1" si="2"/>
        <v>541.49814490987376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541.49814490987376</v>
      </c>
    </row>
    <row r="25" spans="1:17">
      <c r="A25" s="477" t="s">
        <v>112</v>
      </c>
      <c r="B25" s="478">
        <f t="shared" ca="1" si="2"/>
        <v>316.14614028555246</v>
      </c>
      <c r="C25" s="478">
        <f t="shared" ca="1" si="3"/>
        <v>0</v>
      </c>
      <c r="D25" s="478">
        <f t="shared" si="4"/>
        <v>461.05588038313908</v>
      </c>
      <c r="E25" s="478">
        <f t="shared" si="5"/>
        <v>3.1482836987692688</v>
      </c>
      <c r="F25" s="478">
        <f t="shared" si="6"/>
        <v>1014.3502157204449</v>
      </c>
      <c r="G25" s="478">
        <f t="shared" si="7"/>
        <v>0</v>
      </c>
      <c r="H25" s="478">
        <f t="shared" si="8"/>
        <v>0</v>
      </c>
      <c r="I25" s="478">
        <f t="shared" si="9"/>
        <v>0</v>
      </c>
      <c r="J25" s="478">
        <f t="shared" si="10"/>
        <v>81.26445362300457</v>
      </c>
      <c r="K25" s="478">
        <f t="shared" si="11"/>
        <v>0</v>
      </c>
      <c r="L25" s="478">
        <f t="shared" si="12"/>
        <v>0</v>
      </c>
      <c r="M25" s="478">
        <f t="shared" si="13"/>
        <v>0</v>
      </c>
      <c r="N25" s="478">
        <f t="shared" si="14"/>
        <v>0</v>
      </c>
      <c r="O25" s="478">
        <f t="shared" si="15"/>
        <v>0</v>
      </c>
      <c r="P25" s="479">
        <f t="shared" si="16"/>
        <v>0</v>
      </c>
      <c r="Q25" s="477">
        <f t="shared" ca="1" si="17"/>
        <v>1875.9649737109103</v>
      </c>
    </row>
    <row r="26" spans="1:17">
      <c r="A26" s="477" t="s">
        <v>650</v>
      </c>
      <c r="B26" s="478">
        <f t="shared" ca="1" si="2"/>
        <v>40357.574150182147</v>
      </c>
      <c r="C26" s="478">
        <f t="shared" ca="1" si="3"/>
        <v>958.57293671017737</v>
      </c>
      <c r="D26" s="478">
        <f t="shared" si="4"/>
        <v>27571.195263939298</v>
      </c>
      <c r="E26" s="478">
        <f t="shared" si="5"/>
        <v>1897.2976977756932</v>
      </c>
      <c r="F26" s="478">
        <f t="shared" si="6"/>
        <v>19146.391447499005</v>
      </c>
      <c r="G26" s="478">
        <f t="shared" si="7"/>
        <v>0</v>
      </c>
      <c r="H26" s="478">
        <f t="shared" si="8"/>
        <v>0</v>
      </c>
      <c r="I26" s="478">
        <f t="shared" si="9"/>
        <v>0</v>
      </c>
      <c r="J26" s="478">
        <f t="shared" si="10"/>
        <v>339.34309810908326</v>
      </c>
      <c r="K26" s="478">
        <f t="shared" si="11"/>
        <v>0</v>
      </c>
      <c r="L26" s="478">
        <f t="shared" si="12"/>
        <v>0</v>
      </c>
      <c r="M26" s="478">
        <f t="shared" si="13"/>
        <v>0</v>
      </c>
      <c r="N26" s="478">
        <f t="shared" si="14"/>
        <v>0</v>
      </c>
      <c r="O26" s="478">
        <f t="shared" si="15"/>
        <v>0</v>
      </c>
      <c r="P26" s="479">
        <f t="shared" si="16"/>
        <v>0</v>
      </c>
      <c r="Q26" s="477">
        <f t="shared" ca="1" si="17"/>
        <v>90270.374594215391</v>
      </c>
    </row>
    <row r="27" spans="1:17" s="483" customFormat="1">
      <c r="A27" s="481" t="s">
        <v>571</v>
      </c>
      <c r="B27" s="781">
        <f t="shared" ca="1" si="2"/>
        <v>7.1011460237584663</v>
      </c>
      <c r="C27" s="482">
        <f t="shared" ca="1" si="3"/>
        <v>0</v>
      </c>
      <c r="D27" s="482">
        <f t="shared" si="4"/>
        <v>17.371589221325443</v>
      </c>
      <c r="E27" s="482">
        <f t="shared" si="5"/>
        <v>132.73055060330233</v>
      </c>
      <c r="F27" s="482">
        <f t="shared" si="6"/>
        <v>0</v>
      </c>
      <c r="G27" s="482">
        <f t="shared" si="7"/>
        <v>52596.473598363067</v>
      </c>
      <c r="H27" s="482">
        <f t="shared" si="8"/>
        <v>8201.6095502467597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60955.286434458212</v>
      </c>
    </row>
    <row r="28" spans="1:17">
      <c r="A28" s="477" t="s">
        <v>561</v>
      </c>
      <c r="B28" s="478">
        <f t="shared" ca="1" si="2"/>
        <v>0</v>
      </c>
      <c r="C28" s="478">
        <f t="shared" ca="1" si="3"/>
        <v>0</v>
      </c>
      <c r="D28" s="478">
        <f t="shared" si="4"/>
        <v>0</v>
      </c>
      <c r="E28" s="478">
        <f t="shared" si="5"/>
        <v>0</v>
      </c>
      <c r="F28" s="478">
        <f t="shared" si="6"/>
        <v>0</v>
      </c>
      <c r="G28" s="478">
        <f t="shared" si="7"/>
        <v>1360.9355399104068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1360.9355399104068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644.61089849696873</v>
      </c>
      <c r="C32" s="478">
        <f t="shared" ca="1" si="3"/>
        <v>0</v>
      </c>
      <c r="D32" s="478">
        <f t="shared" si="4"/>
        <v>2375.9550432843107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3020.5659417812794</v>
      </c>
    </row>
    <row r="33" spans="1:17" s="487" customFormat="1">
      <c r="A33" s="1051" t="s">
        <v>565</v>
      </c>
      <c r="B33" s="991">
        <f ca="1">SUM(B22:B32)</f>
        <v>73931.121352871618</v>
      </c>
      <c r="C33" s="991">
        <f t="shared" ref="C33:Q33" ca="1" si="18">SUM(C22:C32)</f>
        <v>1328.4160382755215</v>
      </c>
      <c r="D33" s="991">
        <f t="shared" ca="1" si="18"/>
        <v>94534.055074936769</v>
      </c>
      <c r="E33" s="991">
        <f t="shared" si="18"/>
        <v>2905.0038924225878</v>
      </c>
      <c r="F33" s="991">
        <f t="shared" ca="1" si="18"/>
        <v>23586.31270635235</v>
      </c>
      <c r="G33" s="991">
        <f t="shared" si="18"/>
        <v>53957.409138273477</v>
      </c>
      <c r="H33" s="991">
        <f t="shared" si="18"/>
        <v>8201.6095502467597</v>
      </c>
      <c r="I33" s="991">
        <f t="shared" si="18"/>
        <v>0</v>
      </c>
      <c r="J33" s="991">
        <f t="shared" si="18"/>
        <v>420.60755173208781</v>
      </c>
      <c r="K33" s="991">
        <f t="shared" si="18"/>
        <v>0</v>
      </c>
      <c r="L33" s="991">
        <f t="shared" ca="1" si="18"/>
        <v>0</v>
      </c>
      <c r="M33" s="991">
        <f t="shared" si="18"/>
        <v>0</v>
      </c>
      <c r="N33" s="991">
        <f t="shared" ca="1" si="18"/>
        <v>0</v>
      </c>
      <c r="O33" s="991">
        <f t="shared" si="18"/>
        <v>0</v>
      </c>
      <c r="P33" s="991">
        <f t="shared" si="18"/>
        <v>0</v>
      </c>
      <c r="Q33" s="991">
        <f t="shared" ca="1" si="18"/>
        <v>258864.53530511115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14484.591467792419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3172.5</v>
      </c>
      <c r="D8" s="1068">
        <f>'SEAP template'!D76</f>
        <v>3687.9686931197666</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744.96967601019287</v>
      </c>
    </row>
    <row r="9" spans="1:16">
      <c r="A9" s="1071" t="s">
        <v>880</v>
      </c>
      <c r="B9" s="1068">
        <f>'SEAP template'!B77</f>
        <v>1341</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3831.4285714285716</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15825.591467792419</v>
      </c>
      <c r="C10" s="1072">
        <f>SUM(C4:C9)</f>
        <v>3172.5</v>
      </c>
      <c r="D10" s="1072">
        <f t="shared" ref="D10:H10" si="0">SUM(D8:D9)</f>
        <v>3687.9686931197666</v>
      </c>
      <c r="E10" s="1072">
        <f t="shared" si="0"/>
        <v>0</v>
      </c>
      <c r="F10" s="1072">
        <f t="shared" si="0"/>
        <v>0</v>
      </c>
      <c r="G10" s="1072">
        <f t="shared" si="0"/>
        <v>0</v>
      </c>
      <c r="H10" s="1072">
        <f t="shared" si="0"/>
        <v>0</v>
      </c>
      <c r="I10" s="1072">
        <f>SUM(I8:I9)</f>
        <v>0</v>
      </c>
      <c r="J10" s="1072">
        <f>SUM(J8:J9)</f>
        <v>3831.4285714285716</v>
      </c>
      <c r="K10" s="1072">
        <f t="shared" ref="K10:L10" si="1">SUM(K8:K9)</f>
        <v>0</v>
      </c>
      <c r="L10" s="1072">
        <f t="shared" si="1"/>
        <v>0</v>
      </c>
      <c r="M10" s="1072">
        <f>SUM(M8:M9)</f>
        <v>0</v>
      </c>
      <c r="N10" s="1072">
        <f>SUM(N8:N9)</f>
        <v>0</v>
      </c>
      <c r="O10" s="1072">
        <f>SUM(O8:O9)</f>
        <v>0</v>
      </c>
      <c r="P10" s="1072">
        <f>SUM(P8:P9)</f>
        <v>744.96967601019287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0.21113697549822991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5657.1428571428578</v>
      </c>
      <c r="D17" s="1069">
        <f>'SEAP template'!D87</f>
        <v>6576.3170211659472</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1328.4160382755215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5657.1428571428578</v>
      </c>
      <c r="D20" s="1072">
        <f t="shared" ref="D20:H20" si="2">SUM(D17:D19)</f>
        <v>6576.3170211659472</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1328.4160382755215</v>
      </c>
    </row>
    <row r="22" spans="1:16">
      <c r="A22" s="488" t="s">
        <v>888</v>
      </c>
      <c r="B22" s="787" t="s">
        <v>882</v>
      </c>
      <c r="C22" s="787">
        <f ca="1">'EF ele_warmte'!B22</f>
        <v>0.23482101686688509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0.21113697549822991</v>
      </c>
      <c r="C17" s="525">
        <f ca="1">'EF ele_warmte'!B22</f>
        <v>0.23482101686688509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2019-08-12T08:07:12Z</dcterms:modified>
</cp:coreProperties>
</file>