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N89" i="14" s="1"/>
  <c r="N19" i="59" s="1"/>
  <c r="J19" i="18"/>
  <c r="J89" i="14" s="1"/>
  <c r="J19" i="59" s="1"/>
  <c r="I19" i="18"/>
  <c r="I89" i="14" s="1"/>
  <c r="I19" i="59" s="1"/>
  <c r="H19" i="18"/>
  <c r="M89" i="14" s="1"/>
  <c r="M19" i="59" s="1"/>
  <c r="G19" i="18"/>
  <c r="F19"/>
  <c r="E19"/>
  <c r="F89" i="14" s="1"/>
  <c r="F19" i="59" s="1"/>
  <c r="D19" i="18"/>
  <c r="C19"/>
  <c r="D89" i="14" s="1"/>
  <c r="D19" i="59" s="1"/>
  <c r="B19" i="18"/>
  <c r="N18"/>
  <c r="L88" i="14" s="1"/>
  <c r="M18" i="18"/>
  <c r="K88" i="14" s="1"/>
  <c r="K18" i="59" s="1"/>
  <c r="L18" i="18"/>
  <c r="L20" s="1"/>
  <c r="K18"/>
  <c r="J18"/>
  <c r="J88" i="14" s="1"/>
  <c r="J18" i="59" s="1"/>
  <c r="I18" i="18"/>
  <c r="H18"/>
  <c r="M88" i="14" s="1"/>
  <c r="M18" i="59" s="1"/>
  <c r="G18" i="18"/>
  <c r="H88" i="14" s="1"/>
  <c r="F18" i="18"/>
  <c r="F20" s="1"/>
  <c r="E18"/>
  <c r="D18"/>
  <c r="C18"/>
  <c r="B18"/>
  <c r="L9"/>
  <c r="K9"/>
  <c r="I9"/>
  <c r="G9"/>
  <c r="F9"/>
  <c r="F10" s="1"/>
  <c r="E9"/>
  <c r="D9"/>
  <c r="C9"/>
  <c r="B9"/>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C16" i="16" s="1"/>
  <c r="N90" i="18"/>
  <c r="B16" i="16" s="1"/>
  <c r="M90" i="18"/>
  <c r="W89"/>
  <c r="V89"/>
  <c r="U89"/>
  <c r="T89"/>
  <c r="S89"/>
  <c r="R89"/>
  <c r="Q89"/>
  <c r="J9" s="1"/>
  <c r="J77" i="14" s="1"/>
  <c r="J9" i="59" s="1"/>
  <c r="P89" i="18"/>
  <c r="O89"/>
  <c r="N89"/>
  <c r="M89"/>
  <c r="W61"/>
  <c r="V61"/>
  <c r="U61"/>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M58"/>
  <c r="G22"/>
  <c r="F22"/>
  <c r="E22"/>
  <c r="D22"/>
  <c r="C22"/>
  <c r="D20"/>
  <c r="D88" i="14"/>
  <c r="D18" i="59" s="1"/>
  <c r="B17" i="18"/>
  <c r="G12"/>
  <c r="F12"/>
  <c r="E12"/>
  <c r="D12"/>
  <c r="C12"/>
  <c r="L10"/>
  <c r="G10"/>
  <c r="E77" i="14"/>
  <c r="E9" i="59" s="1"/>
  <c r="B6" i="18"/>
  <c r="B74" i="14" s="1"/>
  <c r="B6" i="59" s="1"/>
  <c r="B5" i="18"/>
  <c r="B4"/>
  <c r="B72" i="14" s="1"/>
  <c r="B4" i="59" s="1"/>
  <c r="D5" i="17"/>
  <c r="B19" i="6"/>
  <c r="B18"/>
  <c r="B5"/>
  <c r="C29" i="14" s="1"/>
  <c r="B6" i="6"/>
  <c r="C64" i="14" s="1"/>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2" s="1"/>
  <c r="O17"/>
  <c r="O32" s="1"/>
  <c r="M4"/>
  <c r="L4"/>
  <c r="K4"/>
  <c r="I4"/>
  <c r="H4"/>
  <c r="G4"/>
  <c r="P11"/>
  <c r="P29" s="1"/>
  <c r="O11"/>
  <c r="N11"/>
  <c r="M11"/>
  <c r="L11"/>
  <c r="K11"/>
  <c r="J11"/>
  <c r="I11"/>
  <c r="H11"/>
  <c r="G11"/>
  <c r="F11"/>
  <c r="E11"/>
  <c r="D11"/>
  <c r="C11"/>
  <c r="B11"/>
  <c r="O31"/>
  <c r="P27"/>
  <c r="P25"/>
  <c r="O89" i="14"/>
  <c r="O19" i="59" s="1"/>
  <c r="L89" i="14"/>
  <c r="L19" i="59" s="1"/>
  <c r="K89" i="14"/>
  <c r="K19" i="59" s="1"/>
  <c r="H89" i="14"/>
  <c r="H19" i="59" s="1"/>
  <c r="E89" i="14"/>
  <c r="E19" i="59" s="1"/>
  <c r="I88" i="14"/>
  <c r="I18" i="59" s="1"/>
  <c r="G88" i="14"/>
  <c r="G18" i="59" s="1"/>
  <c r="F88" i="14"/>
  <c r="F18" i="59" s="1"/>
  <c r="E88" i="14"/>
  <c r="E18" i="59" s="1"/>
  <c r="O87" i="14"/>
  <c r="O17" i="59" s="1"/>
  <c r="N87" i="14"/>
  <c r="N17" i="59" s="1"/>
  <c r="L87" i="14"/>
  <c r="L17" i="59" s="1"/>
  <c r="K87" i="14"/>
  <c r="K17" i="59" s="1"/>
  <c r="H87" i="14"/>
  <c r="H17" i="59" s="1"/>
  <c r="G87" i="14"/>
  <c r="G17" i="59" s="1"/>
  <c r="E87" i="14"/>
  <c r="E17" i="59" s="1"/>
  <c r="E20" s="1"/>
  <c r="O77" i="14"/>
  <c r="O9" i="59" s="1"/>
  <c r="L77" i="14"/>
  <c r="L9" i="59" s="1"/>
  <c r="K77" i="14"/>
  <c r="K9" i="59" s="1"/>
  <c r="O76" i="14"/>
  <c r="O8" i="59" s="1"/>
  <c r="N76" i="14"/>
  <c r="N8" i="59" s="1"/>
  <c r="L76" i="14"/>
  <c r="K76"/>
  <c r="K8" i="59" s="1"/>
  <c r="K10" s="1"/>
  <c r="H76" i="14"/>
  <c r="H8" i="59" s="1"/>
  <c r="G76" i="14"/>
  <c r="G8" i="59" s="1"/>
  <c r="E76" i="14"/>
  <c r="E8" i="59" s="1"/>
  <c r="B75" i="14"/>
  <c r="B7" i="59" s="1"/>
  <c r="B73" i="14"/>
  <c r="B5" i="59" s="1"/>
  <c r="Q54" i="14"/>
  <c r="Q56" s="1"/>
  <c r="P54"/>
  <c r="P56" s="1"/>
  <c r="L54"/>
  <c r="L56" s="1"/>
  <c r="J54"/>
  <c r="I54"/>
  <c r="H54"/>
  <c r="H56" s="1"/>
  <c r="Q24"/>
  <c r="Q26" s="1"/>
  <c r="P24"/>
  <c r="P26" s="1"/>
  <c r="N24"/>
  <c r="N26" s="1"/>
  <c r="L24"/>
  <c r="L26" s="1"/>
  <c r="J24"/>
  <c r="J26" s="1"/>
  <c r="I24"/>
  <c r="I26" s="1"/>
  <c r="H24"/>
  <c r="Q50"/>
  <c r="P50"/>
  <c r="O50"/>
  <c r="M50"/>
  <c r="L50"/>
  <c r="K50"/>
  <c r="J50"/>
  <c r="G50"/>
  <c r="D50"/>
  <c r="Q49"/>
  <c r="P49"/>
  <c r="Q20"/>
  <c r="P20"/>
  <c r="O20"/>
  <c r="M20"/>
  <c r="L20"/>
  <c r="K20"/>
  <c r="J20"/>
  <c r="G20"/>
  <c r="D20"/>
  <c r="Q19"/>
  <c r="P19"/>
  <c r="O19"/>
  <c r="O22" s="1"/>
  <c r="M19"/>
  <c r="L19"/>
  <c r="K19"/>
  <c r="J19"/>
  <c r="I19"/>
  <c r="G19"/>
  <c r="F19"/>
  <c r="E19"/>
  <c r="D19"/>
  <c r="Q48"/>
  <c r="P48"/>
  <c r="O48"/>
  <c r="M48"/>
  <c r="L48"/>
  <c r="K48"/>
  <c r="J48"/>
  <c r="G48"/>
  <c r="D48"/>
  <c r="Q18"/>
  <c r="P18"/>
  <c r="O18"/>
  <c r="M18"/>
  <c r="M22" s="1"/>
  <c r="L18"/>
  <c r="K18"/>
  <c r="K22" s="1"/>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J56"/>
  <c r="I56"/>
  <c r="Q52"/>
  <c r="P52"/>
  <c r="R44"/>
  <c r="E25"/>
  <c r="E55" s="1"/>
  <c r="C25"/>
  <c r="B14" i="48" s="1"/>
  <c r="H26" i="14"/>
  <c r="J22"/>
  <c r="G22"/>
  <c r="L8" i="59" l="1"/>
  <c r="L10" s="1"/>
  <c r="L78" i="14"/>
  <c r="N77"/>
  <c r="K10" i="18"/>
  <c r="L90" i="14"/>
  <c r="L18" i="59"/>
  <c r="L20" s="1"/>
  <c r="C98" i="18"/>
  <c r="D101" s="1"/>
  <c r="B8"/>
  <c r="B10" s="1"/>
  <c r="G20" i="59"/>
  <c r="K20"/>
  <c r="P22" i="14"/>
  <c r="K20" i="18"/>
  <c r="H90" i="14"/>
  <c r="H18" i="59"/>
  <c r="H20" s="1"/>
  <c r="D14" i="48"/>
  <c r="K78" i="14"/>
  <c r="B20" i="18"/>
  <c r="M77" i="14"/>
  <c r="M9" i="59" s="1"/>
  <c r="H9" i="18"/>
  <c r="O9" s="1"/>
  <c r="Q22" i="14"/>
  <c r="D22"/>
  <c r="L22"/>
  <c r="E10" i="59"/>
  <c r="F13" i="15"/>
  <c r="G77" i="14"/>
  <c r="G9" i="59" s="1"/>
  <c r="G10" s="1"/>
  <c r="P28" i="48"/>
  <c r="I77" i="14"/>
  <c r="I9" i="59" s="1"/>
  <c r="O10"/>
  <c r="B98" i="18"/>
  <c r="F102" s="1"/>
  <c r="B13" i="15"/>
  <c r="N13"/>
  <c r="L13"/>
  <c r="F77" i="14"/>
  <c r="F9" i="59" s="1"/>
  <c r="G101" i="18"/>
  <c r="C101"/>
  <c r="B101"/>
  <c r="C8" s="1"/>
  <c r="I102"/>
  <c r="H17" s="1"/>
  <c r="E102"/>
  <c r="E17" s="1"/>
  <c r="H102"/>
  <c r="D102"/>
  <c r="G102"/>
  <c r="B102"/>
  <c r="C17" s="1"/>
  <c r="C89" i="14"/>
  <c r="C19" i="59" s="1"/>
  <c r="O19" i="18"/>
  <c r="O78" i="14"/>
  <c r="N88"/>
  <c r="D10" i="18"/>
  <c r="E78" i="14"/>
  <c r="D77"/>
  <c r="D9" i="59" s="1"/>
  <c r="H77" i="14"/>
  <c r="G90"/>
  <c r="O88"/>
  <c r="G89"/>
  <c r="G19" i="59" s="1"/>
  <c r="G20" i="18"/>
  <c r="B89" i="14"/>
  <c r="B19" i="59" s="1"/>
  <c r="O18" i="18"/>
  <c r="G78" i="14"/>
  <c r="Q89"/>
  <c r="P19" i="59" s="1"/>
  <c r="O25" i="48"/>
  <c r="O27"/>
  <c r="Q11"/>
  <c r="O29"/>
  <c r="P31"/>
  <c r="O28"/>
  <c r="Q12"/>
  <c r="O24"/>
  <c r="O30"/>
  <c r="P24"/>
  <c r="P30"/>
  <c r="E90" i="14"/>
  <c r="R9"/>
  <c r="R25"/>
  <c r="K90"/>
  <c r="H78" l="1"/>
  <c r="H9" i="59"/>
  <c r="H10" s="1"/>
  <c r="Q14" i="48"/>
  <c r="N78" i="14"/>
  <c r="N9" i="59"/>
  <c r="N10" s="1"/>
  <c r="O90" i="14"/>
  <c r="O18" i="59"/>
  <c r="O20" s="1"/>
  <c r="N90" i="14"/>
  <c r="N18" i="59"/>
  <c r="N20" s="1"/>
  <c r="I101" i="18"/>
  <c r="H8" s="1"/>
  <c r="M76" i="14" s="1"/>
  <c r="E101" i="18"/>
  <c r="E8" s="1"/>
  <c r="Q77" i="14"/>
  <c r="P9" i="59" s="1"/>
  <c r="F101" i="18"/>
  <c r="I8" s="1"/>
  <c r="C102"/>
  <c r="J17" s="1"/>
  <c r="H101"/>
  <c r="J8" s="1"/>
  <c r="C77" i="14"/>
  <c r="C9" i="59" s="1"/>
  <c r="H20" i="18"/>
  <c r="M87" i="14"/>
  <c r="F76"/>
  <c r="E10" i="18"/>
  <c r="C20"/>
  <c r="D87" i="14"/>
  <c r="D17" i="59" s="1"/>
  <c r="D20" s="1"/>
  <c r="H10" i="18"/>
  <c r="B88" i="14"/>
  <c r="B18" i="59" s="1"/>
  <c r="I17" i="18"/>
  <c r="D76" i="14"/>
  <c r="D8" i="59" s="1"/>
  <c r="D10" s="1"/>
  <c r="C10" i="18"/>
  <c r="C88" i="14"/>
  <c r="C18" i="59" s="1"/>
  <c r="B77" i="14"/>
  <c r="B9" i="59" s="1"/>
  <c r="E20" i="18"/>
  <c r="F87" i="14"/>
  <c r="Q88"/>
  <c r="P18" i="59" s="1"/>
  <c r="H14" i="15"/>
  <c r="H16" s="1"/>
  <c r="G14"/>
  <c r="G16" s="1"/>
  <c r="M78" i="14" l="1"/>
  <c r="M8" i="59"/>
  <c r="M10" s="1"/>
  <c r="I76" i="14"/>
  <c r="I8" i="59" s="1"/>
  <c r="I10" s="1"/>
  <c r="I10" i="18"/>
  <c r="J20"/>
  <c r="J87" i="14"/>
  <c r="O8" i="18"/>
  <c r="O10" s="1"/>
  <c r="O17"/>
  <c r="O20" s="1"/>
  <c r="M90" i="14"/>
  <c r="M17" i="59"/>
  <c r="M20" s="1"/>
  <c r="F78" i="14"/>
  <c r="F8" i="59"/>
  <c r="F10" s="1"/>
  <c r="H5" i="48"/>
  <c r="I10" i="14"/>
  <c r="I16" s="1"/>
  <c r="F90"/>
  <c r="F17" i="59"/>
  <c r="F20" s="1"/>
  <c r="H10" i="14"/>
  <c r="H16" s="1"/>
  <c r="G5" i="48"/>
  <c r="Q76" i="14"/>
  <c r="D78"/>
  <c r="J10" i="18"/>
  <c r="J76" i="14"/>
  <c r="I87"/>
  <c r="I17" i="59" s="1"/>
  <c r="I20" s="1"/>
  <c r="I20" i="18"/>
  <c r="Q87" i="14"/>
  <c r="D90"/>
  <c r="A31" i="23"/>
  <c r="A32"/>
  <c r="A33"/>
  <c r="J78" i="14" l="1"/>
  <c r="J8" i="59"/>
  <c r="J10" s="1"/>
  <c r="Q90" i="14"/>
  <c r="B17" i="6" s="1"/>
  <c r="P17" i="59"/>
  <c r="P20" s="1"/>
  <c r="Q78" i="14"/>
  <c r="B9" i="6" s="1"/>
  <c r="P8" i="59"/>
  <c r="P10" s="1"/>
  <c r="J90" i="14"/>
  <c r="J17" i="59"/>
  <c r="J20" s="1"/>
  <c r="C87" i="14"/>
  <c r="I78"/>
  <c r="B76"/>
  <c r="B87"/>
  <c r="I90"/>
  <c r="C76"/>
  <c r="B11" i="44"/>
  <c r="B25"/>
  <c r="B24"/>
  <c r="C78" i="14" l="1"/>
  <c r="C8" i="59"/>
  <c r="C10" s="1"/>
  <c r="C90" i="14"/>
  <c r="C17" i="59"/>
  <c r="C20" s="1"/>
  <c r="B78" i="14"/>
  <c r="B8" i="59"/>
  <c r="B10" s="1"/>
  <c r="B90" i="14"/>
  <c r="B17" i="59"/>
  <c r="B20" s="1"/>
  <c r="A6" i="23"/>
  <c r="A5"/>
  <c r="B4" i="6" l="1"/>
  <c r="A2" i="23"/>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L18" s="1"/>
  <c r="F16"/>
  <c r="N16"/>
  <c r="D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4" i="48" l="1"/>
  <c r="J32"/>
  <c r="J30"/>
  <c r="J27"/>
  <c r="J29"/>
  <c r="J28"/>
  <c r="J31"/>
  <c r="Q11" i="14"/>
  <c r="P4" i="48"/>
  <c r="P11" i="14"/>
  <c r="O4" i="48"/>
  <c r="I32"/>
  <c r="I28"/>
  <c r="I22"/>
  <c r="I25"/>
  <c r="I24"/>
  <c r="I31"/>
  <c r="I26"/>
  <c r="I29"/>
  <c r="I30"/>
  <c r="I27"/>
  <c r="E11" i="14"/>
  <c r="D4" i="48"/>
  <c r="D22" s="1"/>
  <c r="H32"/>
  <c r="H29"/>
  <c r="H28"/>
  <c r="H26"/>
  <c r="H25"/>
  <c r="H22"/>
  <c r="H30"/>
  <c r="H24"/>
  <c r="H23"/>
  <c r="C4"/>
  <c r="D11" i="14"/>
  <c r="G25" i="48"/>
  <c r="G24"/>
  <c r="G29"/>
  <c r="G26"/>
  <c r="G32"/>
  <c r="G22"/>
  <c r="G30"/>
  <c r="G23"/>
  <c r="C11" i="14"/>
  <c r="B4" i="48"/>
  <c r="F24"/>
  <c r="F32"/>
  <c r="F29"/>
  <c r="F30"/>
  <c r="F27"/>
  <c r="F28"/>
  <c r="F31"/>
  <c r="N27"/>
  <c r="N31"/>
  <c r="N24"/>
  <c r="N32"/>
  <c r="N30"/>
  <c r="N29"/>
  <c r="N28"/>
  <c r="C19" i="14"/>
  <c r="B10" i="48"/>
  <c r="E32"/>
  <c r="E31"/>
  <c r="E24"/>
  <c r="E29"/>
  <c r="E30"/>
  <c r="E28"/>
  <c r="M26"/>
  <c r="M25"/>
  <c r="M32"/>
  <c r="M29"/>
  <c r="M22"/>
  <c r="M30"/>
  <c r="M24"/>
  <c r="M23"/>
  <c r="L10" i="14"/>
  <c r="L16" s="1"/>
  <c r="L27" s="1"/>
  <c r="K5" i="48"/>
  <c r="D30"/>
  <c r="D29"/>
  <c r="D31"/>
  <c r="D24"/>
  <c r="D28"/>
  <c r="D32"/>
  <c r="L32"/>
  <c r="L29"/>
  <c r="L28"/>
  <c r="L27"/>
  <c r="L22"/>
  <c r="L30"/>
  <c r="L31"/>
  <c r="L24"/>
  <c r="Q10" i="14"/>
  <c r="P5" i="48"/>
  <c r="P23" s="1"/>
  <c r="K28"/>
  <c r="K32"/>
  <c r="K31"/>
  <c r="K26"/>
  <c r="K24"/>
  <c r="K29"/>
  <c r="K25"/>
  <c r="K22"/>
  <c r="K27"/>
  <c r="K30"/>
  <c r="B7"/>
  <c r="C24" i="14"/>
  <c r="C26" s="1"/>
  <c r="N46"/>
  <c r="B8" i="9"/>
  <c r="B6" i="48" s="1"/>
  <c r="Q6" s="1"/>
  <c r="J15" i="16"/>
  <c r="G24" i="14"/>
  <c r="G26" s="1"/>
  <c r="F7" i="48"/>
  <c r="F25" s="1"/>
  <c r="L8"/>
  <c r="L26" s="1"/>
  <c r="M13" i="14"/>
  <c r="C16" i="15"/>
  <c r="C5" i="48" s="1"/>
  <c r="C18" i="16"/>
  <c r="D7" i="48"/>
  <c r="E24" i="14"/>
  <c r="B13" i="16"/>
  <c r="C35"/>
  <c r="D14" i="15"/>
  <c r="D16" s="1"/>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M12" i="22" l="1"/>
  <c r="M13" i="48"/>
  <c r="M31" s="1"/>
  <c r="N18" i="14"/>
  <c r="G13" i="48"/>
  <c r="H18" i="14"/>
  <c r="H13" i="48"/>
  <c r="H31" s="1"/>
  <c r="I18" i="14"/>
  <c r="P22" i="16"/>
  <c r="Q43" i="14" s="1"/>
  <c r="Q13"/>
  <c r="P8" i="48"/>
  <c r="P26" s="1"/>
  <c r="O22"/>
  <c r="I5"/>
  <c r="J10" i="14"/>
  <c r="J16" s="1"/>
  <c r="J27" s="1"/>
  <c r="J63" s="1"/>
  <c r="K23" i="48"/>
  <c r="K15"/>
  <c r="F20" i="14"/>
  <c r="F22" s="1"/>
  <c r="E9" i="48"/>
  <c r="E27" s="1"/>
  <c r="E20" i="14"/>
  <c r="E22" s="1"/>
  <c r="D9" i="48"/>
  <c r="D27" s="1"/>
  <c r="P10" i="14"/>
  <c r="O5" i="48"/>
  <c r="O23" s="1"/>
  <c r="K24" i="14"/>
  <c r="K26" s="1"/>
  <c r="J7" i="48"/>
  <c r="J25" s="1"/>
  <c r="C20" i="14"/>
  <c r="B9" i="48"/>
  <c r="G11" i="14"/>
  <c r="F4" i="48"/>
  <c r="F22" s="1"/>
  <c r="P22"/>
  <c r="Q16" i="14"/>
  <c r="Q27" s="1"/>
  <c r="L63"/>
  <c r="K33" i="48"/>
  <c r="D10" i="14"/>
  <c r="J12" i="17"/>
  <c r="K54" i="14" s="1"/>
  <c r="K56" s="1"/>
  <c r="L46"/>
  <c r="L61" s="1"/>
  <c r="C7" i="48"/>
  <c r="D24" i="14"/>
  <c r="D26" s="1"/>
  <c r="C8" i="48"/>
  <c r="D13" i="14"/>
  <c r="E26"/>
  <c r="D25" i="48"/>
  <c r="M10" i="14"/>
  <c r="L5" i="48"/>
  <c r="E10" i="14"/>
  <c r="D5" i="48"/>
  <c r="B34" i="13"/>
  <c r="N8" i="17"/>
  <c r="B35" i="13"/>
  <c r="B47" s="1"/>
  <c r="O18" i="16"/>
  <c r="B36" i="13"/>
  <c r="B48" s="1"/>
  <c r="C48" s="1"/>
  <c r="N5" s="1"/>
  <c r="N8" s="1"/>
  <c r="G31" i="20"/>
  <c r="H48" i="14" s="1"/>
  <c r="G12" i="22"/>
  <c r="D18" i="16"/>
  <c r="E8" i="17"/>
  <c r="H12" i="22"/>
  <c r="L8" i="17"/>
  <c r="M50" i="22"/>
  <c r="M54" s="1"/>
  <c r="G51"/>
  <c r="G50" s="1"/>
  <c r="G54" s="1"/>
  <c r="F12" i="17"/>
  <c r="G54" i="14" s="1"/>
  <c r="G56" s="1"/>
  <c r="D20" i="15"/>
  <c r="E40" i="14" s="1"/>
  <c r="M31" i="20"/>
  <c r="N48" i="14" s="1"/>
  <c r="H31" i="20"/>
  <c r="I48" i="14" s="1"/>
  <c r="M5" i="22"/>
  <c r="M14" s="1"/>
  <c r="G5"/>
  <c r="G14" s="1"/>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O11" i="14" l="1"/>
  <c r="N4" i="48"/>
  <c r="N22" s="1"/>
  <c r="G9"/>
  <c r="H20" i="14"/>
  <c r="N19"/>
  <c r="M10" i="48"/>
  <c r="M28" s="1"/>
  <c r="O22" i="16"/>
  <c r="P43" i="14" s="1"/>
  <c r="P13"/>
  <c r="O8" i="48"/>
  <c r="G10"/>
  <c r="H19" i="14"/>
  <c r="R19" s="1"/>
  <c r="Q13" i="48"/>
  <c r="G31"/>
  <c r="E12" i="13"/>
  <c r="F41" i="14" s="1"/>
  <c r="F11"/>
  <c r="E4" i="48"/>
  <c r="J4"/>
  <c r="K11" i="14"/>
  <c r="I23" i="48"/>
  <c r="I33" s="1"/>
  <c r="I15"/>
  <c r="E7"/>
  <c r="E25" s="1"/>
  <c r="F24" i="14"/>
  <c r="F26" s="1"/>
  <c r="N20"/>
  <c r="M9" i="48"/>
  <c r="N22" i="14"/>
  <c r="N27" s="1"/>
  <c r="P46"/>
  <c r="P61" s="1"/>
  <c r="R18"/>
  <c r="Q63"/>
  <c r="C22"/>
  <c r="P15" i="48"/>
  <c r="P16" i="14"/>
  <c r="P27" s="1"/>
  <c r="P63" s="1"/>
  <c r="P33" i="48"/>
  <c r="B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52" s="1"/>
  <c r="N61" s="1"/>
  <c r="N63" s="1"/>
  <c r="N20" i="15"/>
  <c r="O40" i="14" s="1"/>
  <c r="F20" i="15"/>
  <c r="G40" i="14" s="1"/>
  <c r="N5" i="16"/>
  <c r="E5"/>
  <c r="J5"/>
  <c r="C35" i="13"/>
  <c r="F5" i="16"/>
  <c r="C36" i="13"/>
  <c r="N12"/>
  <c r="O41" i="14" s="1"/>
  <c r="C38" i="13"/>
  <c r="C39"/>
  <c r="C32"/>
  <c r="C34"/>
  <c r="J12"/>
  <c r="K41" i="14" s="1"/>
  <c r="L20" i="15"/>
  <c r="M40" i="14" s="1"/>
  <c r="K10" l="1"/>
  <c r="J5" i="48"/>
  <c r="J23" s="1"/>
  <c r="G28"/>
  <c r="Q10"/>
  <c r="F10" i="14"/>
  <c r="E5" i="48"/>
  <c r="E23" s="1"/>
  <c r="G27"/>
  <c r="G15"/>
  <c r="H9"/>
  <c r="I20" i="14"/>
  <c r="I22" s="1"/>
  <c r="I27" s="1"/>
  <c r="I63" s="1"/>
  <c r="M27" i="48"/>
  <c r="M33" s="1"/>
  <c r="M15"/>
  <c r="E22"/>
  <c r="Q4"/>
  <c r="J22"/>
  <c r="O26"/>
  <c r="O33" s="1"/>
  <c r="O15"/>
  <c r="H22" i="14"/>
  <c r="H27" s="1"/>
  <c r="Q9" i="48"/>
  <c r="R11" i="14"/>
  <c r="L25" i="48"/>
  <c r="Q7"/>
  <c r="M26" i="14"/>
  <c r="R24"/>
  <c r="R26" s="1"/>
  <c r="E20" i="15"/>
  <c r="F40" i="14" s="1"/>
  <c r="F18" i="16"/>
  <c r="F22" s="1"/>
  <c r="G43" i="14" s="1"/>
  <c r="J18" i="16"/>
  <c r="E18"/>
  <c r="J20" i="15"/>
  <c r="K40" i="14" s="1"/>
  <c r="N18" i="16"/>
  <c r="N22" s="1"/>
  <c r="O43" i="14" s="1"/>
  <c r="G18" i="22"/>
  <c r="H50" i="14" s="1"/>
  <c r="H52" s="1"/>
  <c r="H61" s="1"/>
  <c r="E22" i="16"/>
  <c r="F43" i="14" s="1"/>
  <c r="H18" i="22"/>
  <c r="I50" i="14" s="1"/>
  <c r="I52" s="1"/>
  <c r="I61" s="1"/>
  <c r="J22" i="16" l="1"/>
  <c r="K43" i="14" s="1"/>
  <c r="J8" i="48"/>
  <c r="J26" s="1"/>
  <c r="J33" s="1"/>
  <c r="K13" i="14"/>
  <c r="K16" s="1"/>
  <c r="K27" s="1"/>
  <c r="F13"/>
  <c r="E8" i="48"/>
  <c r="H27"/>
  <c r="H33" s="1"/>
  <c r="H15"/>
  <c r="H63" i="14"/>
  <c r="F46"/>
  <c r="F61" s="1"/>
  <c r="F16"/>
  <c r="F27" s="1"/>
  <c r="G33" i="48"/>
  <c r="R20" i="14"/>
  <c r="R22" s="1"/>
  <c r="K46"/>
  <c r="K61" s="1"/>
  <c r="O13"/>
  <c r="N8" i="48"/>
  <c r="N26" s="1"/>
  <c r="F8"/>
  <c r="G13" i="14"/>
  <c r="E26" i="48" l="1"/>
  <c r="E33" s="1"/>
  <c r="E15"/>
  <c r="R13" i="14"/>
  <c r="J15" i="48"/>
  <c r="K63" i="14"/>
  <c r="F63"/>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<sst xmlns="http://schemas.openxmlformats.org/spreadsheetml/2006/main" count="2428" uniqueCount="913">
  <si>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</si>
  <si>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</si>
  <si>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</si>
  <si>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</si>
  <si>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</si>
  <si>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</si>
  <si>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</si>
  <si>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</si>
  <si>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</si>
  <si>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</si>
  <si>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</si>
  <si>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</si>
  <si>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</si>
  <si>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</si>
  <si>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</si>
  <si>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</si>
  <si>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</si>
  <si>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</si>
  <si>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</si>
  <si>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</si>
  <si>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</si>
  <si>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</si>
  <si>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</si>
  <si>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</si>
  <si>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</si>
  <si>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</si>
  <si>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</si>
  <si>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</si>
  <si>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</si>
  <si>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</si>
  <si>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</si>
  <si>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</si>
  <si>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</si>
  <si>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</si>
  <si>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</si>
  <si>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</si>
  <si>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</si>
  <si>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</si>
  <si>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</si>
  <si>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</si>
  <si>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</si>
  <si>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</si>
  <si>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</si>
  <si>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</si>
  <si>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</si>
  <si>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</si>
  <si>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</si>
  <si>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</si>
  <si>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</si>
  <si>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</si>
  <si>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</si>
  <si>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</si>
  <si>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</si>
  <si>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</si>
  <si>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</si>
  <si>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</si>
  <si>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</si>
  <si>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</si>
  <si>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</si>
  <si>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</si>
  <si>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</si>
  <si>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</si>
  <si>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</si>
  <si>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</si>
  <si>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</si>
  <si>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</si>
  <si>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</si>
  <si>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</si>
  <si>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</si>
  <si>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</si>
  <si>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</si>
  <si>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</si>
  <si>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</si>
  <si>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</si>
  <si>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</si>
  <si>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</si>
  <si>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</si>
  <si>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</si>
  <si>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</si>
  <si>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</si>
  <si>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</si>
  <si>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</si>
  <si>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</si>
  <si>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</si>
  <si>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</si>
  <si>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</si>
  <si>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</si>
  <si>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</si>
  <si>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</si>
  <si>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</si>
  <si>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</si>
  <si>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</si>
  <si>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</si>
  <si>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</si>
  <si>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</si>
  <si>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</si>
  <si>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</si>
  <si>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</si>
  <si>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</si>
  <si>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</si>
  <si>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</si>
  <si>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</si>
  <si>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</si>
  <si>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</si>
  <si>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</si>
  <si>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</si>
  <si>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</si>
  <si>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</si>
  <si>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</si>
  <si>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</si>
  <si>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</si>
  <si>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</si>
  <si>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</si>
  <si>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</si>
  <si>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</si>
  <si>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</si>
  <si>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</si>
  <si>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</si>
  <si>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</si>
  <si>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</si>
  <si>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</si>
  <si>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</si>
  <si>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</si>
  <si>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</si>
  <si>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</si>
  <si>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</si>
  <si>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</si>
  <si>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</si>
  <si>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</si>
  <si>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</si>
  <si>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</si>
  <si>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</si>
  <si>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</si>
  <si>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</si>
  <si>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</si>
  <si>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</si>
  <si>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</si>
  <si>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</si>
  <si>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</si>
  <si>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</si>
  <si>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</si>
  <si>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</si>
  <si>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</si>
  <si>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</si>
  <si>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</si>
  <si>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</si>
  <si>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</si>
  <si>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</si>
  <si>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</si>
  <si>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</si>
  <si>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</si>
  <si>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</si>
  <si>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</si>
  <si>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</si>
  <si>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</si>
  <si>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</si>
  <si>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</si>
  <si>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</si>
  <si>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</si>
  <si>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</si>
  <si>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</si>
  <si>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</si>
  <si>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</si>
  <si>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</si>
  <si>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</si>
  <si>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</si>
  <si>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</si>
  <si>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</si>
  <si>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</si>
  <si>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</si>
  <si>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</si>
  <si>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</si>
  <si>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</si>
  <si>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</si>
  <si>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</si>
  <si>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</si>
  <si>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</si>
  <si>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</si>
  <si>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</si>
  <si>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</si>
  <si>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</si>
  <si>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</si>
  <si>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</si>
  <si>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</si>
  <si>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</si>
  <si>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</si>
  <si>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</si>
  <si>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</si>
  <si>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</si>
  <si>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</si>
  <si>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</si>
  <si>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</si>
  <si>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</si>
  <si>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</si>
  <si>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</si>
  <si>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</si>
  <si>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</si>
  <si>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</si>
  <si>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</si>
  <si>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</si>
  <si>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</si>
  <si>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</si>
  <si>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</si>
  <si>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</si>
  <si>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</si>
  <si>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</si>
  <si>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</si>
  <si>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</si>
  <si>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</si>
  <si>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</si>
  <si>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</si>
  <si>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</si>
  <si>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</si>
  <si>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</si>
  <si>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</si>
  <si>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</si>
  <si>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</si>
  <si>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</si>
  <si>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</si>
  <si>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</si>
  <si>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</si>
  <si>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</si>
  <si>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</si>
  <si>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</si>
  <si>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</si>
  <si>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</si>
  <si>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</si>
  <si>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</si>
  <si>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</si>
  <si>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</si>
  <si>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</si>
  <si>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</si>
  <si>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</si>
  <si>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</si>
  <si>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</si>
  <si>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</si>
  <si>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</si>
  <si>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</si>
  <si>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</si>
  <si>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</si>
  <si>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</si>
  <si>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</si>
  <si>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</si>
  <si>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</si>
  <si>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</si>
  <si>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</si>
  <si>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</si>
  <si>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</si>
  <si>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</si>
  <si>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</si>
  <si>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</si>
  <si>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</si>
  <si>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</si>
  <si>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</si>
  <si>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</si>
  <si>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</si>
  <si>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</si>
  <si>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</si>
  <si>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</si>
  <si>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</si>
  <si>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</si>
  <si>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</si>
  <si>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</si>
  <si>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</si>
  <si>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</si>
  <si>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</si>
  <si>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</si>
  <si>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</si>
  <si>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</si>
  <si>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</si>
  <si>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</si>
  <si>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</si>
  <si>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</si>
  <si>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</si>
  <si>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</si>
  <si>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</si>
  <si>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</si>
  <si>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</si>
  <si>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</si>
  <si>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</si>
  <si>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</si>
  <si>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</si>
  <si>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</si>
  <si>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</si>
  <si>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</si>
  <si>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</si>
  <si>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</si>
  <si>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</si>
  <si>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</si>
  <si>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</si>
  <si>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</si>
  <si>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</si>
  <si>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</si>
  <si>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</si>
  <si>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</si>
  <si>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</si>
  <si>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</si>
  <si>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</si>
  <si>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</si>
  <si>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</si>
  <si>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</si>
  <si>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</si>
  <si>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</si>
  <si>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</si>
  <si>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</si>
  <si>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</si>
  <si>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</si>
  <si>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</si>
  <si>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</si>
  <si>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</si>
  <si>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</si>
  <si>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</si>
  <si>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</si>
  <si>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</si>
  <si>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</si>
  <si>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</si>
  <si>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</si>
  <si>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</si>
  <si>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</si>
  <si>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</si>
  <si>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</si>
  <si>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</si>
  <si>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</si>
  <si>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</si>
  <si>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</si>
  <si>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</si>
  <si>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</si>
  <si>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</si>
  <si>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</si>
  <si>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</si>
  <si>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</si>
  <si>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</si>
  <si>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</si>
  <si>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</si>
  <si>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</si>
  <si>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</si>
  <si>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</si>
  <si>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</si>
  <si>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</si>
  <si>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</si>
  <si>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</si>
  <si>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</si>
  <si>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</si>
  <si>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</si>
  <si>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</si>
  <si>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</si>
  <si>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</si>
  <si>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</si>
  <si>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</si>
  <si>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</si>
  <si>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</si>
  <si>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</si>
  <si>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</si>
  <si>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</si>
  <si>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</si>
  <si>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</si>
  <si>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</si>
  <si>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</si>
  <si>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</si>
  <si>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</si>
  <si>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</si>
  <si>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</si>
  <si>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</si>
  <si>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</si>
  <si>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</si>
  <si>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</si>
  <si>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</si>
  <si>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</si>
  <si>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</si>
  <si>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</si>
  <si>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</si>
  <si>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</si>
  <si>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</si>
  <si>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</si>
  <si>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</si>
  <si>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</si>
  <si>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</si>
  <si>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</si>
  <si>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</si>
  <si>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</si>
  <si>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</si>
  <si>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</si>
  <si>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</si>
  <si>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</si>
  <si>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</si>
  <si>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</si>
  <si>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</si>
  <si>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</si>
  <si>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</si>
  <si>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</si>
  <si>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</si>
  <si>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</si>
  <si>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</si>
  <si>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</si>
  <si>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</si>
  <si>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</si>
  <si>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</si>
  <si>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</si>
  <si>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</si>
  <si>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</si>
  <si>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</si>
  <si>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</si>
  <si>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</si>
  <si>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</si>
  <si>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</si>
  <si>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</si>
  <si>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</si>
  <si>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</si>
  <si>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</si>
  <si>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</si>
  <si>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</si>
  <si>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</si>
  <si>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</si>
  <si>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</si>
  <si>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</si>
  <si>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</si>
  <si>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</si>
  <si>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</si>
  <si>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</si>
  <si>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</si>
  <si>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</si>
  <si>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</si>
  <si>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</si>
  <si>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</si>
  <si>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</si>
  <si>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</si>
  <si>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</si>
  <si>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</si>
  <si>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</si>
  <si>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</si>
  <si>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</si>
  <si>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</si>
  <si>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</si>
  <si>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</si>
  <si>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</si>
  <si>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</si>
  <si>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</si>
  <si>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</si>
  <si>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</si>
  <si>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</si>
  <si>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</si>
  <si>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</si>
  <si>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</si>
  <si>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</si>
  <si>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</si>
  <si>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</si>
  <si>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</si>
  <si>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</si>
  <si>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</si>
  <si>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</si>
  <si>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</si>
  <si>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</si>
  <si>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</si>
  <si>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</si>
  <si>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</si>
  <si>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</si>
  <si>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</si>
  <si>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</si>
  <si>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</si>
  <si>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</si>
  <si>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</si>
  <si>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</si>
  <si>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</si>
  <si>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</si>
  <si>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</si>
  <si>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</si>
  <si>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</si>
  <si>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</si>
  <si>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</si>
  <si>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</si>
  <si>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</si>
  <si>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</si>
  <si>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</si>
  <si>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</si>
  <si>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</si>
  <si>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</si>
  <si>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</si>
  <si>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</si>
  <si>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</si>
  <si>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</si>
  <si>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</si>
  <si>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</si>
  <si>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</si>
  <si>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</si>
  <si>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</si>
  <si>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</si>
  <si>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</si>
  <si>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</si>
  <si>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</si>
  <si>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</si>
  <si>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</si>
  <si>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</si>
  <si>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</si>
  <si>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</si>
  <si>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</si>
  <si>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</si>
  <si>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</si>
  <si>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</si>
  <si>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</si>
  <si>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</si>
  <si>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</si>
  <si>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</si>
  <si>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</si>
  <si>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</si>
  <si>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</si>
  <si>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</si>
  <si>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</si>
  <si>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</si>
  <si>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</si>
  <si>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</si>
  <si>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</si>
  <si>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</si>
  <si>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</si>
  <si>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</si>
  <si>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</si>
  <si>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</si>
  <si>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</si>
  <si>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</si>
  <si>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</si>
  <si>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</si>
  <si>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</si>
  <si>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</si>
  <si>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</si>
  <si>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</si>
  <si>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</si>
  <si>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</si>
  <si>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</si>
  <si>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</si>
  <si>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</si>
  <si>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</si>
  <si>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</si>
  <si>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</si>
  <si>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</si>
  <si>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</si>
  <si>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</si>
  <si>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</si>
  <si>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</si>
  <si>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</si>
  <si>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</si>
  <si>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</si>
  <si>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</si>
  <si>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</si>
  <si>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</si>
  <si>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</si>
  <si>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</si>
  <si>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</si>
  <si>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</si>
  <si>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</si>
  <si>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</si>
  <si>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</si>
  <si>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</si>
  <si>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</si>
  <si>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</si>
  <si>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</si>
  <si>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</si>
  <si>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</si>
  <si>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</si>
  <si>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</si>
  <si>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</si>
  <si>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</si>
  <si>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</si>
  <si>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</si>
  <si>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</si>
  <si>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</si>
  <si>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</si>
  <si>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</si>
  <si>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</si>
  <si>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</si>
  <si>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</si>
  <si>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</si>
  <si>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</si>
  <si>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</si>
  <si>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</si>
  <si>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</si>
  <si>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</si>
  <si>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</si>
  <si>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</si>
  <si>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</si>
  <si>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</si>
  <si>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</si>
  <si>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</si>
  <si>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</si>
  <si>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</si>
  <si>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</si>
  <si>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</si>
  <si>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</si>
  <si>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</si>
  <si>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</si>
  <si>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</si>
  <si>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</si>
  <si>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</si>
  <si>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</si>
  <si>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</si>
  <si>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</si>
  <si>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</si>
  <si>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</si>
  <si>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</si>
  <si>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</si>
  <si>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</si>
  <si>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</si>
  <si>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</si>
  <si>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</si>
  <si>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</si>
  <si>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</si>
  <si>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</si>
  <si>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</si>
  <si>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</si>
  <si>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</si>
  <si>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</si>
  <si>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</si>
  <si>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</si>
  <si>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</si>
  <si>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</si>
  <si>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</si>
  <si>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</si>
  <si>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</si>
  <si>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</si>
  <si>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</si>
  <si>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</si>
  <si>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</si>
  <si>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</si>
  <si>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</si>
  <si>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</si>
  <si>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</si>
  <si>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</si>
  <si>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</si>
  <si>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</si>
  <si>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</si>
  <si>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</si>
  <si>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</si>
  <si>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</si>
  <si>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</si>
  <si>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</si>
  <si>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</si>
  <si>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</si>
  <si>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</si>
  <si>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</si>
  <si>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</si>
  <si>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</si>
  <si>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</si>
  <si>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</si>
  <si>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</si>
  <si>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</si>
  <si>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</si>
  <si>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</si>
  <si>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</si>
  <si>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</si>
  <si>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</si>
  <si>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</si>
  <si>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</si>
  <si>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</si>
  <si>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</si>
  <si>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</si>
  <si>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</si>
  <si>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</si>
  <si>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</si>
  <si>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</si>
  <si>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</si>
  <si>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</si>
  <si>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</si>
  <si>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</si>
  <si>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</si>
  <si>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</si>
  <si>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</si>
  <si>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</si>
  <si>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</si>
  <si>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</si>
  <si>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</si>
  <si>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</si>
  <si>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</si>
  <si>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</si>
  <si>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</si>
  <si>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</si>
  <si>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</si>
  <si>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</si>
  <si>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</si>
  <si>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</si>
  <si>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</si>
  <si>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</si>
  <si>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</si>
  <si>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</si>
  <si>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</si>
  <si>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</si>
  <si>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</si>
  <si>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</si>
  <si>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</si>
  <si>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</si>
  <si>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</si>
  <si>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</si>
  <si>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</si>
  <si>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</si>
  <si>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</si>
  <si>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</si>
  <si>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</si>
  <si>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</si>
  <si>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</si>
  <si>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</si>
  <si>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</si>
  <si>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</si>
  <si>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</si>
  <si>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</si>
  <si>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</si>
  <si>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</si>
  <si>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</si>
  <si>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</si>
  <si>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</si>
  <si>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</si>
  <si>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</si>
  <si>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</si>
  <si>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</si>
  <si>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</si>
  <si>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</si>
  <si>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</si>
  <si>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</si>
  <si>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</si>
  <si>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</si>
  <si>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</si>
  <si>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</si>
  <si>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</si>
  <si>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</si>
  <si>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</si>
  <si>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</si>
  <si>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</si>
  <si>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</si>
  <si>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</si>
  <si>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</si>
  <si>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</si>
  <si>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</si>
  <si>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</si>
  <si>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</si>
  <si>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</si>
  <si>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</si>
  <si>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</si>
  <si>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</si>
  <si>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</si>
  <si>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</si>
  <si>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</si>
  <si>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</si>
  <si>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</si>
  <si>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</si>
  <si>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</si>
  <si>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</si>
  <si>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</si>
  <si>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</si>
  <si>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</si>
  <si>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</si>
  <si>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</si>
  <si>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</si>
  <si>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</si>
  <si>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</si>
  <si>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</si>
  <si>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</si>
  <si>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</si>
  <si>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</si>
  <si>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</si>
  <si>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</si>
  <si>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</si>
  <si>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</si>
  <si>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</si>
  <si>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</si>
  <si>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</si>
  <si>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</si>
  <si>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</si>
  <si>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</si>
  <si>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</si>
  <si>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</si>
  <si>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</si>
  <si>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</si>
  <si>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</si>
  <si>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</si>
  <si>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</si>
  <si>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</si>
  <si>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</si>
  <si>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</si>
  <si>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</si>
  <si>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</si>
  <si>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</si>
  <si>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</si>
  <si>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</si>
  <si>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</si>
  <si>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</si>
  <si>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</si>
  <si>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</si>
  <si>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</si>
  <si>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</si>
  <si>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</si>
  <si>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</si>
  <si>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</si>
  <si>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</si>
  <si>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</si>
  <si>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</si>
  <si>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</si>
  <si>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</si>
  <si>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</si>
  <si>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</si>
  <si>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</si>
  <si>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</si>
  <si>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</si>
  <si>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</si>
  <si>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</si>
  <si>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</si>
  <si>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</si>
  <si>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</si>
  <si>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</si>
  <si>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</si>
  <si>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</si>
  <si>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</si>
  <si>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</si>
  <si>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</si>
  <si>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</si>
  <si>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</si>
  <si>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</si>
  <si>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</si>
  <si>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</si>
  <si>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</si>
  <si>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</si>
  <si>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</si>
  <si>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</si>
  <si>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</si>
  <si>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</si>
  <si>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</si>
  <si>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</si>
  <si>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</si>
  <si>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</si>
  <si>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</si>
  <si>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</si>
  <si>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</si>
  <si>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</si>
  <si>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</si>
  <si>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</si>
  <si>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</si>
  <si>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</si>
  <si>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</si>
  <si>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</si>
  <si>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</si>
  <si>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</si>
  <si>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</si>
  <si>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</si>
  <si>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</si>
  <si>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</si>
  <si>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</si>
  <si>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</si>
  <si>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</si>
  <si>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</si>
  <si>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</si>
  <si>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</si>
  <si>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</si>
  <si>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</si>
  <si>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</si>
  <si>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</si>
  <si>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</si>
  <si>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</si>
  <si>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</si>
  <si>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</si>
  <si>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</si>
  <si>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</si>
  <si>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</si>
  <si>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</si>
  <si>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</si>
  <si>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</si>
  <si>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</si>
  <si>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</si>
  <si>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</si>
  <si>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</si>
  <si>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</si>
  <si>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</si>
  <si>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</si>
  <si>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</si>
  <si>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</si>
  <si>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</si>
  <si>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</si>
  <si>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</si>
  <si>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</si>
  <si>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</si>
  <si>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</si>
  <si>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</si>
  <si>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</si>
  <si>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</si>
  <si>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</si>
  <si>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</si>
  <si>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</si>
  <si>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</si>
  <si>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</si>
  <si>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</si>
  <si>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</si>
  <si>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</si>
  <si>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</si>
  <si>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</si>
  <si>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</si>
  <si>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</si>
  <si>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</si>
  <si>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</si>
  <si>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</si>
  <si>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</si>
  <si>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</si>
  <si>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</si>
  <si>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</si>
  <si>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</si>
  <si>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</si>
  <si>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13031</t>
  </si>
  <si>
    <t>OUD-TURNHOUT</t>
  </si>
  <si>
    <t>Paarden&amp;pony's 200 - 600 kg</t>
  </si>
  <si>
    <t>Paarden&amp;pony's &lt; 200 kg</t>
  </si>
  <si>
    <t>referentietaak LNE (2017); Jaarverslag De Lijn (2014)</t>
  </si>
  <si>
    <t>op basis van VEA (maart 2018) en Inventaris Hernieuwbare Energiebronnen (juni 2018)</t>
  </si>
  <si>
    <t>VEA (maart 2016)</t>
  </si>
  <si>
    <t>VEA (juni 2018)</t>
  </si>
  <si>
    <t>Benteltom bvba</t>
  </si>
  <si>
    <t>Beyntel 3 , 2360 Oud-Turnhout</t>
  </si>
  <si>
    <t>WKK-0316 Benteltom</t>
  </si>
  <si>
    <t>interne verbrandingsmotor</t>
  </si>
  <si>
    <t>WKK interne verbrandinsgmotor (gas)</t>
  </si>
  <si>
    <t>IVEKA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</si>
</sst>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122129.28072865156</c:v>
                </c:pt>
                <c:pt idx="1">
                  <c:v>33097.646095447024</c:v>
                </c:pt>
                <c:pt idx="2">
                  <c:v>696.98699999999997</c:v>
                </c:pt>
                <c:pt idx="3">
                  <c:v>26918.155136898269</c:v>
                </c:pt>
                <c:pt idx="4">
                  <c:v>6603.1792287828157</c:v>
                </c:pt>
                <c:pt idx="5">
                  <c:v>132041.71904094279</c:v>
                </c:pt>
                <c:pt idx="6">
                  <c:v>1401.3726165109913</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1940608"/>
        <c:axId val="181942144"/>
      </c:barChart>
      <c:catAx>
        <c:axId val="181940608"/>
        <c:scaling>
          <c:orientation val="minMax"/>
        </c:scaling>
        <c:axPos val="b"/>
        <c:numFmt formatCode="General" sourceLinked="0"/>
        <c:tickLblPos val="nextTo"/>
        <c:crossAx val="181942144"/>
        <c:crosses val="autoZero"/>
        <c:auto val="1"/>
        <c:lblAlgn val="ctr"/>
        <c:lblOffset val="100"/>
      </c:catAx>
      <c:valAx>
        <c:axId val="181942144"/>
        <c:scaling>
          <c:orientation val="minMax"/>
        </c:scaling>
        <c:axPos val="l"/>
        <c:majorGridlines/>
        <c:numFmt formatCode="#,##0" sourceLinked="1"/>
        <c:tickLblPos val="nextTo"/>
        <c:crossAx val="18194060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122129.28072865156</c:v>
                </c:pt>
                <c:pt idx="1">
                  <c:v>33097.646095447024</c:v>
                </c:pt>
                <c:pt idx="2">
                  <c:v>696.98699999999997</c:v>
                </c:pt>
                <c:pt idx="3">
                  <c:v>26918.155136898269</c:v>
                </c:pt>
                <c:pt idx="4">
                  <c:v>6603.1792287828157</c:v>
                </c:pt>
                <c:pt idx="5">
                  <c:v>132041.71904094279</c:v>
                </c:pt>
                <c:pt idx="6">
                  <c:v>1401.3726165109913</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21229.901494079564</c:v>
                </c:pt>
                <c:pt idx="2">
                  <c:v>6085.5478572724824</c:v>
                </c:pt>
                <c:pt idx="3">
                  <c:v>128.33552180230353</c:v>
                </c:pt>
                <c:pt idx="4">
                  <c:v>6498.3629743510119</c:v>
                </c:pt>
                <c:pt idx="5">
                  <c:v>1284.9545352063012</c:v>
                </c:pt>
                <c:pt idx="6">
                  <c:v>33136.990387962724</c:v>
                </c:pt>
                <c:pt idx="7">
                  <c:v>353.98003889765806</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316032"/>
        <c:axId val="182362880"/>
      </c:barChart>
      <c:catAx>
        <c:axId val="182316032"/>
        <c:scaling>
          <c:orientation val="minMax"/>
        </c:scaling>
        <c:axPos val="b"/>
        <c:numFmt formatCode="General" sourceLinked="0"/>
        <c:tickLblPos val="nextTo"/>
        <c:crossAx val="182362880"/>
        <c:crosses val="autoZero"/>
        <c:auto val="1"/>
        <c:lblAlgn val="ctr"/>
        <c:lblOffset val="100"/>
      </c:catAx>
      <c:valAx>
        <c:axId val="182362880"/>
        <c:scaling>
          <c:orientation val="minMax"/>
        </c:scaling>
        <c:axPos val="l"/>
        <c:majorGridlines/>
        <c:numFmt formatCode="#,##0" sourceLinked="1"/>
        <c:tickLblPos val="nextTo"/>
        <c:crossAx val="1823160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21229.901494079564</c:v>
                </c:pt>
                <c:pt idx="2">
                  <c:v>6085.5478572724824</c:v>
                </c:pt>
                <c:pt idx="3">
                  <c:v>128.33552180230353</c:v>
                </c:pt>
                <c:pt idx="4">
                  <c:v>6498.3629743510119</c:v>
                </c:pt>
                <c:pt idx="5">
                  <c:v>1284.9545352063012</c:v>
                </c:pt>
                <c:pt idx="6">
                  <c:v>33136.990387962724</c:v>
                </c:pt>
                <c:pt idx="7">
                  <c:v>353.98003889765806</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13031</v>
      </c>
      <c r="B6" s="416"/>
      <c r="C6" s="417"/>
    </row>
    <row r="7" spans="1:7" s="414" customFormat="1" ht="15.75" customHeight="1">
      <c r="A7" s="418" t="str">
        <f>txtMunicipality</f>
        <v>OUD-TURNHOUT</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0.18412900355717329</v>
      </c>
      <c r="C17" s="525">
        <f ca="1">'EF ele_warmte'!B22</f>
        <v>0.23764705882352952</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0.18412900355717329</v>
      </c>
      <c r="C29" s="526">
        <f ca="1">'EF ele_warmte'!B22</f>
        <v>0.23764705882352952</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13031</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5170</v>
      </c>
      <c r="C9" s="342">
        <v>5336</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1772</v>
      </c>
    </row>
    <row r="15" spans="1:6">
      <c r="A15" s="348" t="s">
        <v>184</v>
      </c>
      <c r="B15" s="334">
        <v>2464</v>
      </c>
    </row>
    <row r="16" spans="1:6">
      <c r="A16" s="348" t="s">
        <v>6</v>
      </c>
      <c r="B16" s="334">
        <v>901</v>
      </c>
    </row>
    <row r="17" spans="1:6">
      <c r="A17" s="348" t="s">
        <v>7</v>
      </c>
      <c r="B17" s="334">
        <v>176</v>
      </c>
    </row>
    <row r="18" spans="1:6">
      <c r="A18" s="348" t="s">
        <v>8</v>
      </c>
      <c r="B18" s="334">
        <v>675</v>
      </c>
    </row>
    <row r="19" spans="1:6">
      <c r="A19" s="348" t="s">
        <v>9</v>
      </c>
      <c r="B19" s="334">
        <v>813</v>
      </c>
    </row>
    <row r="20" spans="1:6">
      <c r="A20" s="348" t="s">
        <v>10</v>
      </c>
      <c r="B20" s="334">
        <v>536</v>
      </c>
    </row>
    <row r="21" spans="1:6">
      <c r="A21" s="348" t="s">
        <v>11</v>
      </c>
      <c r="B21" s="334">
        <v>8105</v>
      </c>
    </row>
    <row r="22" spans="1:6">
      <c r="A22" s="348" t="s">
        <v>12</v>
      </c>
      <c r="B22" s="334">
        <v>9426</v>
      </c>
    </row>
    <row r="23" spans="1:6">
      <c r="A23" s="348" t="s">
        <v>13</v>
      </c>
      <c r="B23" s="334">
        <v>231</v>
      </c>
    </row>
    <row r="24" spans="1:6">
      <c r="A24" s="348" t="s">
        <v>14</v>
      </c>
      <c r="B24" s="334">
        <v>8</v>
      </c>
    </row>
    <row r="25" spans="1:6">
      <c r="A25" s="348" t="s">
        <v>15</v>
      </c>
      <c r="B25" s="334">
        <v>924</v>
      </c>
    </row>
    <row r="26" spans="1:6">
      <c r="A26" s="348" t="s">
        <v>16</v>
      </c>
      <c r="B26" s="334">
        <v>74</v>
      </c>
    </row>
    <row r="27" spans="1:6">
      <c r="A27" s="348" t="s">
        <v>17</v>
      </c>
      <c r="B27" s="334">
        <v>1</v>
      </c>
    </row>
    <row r="28" spans="1:6" s="356" customFormat="1">
      <c r="A28" s="355" t="s">
        <v>18</v>
      </c>
      <c r="B28" s="355">
        <v>290648</v>
      </c>
    </row>
    <row r="29" spans="1:6">
      <c r="A29" s="355" t="s">
        <v>901</v>
      </c>
      <c r="B29" s="355">
        <v>60</v>
      </c>
      <c r="C29" s="356"/>
      <c r="D29" s="356"/>
      <c r="E29" s="356"/>
      <c r="F29" s="356"/>
    </row>
    <row r="30" spans="1:6">
      <c r="A30" s="341" t="s">
        <v>902</v>
      </c>
      <c r="B30" s="341">
        <v>13</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865990.30909921601</v>
      </c>
      <c r="E38" s="334">
        <v>4</v>
      </c>
      <c r="F38" s="334">
        <v>44006.97</v>
      </c>
    </row>
    <row r="39" spans="1:6">
      <c r="A39" s="348" t="s">
        <v>30</v>
      </c>
      <c r="B39" s="348" t="s">
        <v>31</v>
      </c>
      <c r="C39" s="334">
        <v>3800</v>
      </c>
      <c r="D39" s="334">
        <v>73896821.944589302</v>
      </c>
      <c r="E39" s="334">
        <v>5112</v>
      </c>
      <c r="F39" s="334">
        <v>22063858</v>
      </c>
    </row>
    <row r="40" spans="1:6">
      <c r="A40" s="348" t="s">
        <v>30</v>
      </c>
      <c r="B40" s="348" t="s">
        <v>29</v>
      </c>
      <c r="C40" s="334">
        <v>0</v>
      </c>
      <c r="D40" s="334">
        <v>0</v>
      </c>
      <c r="E40" s="334">
        <v>0</v>
      </c>
      <c r="F40" s="334">
        <v>0</v>
      </c>
    </row>
    <row r="41" spans="1:6">
      <c r="A41" s="348" t="s">
        <v>32</v>
      </c>
      <c r="B41" s="348" t="s">
        <v>33</v>
      </c>
      <c r="C41" s="334">
        <v>33</v>
      </c>
      <c r="D41" s="334">
        <v>634657.40159765095</v>
      </c>
      <c r="E41" s="334">
        <v>100</v>
      </c>
      <c r="F41" s="334">
        <v>770352.5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6</v>
      </c>
      <c r="F44" s="334">
        <v>68528.67</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20</v>
      </c>
      <c r="D48" s="334">
        <v>834530.82646250795</v>
      </c>
      <c r="E48" s="334">
        <v>21</v>
      </c>
      <c r="F48" s="334">
        <v>780659</v>
      </c>
    </row>
    <row r="49" spans="1:6">
      <c r="A49" s="348" t="s">
        <v>32</v>
      </c>
      <c r="B49" s="348" t="s">
        <v>40</v>
      </c>
      <c r="C49" s="334">
        <v>0</v>
      </c>
      <c r="D49" s="334">
        <v>0</v>
      </c>
      <c r="E49" s="334">
        <v>0</v>
      </c>
      <c r="F49" s="334">
        <v>0</v>
      </c>
    </row>
    <row r="50" spans="1:6">
      <c r="A50" s="348" t="s">
        <v>32</v>
      </c>
      <c r="B50" s="348" t="s">
        <v>41</v>
      </c>
      <c r="C50" s="334">
        <v>7</v>
      </c>
      <c r="D50" s="334">
        <v>549226.41988850106</v>
      </c>
      <c r="E50" s="334">
        <v>9</v>
      </c>
      <c r="F50" s="334">
        <v>493340.1</v>
      </c>
    </row>
    <row r="51" spans="1:6">
      <c r="A51" s="348" t="s">
        <v>42</v>
      </c>
      <c r="B51" s="348" t="s">
        <v>43</v>
      </c>
      <c r="C51" s="334">
        <v>0</v>
      </c>
      <c r="D51" s="334">
        <v>0</v>
      </c>
      <c r="E51" s="334">
        <v>57</v>
      </c>
      <c r="F51" s="334">
        <v>2513110</v>
      </c>
    </row>
    <row r="52" spans="1:6">
      <c r="A52" s="348" t="s">
        <v>42</v>
      </c>
      <c r="B52" s="348" t="s">
        <v>29</v>
      </c>
      <c r="C52" s="334">
        <v>8</v>
      </c>
      <c r="D52" s="334">
        <v>28923999.6664951</v>
      </c>
      <c r="E52" s="334">
        <v>8</v>
      </c>
      <c r="F52" s="334">
        <v>105863.4</v>
      </c>
    </row>
    <row r="53" spans="1:6">
      <c r="A53" s="348" t="s">
        <v>44</v>
      </c>
      <c r="B53" s="348" t="s">
        <v>45</v>
      </c>
      <c r="C53" s="334">
        <v>77</v>
      </c>
      <c r="D53" s="334">
        <v>1119238.2816676199</v>
      </c>
      <c r="E53" s="334">
        <v>159</v>
      </c>
      <c r="F53" s="334">
        <v>713362.9</v>
      </c>
    </row>
    <row r="54" spans="1:6">
      <c r="A54" s="348" t="s">
        <v>46</v>
      </c>
      <c r="B54" s="348" t="s">
        <v>47</v>
      </c>
      <c r="C54" s="334">
        <v>0</v>
      </c>
      <c r="D54" s="334">
        <v>0</v>
      </c>
      <c r="E54" s="334">
        <v>1</v>
      </c>
      <c r="F54" s="334">
        <v>696987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21</v>
      </c>
      <c r="D57" s="334">
        <v>1173467.8973007801</v>
      </c>
      <c r="E57" s="334">
        <v>79</v>
      </c>
      <c r="F57" s="334">
        <v>3229305</v>
      </c>
    </row>
    <row r="58" spans="1:6">
      <c r="A58" s="348" t="s">
        <v>49</v>
      </c>
      <c r="B58" s="348" t="s">
        <v>51</v>
      </c>
      <c r="C58" s="334">
        <v>17</v>
      </c>
      <c r="D58" s="334">
        <v>589971.60358854302</v>
      </c>
      <c r="E58" s="334">
        <v>17</v>
      </c>
      <c r="F58" s="334">
        <v>131007.3</v>
      </c>
    </row>
    <row r="59" spans="1:6">
      <c r="A59" s="348" t="s">
        <v>49</v>
      </c>
      <c r="B59" s="348" t="s">
        <v>52</v>
      </c>
      <c r="C59" s="334">
        <v>59</v>
      </c>
      <c r="D59" s="334">
        <v>2488655.0473649302</v>
      </c>
      <c r="E59" s="334">
        <v>113</v>
      </c>
      <c r="F59" s="334">
        <v>2528117</v>
      </c>
    </row>
    <row r="60" spans="1:6">
      <c r="A60" s="348" t="s">
        <v>49</v>
      </c>
      <c r="B60" s="348" t="s">
        <v>53</v>
      </c>
      <c r="C60" s="334">
        <v>33</v>
      </c>
      <c r="D60" s="334">
        <v>1650022.46808675</v>
      </c>
      <c r="E60" s="334">
        <v>46</v>
      </c>
      <c r="F60" s="334">
        <v>1557789</v>
      </c>
    </row>
    <row r="61" spans="1:6">
      <c r="A61" s="348" t="s">
        <v>49</v>
      </c>
      <c r="B61" s="348" t="s">
        <v>54</v>
      </c>
      <c r="C61" s="334">
        <v>93</v>
      </c>
      <c r="D61" s="334">
        <v>3985788.1406619102</v>
      </c>
      <c r="E61" s="334">
        <v>181</v>
      </c>
      <c r="F61" s="334">
        <v>2779695</v>
      </c>
    </row>
    <row r="62" spans="1:6">
      <c r="A62" s="348" t="s">
        <v>49</v>
      </c>
      <c r="B62" s="348" t="s">
        <v>55</v>
      </c>
      <c r="C62" s="334">
        <v>5</v>
      </c>
      <c r="D62" s="334">
        <v>1570900.1836181399</v>
      </c>
      <c r="E62" s="334">
        <v>5</v>
      </c>
      <c r="F62" s="334">
        <v>435564.2</v>
      </c>
    </row>
    <row r="63" spans="1:6">
      <c r="A63" s="348" t="s">
        <v>49</v>
      </c>
      <c r="B63" s="348" t="s">
        <v>29</v>
      </c>
      <c r="C63" s="334">
        <v>94</v>
      </c>
      <c r="D63" s="334">
        <v>5771796.4983383203</v>
      </c>
      <c r="E63" s="334">
        <v>88</v>
      </c>
      <c r="F63" s="334">
        <v>2081679</v>
      </c>
    </row>
    <row r="64" spans="1:6">
      <c r="A64" s="348" t="s">
        <v>56</v>
      </c>
      <c r="B64" s="348" t="s">
        <v>57</v>
      </c>
      <c r="C64" s="334">
        <v>0</v>
      </c>
      <c r="D64" s="334">
        <v>0</v>
      </c>
      <c r="E64" s="334">
        <v>0</v>
      </c>
      <c r="F64" s="334">
        <v>0</v>
      </c>
    </row>
    <row r="65" spans="1:6">
      <c r="A65" s="348" t="s">
        <v>56</v>
      </c>
      <c r="B65" s="348" t="s">
        <v>29</v>
      </c>
      <c r="C65" s="334">
        <v>2</v>
      </c>
      <c r="D65" s="334">
        <v>19783.143474260902</v>
      </c>
      <c r="E65" s="334">
        <v>3</v>
      </c>
      <c r="F65" s="334">
        <v>5775</v>
      </c>
    </row>
    <row r="66" spans="1:6">
      <c r="A66" s="348" t="s">
        <v>56</v>
      </c>
      <c r="B66" s="348" t="s">
        <v>58</v>
      </c>
      <c r="C66" s="334">
        <v>0</v>
      </c>
      <c r="D66" s="334">
        <v>0</v>
      </c>
      <c r="E66" s="334">
        <v>5</v>
      </c>
      <c r="F66" s="334">
        <v>60258.67</v>
      </c>
    </row>
    <row r="67" spans="1:6">
      <c r="A67" s="355" t="s">
        <v>56</v>
      </c>
      <c r="B67" s="355" t="s">
        <v>59</v>
      </c>
      <c r="C67" s="334">
        <v>0</v>
      </c>
      <c r="D67" s="334">
        <v>0</v>
      </c>
      <c r="E67" s="334">
        <v>0</v>
      </c>
      <c r="F67" s="334">
        <v>0</v>
      </c>
    </row>
    <row r="68" spans="1:6">
      <c r="A68" s="341" t="s">
        <v>56</v>
      </c>
      <c r="B68" s="341" t="s">
        <v>60</v>
      </c>
      <c r="C68" s="334">
        <v>0</v>
      </c>
      <c r="D68" s="334">
        <v>0</v>
      </c>
      <c r="E68" s="334">
        <v>3</v>
      </c>
      <c r="F68" s="334">
        <v>19537.349999999999</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39941474</v>
      </c>
      <c r="E73" s="476">
        <v>41004183.490391828</v>
      </c>
    </row>
    <row r="74" spans="1:6">
      <c r="A74" s="348" t="s">
        <v>64</v>
      </c>
      <c r="B74" s="348" t="s">
        <v>714</v>
      </c>
      <c r="C74" s="1311" t="s">
        <v>716</v>
      </c>
      <c r="D74" s="476">
        <v>1961383.8898655644</v>
      </c>
      <c r="E74" s="476">
        <v>2029933.5095148659</v>
      </c>
    </row>
    <row r="75" spans="1:6">
      <c r="A75" s="348" t="s">
        <v>65</v>
      </c>
      <c r="B75" s="348" t="s">
        <v>713</v>
      </c>
      <c r="C75" s="1311" t="s">
        <v>717</v>
      </c>
      <c r="D75" s="476">
        <v>15347175</v>
      </c>
      <c r="E75" s="476">
        <v>15764110.539618583</v>
      </c>
    </row>
    <row r="76" spans="1:6">
      <c r="A76" s="348" t="s">
        <v>65</v>
      </c>
      <c r="B76" s="348" t="s">
        <v>714</v>
      </c>
      <c r="C76" s="1311" t="s">
        <v>718</v>
      </c>
      <c r="D76" s="476">
        <v>16328.7</v>
      </c>
      <c r="E76" s="476">
        <v>16588.229737247555</v>
      </c>
    </row>
    <row r="77" spans="1:6">
      <c r="A77" s="348" t="s">
        <v>66</v>
      </c>
      <c r="B77" s="348" t="s">
        <v>713</v>
      </c>
      <c r="C77" s="1311" t="s">
        <v>719</v>
      </c>
      <c r="D77" s="476">
        <v>61001223</v>
      </c>
      <c r="E77" s="476">
        <v>64831624.938001297</v>
      </c>
    </row>
    <row r="78" spans="1:6">
      <c r="A78" s="341" t="s">
        <v>66</v>
      </c>
      <c r="B78" s="341" t="s">
        <v>714</v>
      </c>
      <c r="C78" s="341" t="s">
        <v>720</v>
      </c>
      <c r="D78" s="1307">
        <v>18478690</v>
      </c>
      <c r="E78" s="1307">
        <v>20385539.906921089</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374480.22026887129</v>
      </c>
      <c r="C83" s="476">
        <v>370237.32810575148</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4029.4634443269933</v>
      </c>
    </row>
    <row r="91" spans="1:6">
      <c r="A91" s="348" t="s">
        <v>68</v>
      </c>
      <c r="B91" s="334">
        <v>2923.6793458799325</v>
      </c>
    </row>
    <row r="92" spans="1:6">
      <c r="A92" s="341" t="s">
        <v>69</v>
      </c>
      <c r="B92" s="342">
        <v>1277.5749544375112</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2401</v>
      </c>
    </row>
    <row r="98" spans="1:6">
      <c r="A98" s="348" t="s">
        <v>72</v>
      </c>
      <c r="B98" s="334">
        <v>5</v>
      </c>
    </row>
    <row r="99" spans="1:6">
      <c r="A99" s="348" t="s">
        <v>73</v>
      </c>
      <c r="B99" s="334">
        <v>47</v>
      </c>
    </row>
    <row r="100" spans="1:6">
      <c r="A100" s="348" t="s">
        <v>74</v>
      </c>
      <c r="B100" s="334">
        <v>151</v>
      </c>
    </row>
    <row r="101" spans="1:6">
      <c r="A101" s="348" t="s">
        <v>75</v>
      </c>
      <c r="B101" s="334">
        <v>98</v>
      </c>
    </row>
    <row r="102" spans="1:6">
      <c r="A102" s="348" t="s">
        <v>76</v>
      </c>
      <c r="B102" s="334">
        <v>50</v>
      </c>
    </row>
    <row r="103" spans="1:6">
      <c r="A103" s="348" t="s">
        <v>77</v>
      </c>
      <c r="B103" s="334">
        <v>89</v>
      </c>
    </row>
    <row r="104" spans="1:6">
      <c r="A104" s="348" t="s">
        <v>78</v>
      </c>
      <c r="B104" s="334">
        <v>1664</v>
      </c>
    </row>
    <row r="105" spans="1:6">
      <c r="A105" s="341" t="s">
        <v>79</v>
      </c>
      <c r="B105" s="341">
        <v>3</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14</v>
      </c>
      <c r="C123" s="334">
        <v>13</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123</v>
      </c>
    </row>
    <row r="130" spans="1:6">
      <c r="A130" s="348" t="s">
        <v>295</v>
      </c>
      <c r="B130" s="334">
        <v>4</v>
      </c>
    </row>
    <row r="131" spans="1:6">
      <c r="A131" s="348" t="s">
        <v>296</v>
      </c>
      <c r="B131" s="334">
        <v>2</v>
      </c>
    </row>
    <row r="132" spans="1:6">
      <c r="A132" s="341" t="s">
        <v>297</v>
      </c>
      <c r="B132" s="342">
        <v>15</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43888.835352305272</v>
      </c>
      <c r="C3" s="43" t="s">
        <v>170</v>
      </c>
      <c r="D3" s="43"/>
      <c r="E3" s="154"/>
      <c r="F3" s="43"/>
      <c r="G3" s="43"/>
      <c r="H3" s="43"/>
      <c r="I3" s="43"/>
      <c r="J3" s="43"/>
      <c r="K3" s="96"/>
    </row>
    <row r="4" spans="1:11">
      <c r="A4" s="384" t="s">
        <v>171</v>
      </c>
      <c r="B4" s="49">
        <f>IF(ISERROR('SEAP template'!B78+'SEAP template'!C78),0,'SEAP template'!B78+'SEAP template'!C78)</f>
        <v>20290.717744644437</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2866.0235294117656</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0.18412900355717329</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4094.3193277310938</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17228.571428571428</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0.23764705882352952</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696.98699999999997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696.98699999999997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0.18412900355717329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128.33552180230353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22063.858</v>
      </c>
      <c r="C5" s="17">
        <f>IF(ISERROR('Eigen informatie GS &amp; warmtenet'!B57),0,'Eigen informatie GS &amp; warmtenet'!B57)</f>
        <v>0</v>
      </c>
      <c r="D5" s="30">
        <f>(SUM(HH_hh_gas_kWh,HH_rest_gas_kWh)/1000)*0.902</f>
        <v>66654.93339401955</v>
      </c>
      <c r="E5" s="17">
        <f>B46*B57</f>
        <v>2217.7451435799649</v>
      </c>
      <c r="F5" s="17">
        <f>B51*B62</f>
        <v>9967.2151612375874</v>
      </c>
      <c r="G5" s="18"/>
      <c r="H5" s="17"/>
      <c r="I5" s="17"/>
      <c r="J5" s="17">
        <f>B50*B61+C50*C61</f>
        <v>0</v>
      </c>
      <c r="K5" s="17"/>
      <c r="L5" s="17"/>
      <c r="M5" s="17"/>
      <c r="N5" s="17">
        <f>B48*B59+C48*C59</f>
        <v>17536.303017267874</v>
      </c>
      <c r="O5" s="17">
        <f>B69*B70*B71</f>
        <v>212.61333333333334</v>
      </c>
      <c r="P5" s="17">
        <f>B77*B78*B79/1000-B77*B78*B79/1000/B80</f>
        <v>552.93333333333339</v>
      </c>
    </row>
    <row r="6" spans="1:16">
      <c r="A6" s="16" t="s">
        <v>631</v>
      </c>
      <c r="B6" s="789">
        <f>kWh_PV_kleiner_dan_10kW</f>
        <v>2923.6793458799325</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24987.537345879933</v>
      </c>
      <c r="C8" s="21">
        <f>C5</f>
        <v>0</v>
      </c>
      <c r="D8" s="21">
        <f>D5</f>
        <v>66654.93339401955</v>
      </c>
      <c r="E8" s="21">
        <f>E5</f>
        <v>2217.7451435799649</v>
      </c>
      <c r="F8" s="21">
        <f>F5</f>
        <v>9967.2151612375874</v>
      </c>
      <c r="G8" s="21"/>
      <c r="H8" s="21"/>
      <c r="I8" s="21"/>
      <c r="J8" s="21">
        <f>J5</f>
        <v>0</v>
      </c>
      <c r="K8" s="21"/>
      <c r="L8" s="21">
        <f>L5</f>
        <v>0</v>
      </c>
      <c r="M8" s="21">
        <f>M5</f>
        <v>0</v>
      </c>
      <c r="N8" s="21">
        <f>N5</f>
        <v>17536.303017267874</v>
      </c>
      <c r="O8" s="21">
        <f>O5</f>
        <v>212.61333333333334</v>
      </c>
      <c r="P8" s="21">
        <f>P5</f>
        <v>552.93333333333339</v>
      </c>
    </row>
    <row r="9" spans="1:16">
      <c r="B9" s="19"/>
      <c r="C9" s="19"/>
      <c r="D9" s="258"/>
      <c r="E9" s="19"/>
      <c r="F9" s="19"/>
      <c r="G9" s="19"/>
      <c r="H9" s="19"/>
      <c r="I9" s="19"/>
      <c r="J9" s="19"/>
      <c r="K9" s="19"/>
      <c r="L9" s="19"/>
      <c r="M9" s="19"/>
      <c r="N9" s="19"/>
      <c r="O9" s="19"/>
      <c r="P9" s="19"/>
    </row>
    <row r="10" spans="1:16">
      <c r="A10" s="24" t="s">
        <v>214</v>
      </c>
      <c r="B10" s="25">
        <f ca="1">'EF ele_warmte'!B12</f>
        <v>0.18412900355717329</v>
      </c>
      <c r="C10" s="25">
        <f ca="1">'EF ele_warmte'!B22</f>
        <v>0.23764705882352952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4600.9303528445271</v>
      </c>
      <c r="C12" s="23">
        <f ca="1">C10*C8</f>
        <v>0</v>
      </c>
      <c r="D12" s="23">
        <f>D8*D10</f>
        <v>13464.296545591949</v>
      </c>
      <c r="E12" s="23">
        <f>E10*E8</f>
        <v>503.42814759265207</v>
      </c>
      <c r="F12" s="23">
        <f>F10*F8</f>
        <v>2661.2464480504359</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2401</v>
      </c>
      <c r="C18" s="166" t="s">
        <v>111</v>
      </c>
      <c r="D18" s="228"/>
      <c r="E18" s="15"/>
    </row>
    <row r="19" spans="1:7">
      <c r="A19" s="171" t="s">
        <v>72</v>
      </c>
      <c r="B19" s="37">
        <f>aantalw2001_ander</f>
        <v>5</v>
      </c>
      <c r="C19" s="166" t="s">
        <v>111</v>
      </c>
      <c r="D19" s="229"/>
      <c r="E19" s="15"/>
    </row>
    <row r="20" spans="1:7">
      <c r="A20" s="171" t="s">
        <v>73</v>
      </c>
      <c r="B20" s="37">
        <f>aantalw2001_propaan</f>
        <v>47</v>
      </c>
      <c r="C20" s="167">
        <f>IF(ISERROR(B20/SUM($B$20,$B$21,$B$22)*100),0,B20/SUM($B$20,$B$21,$B$22)*100)</f>
        <v>15.878378378378377</v>
      </c>
      <c r="D20" s="229"/>
      <c r="E20" s="15"/>
    </row>
    <row r="21" spans="1:7">
      <c r="A21" s="171" t="s">
        <v>74</v>
      </c>
      <c r="B21" s="37">
        <f>aantalw2001_elektriciteit</f>
        <v>151</v>
      </c>
      <c r="C21" s="167">
        <f>IF(ISERROR(B21/SUM($B$20,$B$21,$B$22)*100),0,B21/SUM($B$20,$B$21,$B$22)*100)</f>
        <v>51.013513513513509</v>
      </c>
      <c r="D21" s="229"/>
      <c r="E21" s="15"/>
    </row>
    <row r="22" spans="1:7">
      <c r="A22" s="171" t="s">
        <v>75</v>
      </c>
      <c r="B22" s="37">
        <f>aantalw2001_hout</f>
        <v>98</v>
      </c>
      <c r="C22" s="167">
        <f>IF(ISERROR(B22/SUM($B$20,$B$21,$B$22)*100),0,B22/SUM($B$20,$B$21,$B$22)*100)</f>
        <v>33.108108108108105</v>
      </c>
      <c r="D22" s="229"/>
      <c r="E22" s="15"/>
    </row>
    <row r="23" spans="1:7">
      <c r="A23" s="171" t="s">
        <v>76</v>
      </c>
      <c r="B23" s="37">
        <f>aantalw2001_niet_gespec</f>
        <v>50</v>
      </c>
      <c r="C23" s="166" t="s">
        <v>111</v>
      </c>
      <c r="D23" s="228"/>
      <c r="E23" s="15"/>
    </row>
    <row r="24" spans="1:7">
      <c r="A24" s="171" t="s">
        <v>77</v>
      </c>
      <c r="B24" s="37">
        <f>aantalw2001_steenkool</f>
        <v>89</v>
      </c>
      <c r="C24" s="166" t="s">
        <v>111</v>
      </c>
      <c r="D24" s="229"/>
      <c r="E24" s="15"/>
    </row>
    <row r="25" spans="1:7">
      <c r="A25" s="171" t="s">
        <v>78</v>
      </c>
      <c r="B25" s="37">
        <f>aantalw2001_stookolie</f>
        <v>1664</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740</v>
      </c>
      <c r="B28" s="37">
        <f>aantalHuishoudens2011</f>
        <v>5170</v>
      </c>
      <c r="C28" s="36"/>
      <c r="D28" s="228"/>
    </row>
    <row r="29" spans="1:7" s="15" customFormat="1">
      <c r="A29" s="230" t="s">
        <v>741</v>
      </c>
      <c r="B29" s="37">
        <f>SUM(HH_hh_gas_aantal,HH_rest_gas_aantal)</f>
        <v>3800</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3800</v>
      </c>
      <c r="C32" s="167">
        <f>IF(ISERROR(B32/SUM($B$32,$B$34,$B$35,$B$36,$B$38,$B$39)*100),0,B32/SUM($B$32,$B$34,$B$35,$B$36,$B$38,$B$39)*100)</f>
        <v>73.915580626337288</v>
      </c>
      <c r="D32" s="233"/>
      <c r="G32" s="15"/>
    </row>
    <row r="33" spans="1:7">
      <c r="A33" s="171" t="s">
        <v>72</v>
      </c>
      <c r="B33" s="34" t="s">
        <v>111</v>
      </c>
      <c r="C33" s="167"/>
      <c r="D33" s="233"/>
      <c r="G33" s="15"/>
    </row>
    <row r="34" spans="1:7">
      <c r="A34" s="171" t="s">
        <v>73</v>
      </c>
      <c r="B34" s="33">
        <f>IF((($B$28-$B$32-$B$39-$B$77-$B$38)*C20/100)&lt;0,0,($B$28-$B$32-$B$39-$B$77-$B$38)*C20/100)</f>
        <v>148.63750000000002</v>
      </c>
      <c r="C34" s="167">
        <f>IF(ISERROR(B34/SUM($B$32,$B$34,$B$35,$B$36,$B$38,$B$39)*100),0,B34/SUM($B$32,$B$34,$B$35,$B$36,$B$38,$B$39)*100)</f>
        <v>2.8912176619334762</v>
      </c>
      <c r="D34" s="233"/>
      <c r="G34" s="15"/>
    </row>
    <row r="35" spans="1:7">
      <c r="A35" s="171" t="s">
        <v>74</v>
      </c>
      <c r="B35" s="33">
        <f>IF((($B$28-$B$32-$B$39-$B$77-$B$38)*C21/100)&lt;0,0,($B$28-$B$32-$B$39-$B$77-$B$38)*C21/100)</f>
        <v>477.53750000000002</v>
      </c>
      <c r="C35" s="167">
        <f>IF(ISERROR(B35/SUM($B$32,$B$34,$B$35,$B$36,$B$38,$B$39)*100),0,B35/SUM($B$32,$B$34,$B$35,$B$36,$B$38,$B$39)*100)</f>
        <v>9.2888056798288279</v>
      </c>
      <c r="D35" s="233"/>
      <c r="G35" s="15"/>
    </row>
    <row r="36" spans="1:7">
      <c r="A36" s="171" t="s">
        <v>75</v>
      </c>
      <c r="B36" s="33">
        <f>IF((($B$28-$B$32-$B$39-$B$77-$B$38)*C22/100)&lt;0,0,($B$28-$B$32-$B$39-$B$77-$B$38)*C22/100)</f>
        <v>309.92500000000001</v>
      </c>
      <c r="C36" s="167">
        <f>IF(ISERROR(B36/SUM($B$32,$B$34,$B$35,$B$36,$B$38,$B$39)*100),0,B36/SUM($B$32,$B$34,$B$35,$B$36,$B$38,$B$39)*100)</f>
        <v>6.0284964014783116</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404.89999999999986</v>
      </c>
      <c r="C39" s="167">
        <f>IF(ISERROR(B39/SUM($B$32,$B$34,$B$35,$B$36,$B$38,$B$39)*100),0,B39/SUM($B$32,$B$34,$B$35,$B$36,$B$38,$B$39)*100)</f>
        <v>7.8758996304220936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3800</v>
      </c>
      <c r="C44" s="34" t="s">
        <v>111</v>
      </c>
      <c r="D44" s="174"/>
    </row>
    <row r="45" spans="1:7">
      <c r="A45" s="171" t="s">
        <v>72</v>
      </c>
      <c r="B45" s="33" t="str">
        <f t="shared" si="0"/>
        <v>-</v>
      </c>
      <c r="C45" s="34" t="s">
        <v>111</v>
      </c>
      <c r="D45" s="174"/>
    </row>
    <row r="46" spans="1:7">
      <c r="A46" s="171" t="s">
        <v>73</v>
      </c>
      <c r="B46" s="33">
        <f t="shared" si="0"/>
        <v>148.63750000000002</v>
      </c>
      <c r="C46" s="34" t="s">
        <v>111</v>
      </c>
      <c r="D46" s="174"/>
    </row>
    <row r="47" spans="1:7">
      <c r="A47" s="171" t="s">
        <v>74</v>
      </c>
      <c r="B47" s="33">
        <f t="shared" si="0"/>
        <v>477.53750000000002</v>
      </c>
      <c r="C47" s="34" t="s">
        <v>111</v>
      </c>
      <c r="D47" s="174"/>
    </row>
    <row r="48" spans="1:7">
      <c r="A48" s="171" t="s">
        <v>75</v>
      </c>
      <c r="B48" s="33">
        <f t="shared" si="0"/>
        <v>309.92500000000001</v>
      </c>
      <c r="C48" s="33">
        <f>B48*10</f>
        <v>3099.25</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404.89999999999986</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136</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29</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12743.156500000001</v>
      </c>
      <c r="C5" s="17">
        <f>IF(ISERROR('Eigen informatie GS &amp; warmtenet'!B58),0,'Eigen informatie GS &amp; warmtenet'!B58)</f>
        <v>0</v>
      </c>
      <c r="D5" s="30">
        <f>SUM(D6:D12)</f>
        <v>15542.002858741354</v>
      </c>
      <c r="E5" s="17">
        <f>SUM(E6:E12)</f>
        <v>130.89204784918007</v>
      </c>
      <c r="F5" s="17">
        <f>SUM(F6:F12)</f>
        <v>2134.704406093063</v>
      </c>
      <c r="G5" s="18"/>
      <c r="H5" s="17"/>
      <c r="I5" s="17"/>
      <c r="J5" s="17">
        <f>SUM(J6:J12)</f>
        <v>0</v>
      </c>
      <c r="K5" s="17"/>
      <c r="L5" s="17"/>
      <c r="M5" s="17"/>
      <c r="N5" s="17">
        <f>SUM(N6:N12)</f>
        <v>2502.5036160967547</v>
      </c>
      <c r="O5" s="17">
        <f>B38*B39*B40</f>
        <v>6.2533333333333339</v>
      </c>
      <c r="P5" s="17">
        <f>B46*B47*B48/1000-B46*B47*B48/1000/B49</f>
        <v>38.133333333333333</v>
      </c>
      <c r="R5" s="32"/>
    </row>
    <row r="6" spans="1:18">
      <c r="A6" s="32" t="s">
        <v>54</v>
      </c>
      <c r="B6" s="37">
        <f>B26</f>
        <v>2779.6950000000002</v>
      </c>
      <c r="C6" s="33"/>
      <c r="D6" s="37">
        <f>IF(ISERROR(TER_kantoor_gas_kWh/1000),0,TER_kantoor_gas_kWh/1000)*0.902</f>
        <v>3595.1809028770431</v>
      </c>
      <c r="E6" s="33">
        <f>$C$26*'E Balans VL '!I12/100/3.6*1000000</f>
        <v>8.0531842540850622</v>
      </c>
      <c r="F6" s="33">
        <f>$C$26*('E Balans VL '!L12+'E Balans VL '!N12)/100/3.6*1000000</f>
        <v>314.60023257095844</v>
      </c>
      <c r="G6" s="34"/>
      <c r="H6" s="33"/>
      <c r="I6" s="33"/>
      <c r="J6" s="33">
        <f>$C$26*('E Balans VL '!D12+'E Balans VL '!E12)/100/3.6*1000000</f>
        <v>0</v>
      </c>
      <c r="K6" s="33"/>
      <c r="L6" s="33"/>
      <c r="M6" s="33"/>
      <c r="N6" s="33">
        <f>$C$26*'E Balans VL '!Y12/100/3.6*1000000</f>
        <v>27.822698779275704</v>
      </c>
      <c r="O6" s="33"/>
      <c r="P6" s="33"/>
      <c r="R6" s="32"/>
    </row>
    <row r="7" spans="1:18">
      <c r="A7" s="32" t="s">
        <v>53</v>
      </c>
      <c r="B7" s="37">
        <f t="shared" ref="B7:B12" si="0">B27</f>
        <v>1557.789</v>
      </c>
      <c r="C7" s="33"/>
      <c r="D7" s="37">
        <f>IF(ISERROR(TER_horeca_gas_kWh/1000),0,TER_horeca_gas_kWh/1000)*0.902</f>
        <v>1488.3202662142485</v>
      </c>
      <c r="E7" s="33">
        <f>$C$27*'E Balans VL '!I9/100/3.6*1000000</f>
        <v>65.391629843553645</v>
      </c>
      <c r="F7" s="33">
        <f>$C$27*('E Balans VL '!L9+'E Balans VL '!N9)/100/3.6*1000000</f>
        <v>334.72291212216373</v>
      </c>
      <c r="G7" s="34"/>
      <c r="H7" s="33"/>
      <c r="I7" s="33"/>
      <c r="J7" s="33">
        <f>$C$27*('E Balans VL '!D9+'E Balans VL '!E9)/100/3.6*1000000</f>
        <v>0</v>
      </c>
      <c r="K7" s="33"/>
      <c r="L7" s="33"/>
      <c r="M7" s="33"/>
      <c r="N7" s="33">
        <f>$C$27*'E Balans VL '!Y9/100/3.6*1000000</f>
        <v>0.40142860194097613</v>
      </c>
      <c r="O7" s="33"/>
      <c r="P7" s="33"/>
      <c r="R7" s="32"/>
    </row>
    <row r="8" spans="1:18">
      <c r="A8" s="6" t="s">
        <v>52</v>
      </c>
      <c r="B8" s="37">
        <f t="shared" si="0"/>
        <v>2528.1170000000002</v>
      </c>
      <c r="C8" s="33"/>
      <c r="D8" s="37">
        <f>IF(ISERROR(TER_handel_gas_kWh/1000),0,TER_handel_gas_kWh/1000)*0.902</f>
        <v>2244.7668527231667</v>
      </c>
      <c r="E8" s="33">
        <f>$C$28*'E Balans VL '!I13/100/3.6*1000000</f>
        <v>27.154080671966948</v>
      </c>
      <c r="F8" s="33">
        <f>$C$28*('E Balans VL '!L13+'E Balans VL '!N13)/100/3.6*1000000</f>
        <v>327.28562240981597</v>
      </c>
      <c r="G8" s="34"/>
      <c r="H8" s="33"/>
      <c r="I8" s="33"/>
      <c r="J8" s="33">
        <f>$C$28*('E Balans VL '!D13+'E Balans VL '!E13)/100/3.6*1000000</f>
        <v>0</v>
      </c>
      <c r="K8" s="33"/>
      <c r="L8" s="33"/>
      <c r="M8" s="33"/>
      <c r="N8" s="33">
        <f>$C$28*'E Balans VL '!Y13/100/3.6*1000000</f>
        <v>20.508223145190172</v>
      </c>
      <c r="O8" s="33"/>
      <c r="P8" s="33"/>
      <c r="R8" s="32"/>
    </row>
    <row r="9" spans="1:18">
      <c r="A9" s="32" t="s">
        <v>51</v>
      </c>
      <c r="B9" s="37">
        <f t="shared" si="0"/>
        <v>131.00730000000001</v>
      </c>
      <c r="C9" s="33"/>
      <c r="D9" s="37">
        <f>IF(ISERROR(TER_gezond_gas_kWh/1000),0,TER_gezond_gas_kWh/1000)*0.902</f>
        <v>532.15438643686582</v>
      </c>
      <c r="E9" s="33">
        <f>$C$29*'E Balans VL '!I10/100/3.6*1000000</f>
        <v>0.10429028412515692</v>
      </c>
      <c r="F9" s="33">
        <f>$C$29*('E Balans VL '!L10+'E Balans VL '!N10)/100/3.6*1000000</f>
        <v>15.925830541008635</v>
      </c>
      <c r="G9" s="34"/>
      <c r="H9" s="33"/>
      <c r="I9" s="33"/>
      <c r="J9" s="33">
        <f>$C$29*('E Balans VL '!D10+'E Balans VL '!E10)/100/3.6*1000000</f>
        <v>0</v>
      </c>
      <c r="K9" s="33"/>
      <c r="L9" s="33"/>
      <c r="M9" s="33"/>
      <c r="N9" s="33">
        <f>$C$29*'E Balans VL '!Y10/100/3.6*1000000</f>
        <v>1.0582422612963163</v>
      </c>
      <c r="O9" s="33"/>
      <c r="P9" s="33"/>
      <c r="R9" s="32"/>
    </row>
    <row r="10" spans="1:18">
      <c r="A10" s="32" t="s">
        <v>50</v>
      </c>
      <c r="B10" s="37">
        <f t="shared" si="0"/>
        <v>3229.3049999999998</v>
      </c>
      <c r="C10" s="33"/>
      <c r="D10" s="37">
        <f>IF(ISERROR(TER_ander_gas_kWh/1000),0,TER_ander_gas_kWh/1000)*0.902</f>
        <v>1058.4680433653036</v>
      </c>
      <c r="E10" s="33">
        <f>$C$30*'E Balans VL '!I14/100/3.6*1000000</f>
        <v>11.066997880938471</v>
      </c>
      <c r="F10" s="33">
        <f>$C$30*('E Balans VL '!L14+'E Balans VL '!N14)/100/3.6*1000000</f>
        <v>721.29551350246891</v>
      </c>
      <c r="G10" s="34"/>
      <c r="H10" s="33"/>
      <c r="I10" s="33"/>
      <c r="J10" s="33">
        <f>$C$30*('E Balans VL '!D14+'E Balans VL '!E14)/100/3.6*1000000</f>
        <v>0</v>
      </c>
      <c r="K10" s="33"/>
      <c r="L10" s="33"/>
      <c r="M10" s="33"/>
      <c r="N10" s="33">
        <f>$C$30*'E Balans VL '!Y14/100/3.6*1000000</f>
        <v>2274.7400833483744</v>
      </c>
      <c r="O10" s="33"/>
      <c r="P10" s="33"/>
      <c r="R10" s="32"/>
    </row>
    <row r="11" spans="1:18">
      <c r="A11" s="32" t="s">
        <v>55</v>
      </c>
      <c r="B11" s="37">
        <f t="shared" si="0"/>
        <v>435.56420000000003</v>
      </c>
      <c r="C11" s="33"/>
      <c r="D11" s="37">
        <f>IF(ISERROR(TER_onderwijs_gas_kWh/1000),0,TER_onderwijs_gas_kWh/1000)*0.902</f>
        <v>1416.9519656235623</v>
      </c>
      <c r="E11" s="33">
        <f>$C$31*'E Balans VL '!I11/100/3.6*1000000</f>
        <v>0.30109211713836381</v>
      </c>
      <c r="F11" s="33">
        <f>$C$31*('E Balans VL '!L11+'E Balans VL '!N11)/100/3.6*1000000</f>
        <v>114.01805527846791</v>
      </c>
      <c r="G11" s="34"/>
      <c r="H11" s="33"/>
      <c r="I11" s="33"/>
      <c r="J11" s="33">
        <f>$C$31*('E Balans VL '!D11+'E Balans VL '!E11)/100/3.6*1000000</f>
        <v>0</v>
      </c>
      <c r="K11" s="33"/>
      <c r="L11" s="33"/>
      <c r="M11" s="33"/>
      <c r="N11" s="33">
        <f>$C$31*'E Balans VL '!Y11/100/3.6*1000000</f>
        <v>0.43356706263543077</v>
      </c>
      <c r="O11" s="33"/>
      <c r="P11" s="33"/>
      <c r="R11" s="32"/>
    </row>
    <row r="12" spans="1:18">
      <c r="A12" s="32" t="s">
        <v>260</v>
      </c>
      <c r="B12" s="37">
        <f t="shared" si="0"/>
        <v>2081.6790000000001</v>
      </c>
      <c r="C12" s="33"/>
      <c r="D12" s="37">
        <f>IF(ISERROR(TER_rest_gas_kWh/1000),0,TER_rest_gas_kWh/1000)*0.902</f>
        <v>5206.1604415011643</v>
      </c>
      <c r="E12" s="33">
        <f>$C$32*'E Balans VL '!I8/100/3.6*1000000</f>
        <v>18.82077279737242</v>
      </c>
      <c r="F12" s="33">
        <f>$C$32*('E Balans VL '!L8+'E Balans VL '!N8)/100/3.6*1000000</f>
        <v>306.85623966817923</v>
      </c>
      <c r="G12" s="34"/>
      <c r="H12" s="33"/>
      <c r="I12" s="33"/>
      <c r="J12" s="33">
        <f>$C$32*('E Balans VL '!D8+'E Balans VL '!E8)/100/3.6*1000000</f>
        <v>0</v>
      </c>
      <c r="K12" s="33"/>
      <c r="L12" s="33"/>
      <c r="M12" s="33"/>
      <c r="N12" s="33">
        <f>$C$32*'E Balans VL '!Y8/100/3.6*1000000</f>
        <v>177.53937289804176</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12743.156500000001</v>
      </c>
      <c r="C16" s="21">
        <f t="shared" ca="1" si="1"/>
        <v>0</v>
      </c>
      <c r="D16" s="21">
        <f t="shared" ca="1" si="1"/>
        <v>15542.002858741354</v>
      </c>
      <c r="E16" s="21">
        <f t="shared" si="1"/>
        <v>130.89204784918007</v>
      </c>
      <c r="F16" s="21">
        <f t="shared" ca="1" si="1"/>
        <v>2134.704406093063</v>
      </c>
      <c r="G16" s="21">
        <f t="shared" si="1"/>
        <v>0</v>
      </c>
      <c r="H16" s="21">
        <f t="shared" si="1"/>
        <v>0</v>
      </c>
      <c r="I16" s="21">
        <f t="shared" si="1"/>
        <v>0</v>
      </c>
      <c r="J16" s="21">
        <f t="shared" si="1"/>
        <v>0</v>
      </c>
      <c r="K16" s="21">
        <f t="shared" si="1"/>
        <v>0</v>
      </c>
      <c r="L16" s="21">
        <f t="shared" ca="1" si="1"/>
        <v>0</v>
      </c>
      <c r="M16" s="21">
        <f t="shared" si="1"/>
        <v>0</v>
      </c>
      <c r="N16" s="21">
        <f t="shared" ca="1" si="1"/>
        <v>2502.5036160967547</v>
      </c>
      <c r="O16" s="21">
        <f>O5</f>
        <v>6.2533333333333339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0.18412900355717329</v>
      </c>
      <c r="C18" s="25">
        <f ca="1">'EF ele_warmte'!B22</f>
        <v>0.23764705882352952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2346.384708518116</v>
      </c>
      <c r="C20" s="23">
        <f t="shared" ref="C20:P20" ca="1" si="2">C16*C18</f>
        <v>0</v>
      </c>
      <c r="D20" s="23">
        <f t="shared" ca="1" si="2"/>
        <v>3139.4845774657538</v>
      </c>
      <c r="E20" s="23">
        <f t="shared" si="2"/>
        <v>29.712494861763879</v>
      </c>
      <c r="F20" s="23">
        <f t="shared" ca="1" si="2"/>
        <v>569.96607642684785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2779.6950000000002</v>
      </c>
      <c r="C26" s="39">
        <f>IF(ISERROR(B26*3.6/1000000/'E Balans VL '!Z12*100),0,B26*3.6/1000000/'E Balans VL '!Z12*100)</f>
        <v>6.1059214324225973E-2</v>
      </c>
      <c r="D26" s="237" t="s">
        <v>692</v>
      </c>
      <c r="F26" s="6"/>
    </row>
    <row r="27" spans="1:18">
      <c r="A27" s="231" t="s">
        <v>53</v>
      </c>
      <c r="B27" s="33">
        <f>IF(ISERROR(TER_horeca_ele_kWh/1000),0,TER_horeca_ele_kWh/1000)</f>
        <v>1557.789</v>
      </c>
      <c r="C27" s="39">
        <f>IF(ISERROR(B27*3.6/1000000/'E Balans VL '!Z9*100),0,B27*3.6/1000000/'E Balans VL '!Z9*100)</f>
        <v>0.12518387437415709</v>
      </c>
      <c r="D27" s="237" t="s">
        <v>692</v>
      </c>
      <c r="F27" s="6"/>
    </row>
    <row r="28" spans="1:18">
      <c r="A28" s="171" t="s">
        <v>52</v>
      </c>
      <c r="B28" s="33">
        <f>IF(ISERROR(TER_handel_ele_kWh/1000),0,TER_handel_ele_kWh/1000)</f>
        <v>2528.1170000000002</v>
      </c>
      <c r="C28" s="39">
        <f>IF(ISERROR(B28*3.6/1000000/'E Balans VL '!Z13*100),0,B28*3.6/1000000/'E Balans VL '!Z13*100)</f>
        <v>7.4754653510380104E-2</v>
      </c>
      <c r="D28" s="237" t="s">
        <v>692</v>
      </c>
      <c r="F28" s="6"/>
    </row>
    <row r="29" spans="1:18">
      <c r="A29" s="231" t="s">
        <v>51</v>
      </c>
      <c r="B29" s="33">
        <f>IF(ISERROR(TER_gezond_ele_kWh/1000),0,TER_gezond_ele_kWh/1000)</f>
        <v>131.00730000000001</v>
      </c>
      <c r="C29" s="39">
        <f>IF(ISERROR(B29*3.6/1000000/'E Balans VL '!Z10*100),0,B29*3.6/1000000/'E Balans VL '!Z10*100)</f>
        <v>1.4761140399665413E-2</v>
      </c>
      <c r="D29" s="237" t="s">
        <v>692</v>
      </c>
      <c r="F29" s="6"/>
    </row>
    <row r="30" spans="1:18">
      <c r="A30" s="231" t="s">
        <v>50</v>
      </c>
      <c r="B30" s="33">
        <f>IF(ISERROR(TER_ander_ele_kWh/1000),0,TER_ander_ele_kWh/1000)</f>
        <v>3229.3049999999998</v>
      </c>
      <c r="C30" s="39">
        <f>IF(ISERROR(B30*3.6/1000000/'E Balans VL '!Z14*100),0,B30*3.6/1000000/'E Balans VL '!Z14*100)</f>
        <v>0.2442268169024524</v>
      </c>
      <c r="D30" s="237" t="s">
        <v>692</v>
      </c>
      <c r="F30" s="6"/>
    </row>
    <row r="31" spans="1:18">
      <c r="A31" s="231" t="s">
        <v>55</v>
      </c>
      <c r="B31" s="33">
        <f>IF(ISERROR(TER_onderwijs_ele_kWh/1000),0,TER_onderwijs_ele_kWh/1000)</f>
        <v>435.56420000000003</v>
      </c>
      <c r="C31" s="39">
        <f>IF(ISERROR(B31*3.6/1000000/'E Balans VL '!Z11*100),0,B31*3.6/1000000/'E Balans VL '!Z11*100)</f>
        <v>9.0413016731174634E-2</v>
      </c>
      <c r="D31" s="237" t="s">
        <v>692</v>
      </c>
    </row>
    <row r="32" spans="1:18">
      <c r="A32" s="231" t="s">
        <v>260</v>
      </c>
      <c r="B32" s="33">
        <f>IF(ISERROR(TER_rest_ele_kWh/1000),0,TER_rest_ele_kWh/1000)</f>
        <v>2081.6790000000001</v>
      </c>
      <c r="C32" s="39">
        <f>IF(ISERROR(B32*3.6/1000000/'E Balans VL '!Z8*100),0,B32*3.6/1000000/'E Balans VL '!Z8*100)</f>
        <v>1.7536920964715295E-2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4</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2</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2112.8802700000001</v>
      </c>
      <c r="C5" s="17">
        <f>IF(ISERROR('Eigen informatie GS &amp; warmtenet'!B59),0,'Eigen informatie GS &amp; warmtenet'!B59)</f>
        <v>0</v>
      </c>
      <c r="D5" s="30">
        <f>SUM(D6:D15)</f>
        <v>1820.6100124496916</v>
      </c>
      <c r="E5" s="17">
        <f>SUM(E6:E15)</f>
        <v>258.27425620277467</v>
      </c>
      <c r="F5" s="17">
        <f>SUM(F6:F15)</f>
        <v>1738.5069681543682</v>
      </c>
      <c r="G5" s="18"/>
      <c r="H5" s="17"/>
      <c r="I5" s="17"/>
      <c r="J5" s="17">
        <f>SUM(J6:J15)</f>
        <v>15.08236521329356</v>
      </c>
      <c r="K5" s="17"/>
      <c r="L5" s="17"/>
      <c r="M5" s="17"/>
      <c r="N5" s="17">
        <f>SUM(N6:N15)</f>
        <v>657.82535676268685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68.528670000000005</v>
      </c>
      <c r="C8" s="33"/>
      <c r="D8" s="37">
        <f>IF( ISERROR(IND_metaal_Gas_kWH/1000),0,IND_metaal_Gas_kWH/1000)*0.902</f>
        <v>0</v>
      </c>
      <c r="E8" s="33">
        <f>C30*'E Balans VL '!I18/100/3.6*1000000</f>
        <v>1.7150327648933485</v>
      </c>
      <c r="F8" s="33">
        <f>C30*'E Balans VL '!L18/100/3.6*1000000+C30*'E Balans VL '!N18/100/3.6*1000000</f>
        <v>21.477226057135304</v>
      </c>
      <c r="G8" s="34"/>
      <c r="H8" s="33"/>
      <c r="I8" s="33"/>
      <c r="J8" s="40">
        <f>C30*'E Balans VL '!D18/100/3.6*1000000+C30*'E Balans VL '!E18/100/3.6*1000000</f>
        <v>0</v>
      </c>
      <c r="K8" s="33"/>
      <c r="L8" s="33"/>
      <c r="M8" s="33"/>
      <c r="N8" s="33">
        <f>C30*'E Balans VL '!Y18/100/3.6*1000000</f>
        <v>1.7216180378070638</v>
      </c>
      <c r="O8" s="33"/>
      <c r="P8" s="33"/>
      <c r="R8" s="32"/>
    </row>
    <row r="9" spans="1:18">
      <c r="A9" s="6" t="s">
        <v>33</v>
      </c>
      <c r="B9" s="37">
        <f t="shared" si="0"/>
        <v>770.35249999999996</v>
      </c>
      <c r="C9" s="33"/>
      <c r="D9" s="37">
        <f>IF( ISERROR(IND_andere_gas_kWh/1000),0,IND_andere_gas_kWh/1000)*0.902</f>
        <v>572.4609762410812</v>
      </c>
      <c r="E9" s="33">
        <f>C31*'E Balans VL '!I19/100/3.6*1000000</f>
        <v>211.81534144938539</v>
      </c>
      <c r="F9" s="33">
        <f>C31*'E Balans VL '!L19/100/3.6*1000000+C31*'E Balans VL '!N19/100/3.6*1000000</f>
        <v>607.17182095958526</v>
      </c>
      <c r="G9" s="34"/>
      <c r="H9" s="33"/>
      <c r="I9" s="33"/>
      <c r="J9" s="40">
        <f>C31*'E Balans VL '!D19/100/3.6*1000000+C31*'E Balans VL '!E19/100/3.6*1000000</f>
        <v>0</v>
      </c>
      <c r="K9" s="33"/>
      <c r="L9" s="33"/>
      <c r="M9" s="33"/>
      <c r="N9" s="33">
        <f>C31*'E Balans VL '!Y19/100/3.6*1000000</f>
        <v>249.38343815334196</v>
      </c>
      <c r="O9" s="33"/>
      <c r="P9" s="33"/>
      <c r="R9" s="32"/>
    </row>
    <row r="10" spans="1:18">
      <c r="A10" s="6" t="s">
        <v>41</v>
      </c>
      <c r="B10" s="37">
        <f t="shared" si="0"/>
        <v>493.34009999999995</v>
      </c>
      <c r="C10" s="33"/>
      <c r="D10" s="37">
        <f>IF( ISERROR(IND_voed_gas_kWh/1000),0,IND_voed_gas_kWh/1000)*0.902</f>
        <v>495.40223073942792</v>
      </c>
      <c r="E10" s="33">
        <f>C32*'E Balans VL '!I20/100/3.6*1000000</f>
        <v>5.0293305368881107</v>
      </c>
      <c r="F10" s="33">
        <f>C32*'E Balans VL '!L20/100/3.6*1000000+C32*'E Balans VL '!N20/100/3.6*1000000</f>
        <v>931.91636335552494</v>
      </c>
      <c r="G10" s="34"/>
      <c r="H10" s="33"/>
      <c r="I10" s="33"/>
      <c r="J10" s="40">
        <f>C32*'E Balans VL '!D20/100/3.6*1000000+C32*'E Balans VL '!E20/100/3.6*1000000</f>
        <v>11.807242809115396</v>
      </c>
      <c r="K10" s="33"/>
      <c r="L10" s="33"/>
      <c r="M10" s="33"/>
      <c r="N10" s="33">
        <f>C32*'E Balans VL '!Y20/100/3.6*1000000</f>
        <v>260.04705851133633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780.65899999999999</v>
      </c>
      <c r="C15" s="33"/>
      <c r="D15" s="37">
        <f>IF( ISERROR(IND_rest_gas_kWh/1000),0,IND_rest_gas_kWh/1000)*0.902</f>
        <v>752.74680546918228</v>
      </c>
      <c r="E15" s="33">
        <f>C37*'E Balans VL '!I15/100/3.6*1000000</f>
        <v>39.714551451607825</v>
      </c>
      <c r="F15" s="33">
        <f>C37*'E Balans VL '!L15/100/3.6*1000000+C37*'E Balans VL '!N15/100/3.6*1000000</f>
        <v>177.94155778212289</v>
      </c>
      <c r="G15" s="34"/>
      <c r="H15" s="33"/>
      <c r="I15" s="33"/>
      <c r="J15" s="40">
        <f>C37*'E Balans VL '!D15/100/3.6*1000000+C37*'E Balans VL '!E15/100/3.6*1000000</f>
        <v>3.2751224041781639</v>
      </c>
      <c r="K15" s="33"/>
      <c r="L15" s="33"/>
      <c r="M15" s="33"/>
      <c r="N15" s="33">
        <f>C37*'E Balans VL '!Y15/100/3.6*1000000</f>
        <v>146.67324206020149</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2112.8802700000001</v>
      </c>
      <c r="C18" s="21">
        <f>C5+C16</f>
        <v>0</v>
      </c>
      <c r="D18" s="21">
        <f>MAX((D5+D16),0)</f>
        <v>1820.6100124496916</v>
      </c>
      <c r="E18" s="21">
        <f>MAX((E5+E16),0)</f>
        <v>258.27425620277467</v>
      </c>
      <c r="F18" s="21">
        <f>MAX((F5+F16),0)</f>
        <v>1738.5069681543682</v>
      </c>
      <c r="G18" s="21"/>
      <c r="H18" s="21"/>
      <c r="I18" s="21"/>
      <c r="J18" s="21">
        <f>MAX((J5+J16),0)</f>
        <v>15.08236521329356</v>
      </c>
      <c r="K18" s="21"/>
      <c r="L18" s="21">
        <f>MAX((L5+L16),0)</f>
        <v>0</v>
      </c>
      <c r="M18" s="21"/>
      <c r="N18" s="21">
        <f>MAX((N5+N16),0)</f>
        <v>657.82535676268685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0.18412900355717329</v>
      </c>
      <c r="C20" s="25">
        <f ca="1">'EF ele_warmte'!B22</f>
        <v>0.23764705882352952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389.04253875071129</v>
      </c>
      <c r="C22" s="23">
        <f ca="1">C18*C20</f>
        <v>0</v>
      </c>
      <c r="D22" s="23">
        <f>D18*D20</f>
        <v>367.76322251483771</v>
      </c>
      <c r="E22" s="23">
        <f>E18*E20</f>
        <v>58.628256158029849</v>
      </c>
      <c r="F22" s="23">
        <f>F18*F20</f>
        <v>464.18136049721636</v>
      </c>
      <c r="G22" s="23"/>
      <c r="H22" s="23"/>
      <c r="I22" s="23"/>
      <c r="J22" s="23">
        <f>J18*J20</f>
        <v>5.3391572855059195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68.528670000000005</v>
      </c>
      <c r="C30" s="39">
        <f>IF(ISERROR(B30*3.6/1000000/'E Balans VL '!Z18*100),0,B30*3.6/1000000/'E Balans VL '!Z18*100)</f>
        <v>9.5917300568430439E-3</v>
      </c>
      <c r="D30" s="237" t="s">
        <v>692</v>
      </c>
    </row>
    <row r="31" spans="1:18">
      <c r="A31" s="6" t="s">
        <v>33</v>
      </c>
      <c r="B31" s="37">
        <f>IF( ISERROR(IND_ander_ele_kWh/1000),0,IND_ander_ele_kWh/1000)</f>
        <v>770.35249999999996</v>
      </c>
      <c r="C31" s="39">
        <f>IF(ISERROR(B31*3.6/1000000/'E Balans VL '!Z19*100),0,B31*3.6/1000000/'E Balans VL '!Z19*100)</f>
        <v>3.3718203956069621E-2</v>
      </c>
      <c r="D31" s="237" t="s">
        <v>692</v>
      </c>
    </row>
    <row r="32" spans="1:18">
      <c r="A32" s="171" t="s">
        <v>41</v>
      </c>
      <c r="B32" s="37">
        <f>IF( ISERROR(IND_voed_ele_kWh/1000),0,IND_voed_ele_kWh/1000)</f>
        <v>493.34009999999995</v>
      </c>
      <c r="C32" s="39">
        <f>IF(ISERROR(B32*3.6/1000000/'E Balans VL '!Z20*100),0,B32*3.6/1000000/'E Balans VL '!Z20*100)</f>
        <v>0.12213462574337915</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780.65899999999999</v>
      </c>
      <c r="C37" s="39">
        <f>IF(ISERROR(B37*3.6/1000000/'E Balans VL '!Z15*100),0,B37*3.6/1000000/'E Balans VL '!Z15*100)</f>
        <v>5.7884528305234186E-3</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2618.9733999999999</v>
      </c>
      <c r="C5" s="17">
        <f>'Eigen informatie GS &amp; warmtenet'!B60</f>
        <v>0</v>
      </c>
      <c r="D5" s="30">
        <f>IF(ISERROR(SUM(LB_lb_gas_kWh,LB_rest_gas_kWh)/1000),0,SUM(LB_lb_gas_kWh,LB_rest_gas_kWh)/1000)*0.902</f>
        <v>26089.447699178581</v>
      </c>
      <c r="E5" s="17">
        <f>B17*'E Balans VL '!I25/3.6*1000000/100</f>
        <v>24.258028557691546</v>
      </c>
      <c r="F5" s="17">
        <f>B17*('E Balans VL '!L25/3.6*1000000+'E Balans VL '!N25/3.6*1000000)/100</f>
        <v>6644.8344297207041</v>
      </c>
      <c r="G5" s="18"/>
      <c r="H5" s="17"/>
      <c r="I5" s="17"/>
      <c r="J5" s="17">
        <f>('E Balans VL '!D25+'E Balans VL '!E25)/3.6*1000000*landbouw!B17/100</f>
        <v>401.51785004844817</v>
      </c>
      <c r="K5" s="17"/>
      <c r="L5" s="17">
        <f>L6*(-1)</f>
        <v>0</v>
      </c>
      <c r="M5" s="17"/>
      <c r="N5" s="17">
        <f>N6*(-1)</f>
        <v>0</v>
      </c>
      <c r="O5" s="17"/>
      <c r="P5" s="17"/>
      <c r="R5" s="32"/>
    </row>
    <row r="6" spans="1:18">
      <c r="A6" s="16" t="s">
        <v>494</v>
      </c>
      <c r="B6" s="17" t="s">
        <v>211</v>
      </c>
      <c r="C6" s="17">
        <f>'lokale energieproductie'!O92+'lokale energieproductie'!O61</f>
        <v>17228.571428571428</v>
      </c>
      <c r="D6" s="310">
        <f>('lokale energieproductie'!P61+'lokale energieproductie'!P92)*(-1)</f>
        <v>-34457.142857142862</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2618.9733999999999</v>
      </c>
      <c r="C8" s="21">
        <f>C5+C6</f>
        <v>17228.571428571428</v>
      </c>
      <c r="D8" s="21">
        <f>MAX((D5+D6),0)</f>
        <v>0</v>
      </c>
      <c r="E8" s="21">
        <f>MAX((E5+E6),0)</f>
        <v>24.258028557691546</v>
      </c>
      <c r="F8" s="21">
        <f>MAX((F5+F6),0)</f>
        <v>6644.8344297207041</v>
      </c>
      <c r="G8" s="21"/>
      <c r="H8" s="21"/>
      <c r="I8" s="21"/>
      <c r="J8" s="21">
        <f>MAX((J5+J6),0)</f>
        <v>401.51785004844817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0.18412900355717329</v>
      </c>
      <c r="C10" s="31">
        <f ca="1">'EF ele_warmte'!B22</f>
        <v>0.23764705882352952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482.22896248474223</v>
      </c>
      <c r="C12" s="23">
        <f ca="1">C8*C10</f>
        <v>4094.3193277310938</v>
      </c>
      <c r="D12" s="23">
        <f>D8*D10</f>
        <v>0</v>
      </c>
      <c r="E12" s="23">
        <f>E8*E10</f>
        <v>5.5065724825959812</v>
      </c>
      <c r="F12" s="23">
        <f>F8*F10</f>
        <v>1774.170792735428</v>
      </c>
      <c r="G12" s="23"/>
      <c r="H12" s="23"/>
      <c r="I12" s="23"/>
      <c r="J12" s="23">
        <f>J8*J10</f>
        <v>142.13731891715065</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0.37236248564529401</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271.48033073938399</v>
      </c>
      <c r="C26" s="247">
        <f>B26*'GWP N2O_CH4'!B5</f>
        <v>5701.086945527064</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132.85355769775759</v>
      </c>
      <c r="C27" s="247">
        <f>B27*'GWP N2O_CH4'!B5</f>
        <v>2789.9247116529095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5.9187299636124786</v>
      </c>
      <c r="C28" s="247">
        <f>B28*'GWP N2O_CH4'!B4</f>
        <v>1834.8062887198685</v>
      </c>
      <c r="D28" s="50"/>
    </row>
    <row r="29" spans="1:4">
      <c r="A29" s="41" t="s">
        <v>277</v>
      </c>
      <c r="B29" s="247">
        <f>B34*'ha_N2O bodem landbouw'!B4</f>
        <v>11.730262825528378</v>
      </c>
      <c r="C29" s="247">
        <f>B29*'GWP N2O_CH4'!B4</f>
        <v>3636.3814759137972</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2.6308912960851388E-3</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5.7376571131199186E-5</v>
      </c>
      <c r="C5" s="464" t="s">
        <v>211</v>
      </c>
      <c r="D5" s="449">
        <f>SUM(D6:D11)</f>
        <v>1.495592291203824E-4</v>
      </c>
      <c r="E5" s="449">
        <f>SUM(E6:E11)</f>
        <v>1.0755647526096775E-3</v>
      </c>
      <c r="F5" s="462" t="s">
        <v>211</v>
      </c>
      <c r="G5" s="449">
        <f>SUM(G6:G11)</f>
        <v>0.39175651527634636</v>
      </c>
      <c r="H5" s="449">
        <f>SUM(H6:H11)</f>
        <v>5.7868461702356142E-2</v>
      </c>
      <c r="I5" s="464" t="s">
        <v>211</v>
      </c>
      <c r="J5" s="464" t="s">
        <v>211</v>
      </c>
      <c r="K5" s="464" t="s">
        <v>211</v>
      </c>
      <c r="L5" s="464" t="s">
        <v>211</v>
      </c>
      <c r="M5" s="449">
        <f>SUM(M6:M11)</f>
        <v>2.4442711015830187E-2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1.9706830737985015E-5</v>
      </c>
      <c r="C6" s="450"/>
      <c r="D6" s="893">
        <f>vkm_2011_GW_PW*SUMIFS(TableVerdeelsleutelVkm[CNG],TableVerdeelsleutelVkm[Voertuigtype],"Lichte voertuigen")*SUMIFS(TableECFTransport[EnergieConsumptieFactor (PJ per km)],TableECFTransport[Index],CONCATENATE($A6,"_CNG_CNG"))</f>
        <v>4.5584069129147247E-5</v>
      </c>
      <c r="E6" s="893">
        <f>vkm_2011_GW_PW*SUMIFS(TableVerdeelsleutelVkm[LPG],TableVerdeelsleutelVkm[Voertuigtype],"Lichte voertuigen")*SUMIFS(TableECFTransport[EnergieConsumptieFactor (PJ per km)],TableECFTransport[Index],CONCATENATE($A6,"_LPG_LPG"))</f>
        <v>2.9681593072072257E-4</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6.1661313682860548E-2</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1.7381050058079404E-2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4.1018889279315733E-3</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1.8297445254088659E-2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6.2573939798133489E-6</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1.0586109225754377E-3</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7.5721837414221412E-6</v>
      </c>
      <c r="C8" s="450"/>
      <c r="D8" s="452">
        <f>vkm_2011_NGW_PW*SUMIFS(TableVerdeelsleutelVkm[CNG],TableVerdeelsleutelVkm[Voertuigtype],"Lichte voertuigen")*SUMIFS(TableECFTransport[EnergieConsumptieFactor (PJ per km)],TableECFTransport[Index],CONCATENATE($A8,"_CNG_CNG"))</f>
        <v>3.0979437509073088E-5</v>
      </c>
      <c r="E8" s="452">
        <f>vkm_2011_NGW_PW*SUMIFS(TableVerdeelsleutelVkm[LPG],TableVerdeelsleutelVkm[Voertuigtype],"Lichte voertuigen")*SUMIFS(TableECFTransport[EnergieConsumptieFactor (PJ per km)],TableECFTransport[Index],CONCATENATE($A8,"_LPG_LPG"))</f>
        <v>1.8616600967082057E-4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3.6153165588192974E-2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1.1421712516309289E-2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2.4429062729360968E-3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1.9433035865875004E-4</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6.2883040368891088E-8</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1.1243002723336089E-5</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3.009755665179203E-5</v>
      </c>
      <c r="C10" s="450"/>
      <c r="D10" s="452">
        <f>vkm_2011_SW_PW*SUMIFS(TableVerdeelsleutelVkm[CNG],TableVerdeelsleutelVkm[Voertuigtype],"Lichte voertuigen")*SUMIFS(TableECFTransport[EnergieConsumptieFactor (PJ per km)],TableECFTransport[Index],CONCATENATE($A10,"_CNG_CNG"))</f>
        <v>7.2995722482162057E-5</v>
      </c>
      <c r="E10" s="452">
        <f>vkm_2011_SW_PW*SUMIFS(TableVerdeelsleutelVkm[LPG],TableVerdeelsleutelVkm[Voertuigtype],"Lichte voertuigen")*SUMIFS(TableECFTransport[EnergieConsumptieFactor (PJ per km)],TableECFTransport[Index],CONCATENATE($A10,"_LPG_LPG"))</f>
        <v>5.9258281221813425E-4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0.11083000040984385</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2.8998706035446496E-2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7.3037120329906176E-3</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0.16462025998270155</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6.0672815500770866E-5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9.5243498566731245E-3</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15.937936425333106</v>
      </c>
      <c r="C14" s="21"/>
      <c r="D14" s="21">
        <f t="shared" ref="D14:M14" si="0">((D5)*10^9/3600)+D12</f>
        <v>41.544230311217333</v>
      </c>
      <c r="E14" s="21">
        <f t="shared" si="0"/>
        <v>298.76798683602152</v>
      </c>
      <c r="F14" s="21"/>
      <c r="G14" s="21">
        <f t="shared" si="0"/>
        <v>108821.25424342955</v>
      </c>
      <c r="H14" s="21">
        <f t="shared" si="0"/>
        <v>16074.572695098928</v>
      </c>
      <c r="I14" s="21"/>
      <c r="J14" s="21"/>
      <c r="K14" s="21"/>
      <c r="L14" s="21"/>
      <c r="M14" s="21">
        <f t="shared" si="0"/>
        <v>6789.6419488417177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0.18412900355717329</v>
      </c>
      <c r="C16" s="56">
        <f ca="1">'EF ele_warmte'!B22</f>
        <v>0.23764705882352952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2.9346363527541612</v>
      </c>
      <c r="C18" s="23"/>
      <c r="D18" s="23">
        <f t="shared" ref="D18:M18" si="1">D14*D16</f>
        <v>8.3919345228659026</v>
      </c>
      <c r="E18" s="23">
        <f t="shared" si="1"/>
        <v>67.820333011776881</v>
      </c>
      <c r="F18" s="23"/>
      <c r="G18" s="23">
        <f t="shared" si="1"/>
        <v>29055.274882995691</v>
      </c>
      <c r="H18" s="23">
        <f t="shared" si="1"/>
        <v>4002.568601079633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4.7727645694066248E-3</v>
      </c>
      <c r="H50" s="321">
        <f t="shared" si="2"/>
        <v>0</v>
      </c>
      <c r="I50" s="321">
        <f t="shared" si="2"/>
        <v>0</v>
      </c>
      <c r="J50" s="321">
        <f t="shared" si="2"/>
        <v>0</v>
      </c>
      <c r="K50" s="321">
        <f t="shared" si="2"/>
        <v>0</v>
      </c>
      <c r="L50" s="321">
        <f t="shared" si="2"/>
        <v>0</v>
      </c>
      <c r="M50" s="321">
        <f t="shared" si="2"/>
        <v>2.7217685003294378E-4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4.7727645694066248E-3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2.7217685003294378E-4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1325.7679359462848</v>
      </c>
      <c r="H54" s="21">
        <f t="shared" si="3"/>
        <v>0</v>
      </c>
      <c r="I54" s="21">
        <f t="shared" si="3"/>
        <v>0</v>
      </c>
      <c r="J54" s="21">
        <f t="shared" si="3"/>
        <v>0</v>
      </c>
      <c r="K54" s="21">
        <f t="shared" si="3"/>
        <v>0</v>
      </c>
      <c r="L54" s="21">
        <f t="shared" si="3"/>
        <v>0</v>
      </c>
      <c r="M54" s="21">
        <f t="shared" si="3"/>
        <v>75.604680564706598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0.18412900355717329</v>
      </c>
      <c r="C56" s="56">
        <f ca="1">'EF ele_warmte'!B22</f>
        <v>0.23764705882352952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353.98003889765806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13440.1435</v>
      </c>
      <c r="D10" s="1025">
        <f ca="1">tertiair!C16</f>
        <v>0</v>
      </c>
      <c r="E10" s="1025">
        <f ca="1">tertiair!D16</f>
        <v>15542.002858741354</v>
      </c>
      <c r="F10" s="1025">
        <f>tertiair!E16</f>
        <v>130.89204784918007</v>
      </c>
      <c r="G10" s="1025">
        <f ca="1">tertiair!F16</f>
        <v>2134.704406093063</v>
      </c>
      <c r="H10" s="1025">
        <f>tertiair!G16</f>
        <v>0</v>
      </c>
      <c r="I10" s="1025">
        <f>tertiair!H16</f>
        <v>0</v>
      </c>
      <c r="J10" s="1025">
        <f>tertiair!I16</f>
        <v>0</v>
      </c>
      <c r="K10" s="1025">
        <f>tertiair!J16</f>
        <v>0</v>
      </c>
      <c r="L10" s="1025">
        <f>tertiair!K16</f>
        <v>0</v>
      </c>
      <c r="M10" s="1025">
        <f ca="1">tertiair!L16</f>
        <v>0</v>
      </c>
      <c r="N10" s="1025">
        <f>tertiair!M16</f>
        <v>0</v>
      </c>
      <c r="O10" s="1025">
        <f ca="1">tertiair!N16</f>
        <v>2502.5036160967547</v>
      </c>
      <c r="P10" s="1025">
        <f>tertiair!O16</f>
        <v>6.2533333333333339</v>
      </c>
      <c r="Q10" s="1026">
        <f>tertiair!P16</f>
        <v>38.133333333333333</v>
      </c>
      <c r="R10" s="701">
        <f ca="1">SUM(C10:Q10)</f>
        <v>33794.633095447018</v>
      </c>
      <c r="S10" s="67"/>
    </row>
    <row r="11" spans="1:19" s="474" customFormat="1">
      <c r="A11" s="810" t="s">
        <v>225</v>
      </c>
      <c r="B11" s="815"/>
      <c r="C11" s="1025">
        <f>huishoudens!B8</f>
        <v>24987.537345879933</v>
      </c>
      <c r="D11" s="1025">
        <f>huishoudens!C8</f>
        <v>0</v>
      </c>
      <c r="E11" s="1025">
        <f>huishoudens!D8</f>
        <v>66654.93339401955</v>
      </c>
      <c r="F11" s="1025">
        <f>huishoudens!E8</f>
        <v>2217.7451435799649</v>
      </c>
      <c r="G11" s="1025">
        <f>huishoudens!F8</f>
        <v>9967.2151612375874</v>
      </c>
      <c r="H11" s="1025">
        <f>huishoudens!G8</f>
        <v>0</v>
      </c>
      <c r="I11" s="1025">
        <f>huishoudens!H8</f>
        <v>0</v>
      </c>
      <c r="J11" s="1025">
        <f>huishoudens!I8</f>
        <v>0</v>
      </c>
      <c r="K11" s="1025">
        <f>huishoudens!J8</f>
        <v>0</v>
      </c>
      <c r="L11" s="1025">
        <f>huishoudens!K8</f>
        <v>0</v>
      </c>
      <c r="M11" s="1025">
        <f>huishoudens!L8</f>
        <v>0</v>
      </c>
      <c r="N11" s="1025">
        <f>huishoudens!M8</f>
        <v>0</v>
      </c>
      <c r="O11" s="1025">
        <f>huishoudens!N8</f>
        <v>17536.303017267874</v>
      </c>
      <c r="P11" s="1025">
        <f>huishoudens!O8</f>
        <v>212.61333333333334</v>
      </c>
      <c r="Q11" s="1026">
        <f>huishoudens!P8</f>
        <v>552.93333333333339</v>
      </c>
      <c r="R11" s="701">
        <f>SUM(C11:Q11)</f>
        <v>122129.28072865156</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2112.8802700000001</v>
      </c>
      <c r="D13" s="1025">
        <f>industrie!C18</f>
        <v>0</v>
      </c>
      <c r="E13" s="1025">
        <f>industrie!D18</f>
        <v>1820.6100124496916</v>
      </c>
      <c r="F13" s="1025">
        <f>industrie!E18</f>
        <v>258.27425620277467</v>
      </c>
      <c r="G13" s="1025">
        <f>industrie!F18</f>
        <v>1738.5069681543682</v>
      </c>
      <c r="H13" s="1025">
        <f>industrie!G18</f>
        <v>0</v>
      </c>
      <c r="I13" s="1025">
        <f>industrie!H18</f>
        <v>0</v>
      </c>
      <c r="J13" s="1025">
        <f>industrie!I18</f>
        <v>0</v>
      </c>
      <c r="K13" s="1025">
        <f>industrie!J18</f>
        <v>15.08236521329356</v>
      </c>
      <c r="L13" s="1025">
        <f>industrie!K18</f>
        <v>0</v>
      </c>
      <c r="M13" s="1025">
        <f>industrie!L18</f>
        <v>0</v>
      </c>
      <c r="N13" s="1025">
        <f>industrie!M18</f>
        <v>0</v>
      </c>
      <c r="O13" s="1025">
        <f>industrie!N18</f>
        <v>657.82535676268685</v>
      </c>
      <c r="P13" s="1025">
        <f>industrie!O18</f>
        <v>0</v>
      </c>
      <c r="Q13" s="1026">
        <f>industrie!P18</f>
        <v>0</v>
      </c>
      <c r="R13" s="701">
        <f>SUM(C13:Q13)</f>
        <v>6603.1792287828157</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40540.561115879937</v>
      </c>
      <c r="D16" s="733">
        <f t="shared" ref="D16:R16" ca="1" si="0">SUM(D9:D15)</f>
        <v>0</v>
      </c>
      <c r="E16" s="733">
        <f t="shared" ca="1" si="0"/>
        <v>84017.546265210593</v>
      </c>
      <c r="F16" s="733">
        <f t="shared" si="0"/>
        <v>2606.9114476319196</v>
      </c>
      <c r="G16" s="733">
        <f t="shared" ca="1" si="0"/>
        <v>13840.426535485018</v>
      </c>
      <c r="H16" s="733">
        <f t="shared" si="0"/>
        <v>0</v>
      </c>
      <c r="I16" s="733">
        <f t="shared" si="0"/>
        <v>0</v>
      </c>
      <c r="J16" s="733">
        <f t="shared" si="0"/>
        <v>0</v>
      </c>
      <c r="K16" s="733">
        <f t="shared" si="0"/>
        <v>15.08236521329356</v>
      </c>
      <c r="L16" s="733">
        <f t="shared" si="0"/>
        <v>0</v>
      </c>
      <c r="M16" s="733">
        <f t="shared" ca="1" si="0"/>
        <v>0</v>
      </c>
      <c r="N16" s="733">
        <f t="shared" si="0"/>
        <v>0</v>
      </c>
      <c r="O16" s="733">
        <f t="shared" ca="1" si="0"/>
        <v>20696.631990127313</v>
      </c>
      <c r="P16" s="733">
        <f t="shared" si="0"/>
        <v>218.86666666666667</v>
      </c>
      <c r="Q16" s="733">
        <f t="shared" si="0"/>
        <v>591.06666666666672</v>
      </c>
      <c r="R16" s="733">
        <f t="shared" ca="1" si="0"/>
        <v>162527.09305288142</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1325.7679359462848</v>
      </c>
      <c r="I19" s="1025">
        <f>transport!H54</f>
        <v>0</v>
      </c>
      <c r="J19" s="1025">
        <f>transport!I54</f>
        <v>0</v>
      </c>
      <c r="K19" s="1025">
        <f>transport!J54</f>
        <v>0</v>
      </c>
      <c r="L19" s="1025">
        <f>transport!K54</f>
        <v>0</v>
      </c>
      <c r="M19" s="1025">
        <f>transport!L54</f>
        <v>0</v>
      </c>
      <c r="N19" s="1025">
        <f>transport!M54</f>
        <v>75.604680564706598</v>
      </c>
      <c r="O19" s="1025">
        <f>transport!N54</f>
        <v>0</v>
      </c>
      <c r="P19" s="1025">
        <f>transport!O54</f>
        <v>0</v>
      </c>
      <c r="Q19" s="1026">
        <f>transport!P54</f>
        <v>0</v>
      </c>
      <c r="R19" s="701">
        <f>SUM(C19:Q19)</f>
        <v>1401.3726165109913</v>
      </c>
      <c r="S19" s="67"/>
    </row>
    <row r="20" spans="1:19" s="474" customFormat="1">
      <c r="A20" s="810" t="s">
        <v>307</v>
      </c>
      <c r="B20" s="815"/>
      <c r="C20" s="1025">
        <f>transport!B14</f>
        <v>15.937936425333106</v>
      </c>
      <c r="D20" s="1025">
        <f>transport!C14</f>
        <v>0</v>
      </c>
      <c r="E20" s="1025">
        <f>transport!D14</f>
        <v>41.544230311217333</v>
      </c>
      <c r="F20" s="1025">
        <f>transport!E14</f>
        <v>298.76798683602152</v>
      </c>
      <c r="G20" s="1025">
        <f>transport!F14</f>
        <v>0</v>
      </c>
      <c r="H20" s="1025">
        <f>transport!G14</f>
        <v>108821.25424342955</v>
      </c>
      <c r="I20" s="1025">
        <f>transport!H14</f>
        <v>16074.572695098928</v>
      </c>
      <c r="J20" s="1025">
        <f>transport!I14</f>
        <v>0</v>
      </c>
      <c r="K20" s="1025">
        <f>transport!J14</f>
        <v>0</v>
      </c>
      <c r="L20" s="1025">
        <f>transport!K14</f>
        <v>0</v>
      </c>
      <c r="M20" s="1025">
        <f>transport!L14</f>
        <v>0</v>
      </c>
      <c r="N20" s="1025">
        <f>transport!M14</f>
        <v>6789.6419488417177</v>
      </c>
      <c r="O20" s="1025">
        <f>transport!N14</f>
        <v>0</v>
      </c>
      <c r="P20" s="1025">
        <f>transport!O14</f>
        <v>0</v>
      </c>
      <c r="Q20" s="1026">
        <f>transport!P14</f>
        <v>0</v>
      </c>
      <c r="R20" s="701">
        <f>SUM(C20:Q20)</f>
        <v>132041.71904094279</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15.937936425333106</v>
      </c>
      <c r="D22" s="813">
        <f t="shared" ref="D22:R22" si="1">SUM(D18:D21)</f>
        <v>0</v>
      </c>
      <c r="E22" s="813">
        <f t="shared" si="1"/>
        <v>41.544230311217333</v>
      </c>
      <c r="F22" s="813">
        <f t="shared" si="1"/>
        <v>298.76798683602152</v>
      </c>
      <c r="G22" s="813">
        <f t="shared" si="1"/>
        <v>0</v>
      </c>
      <c r="H22" s="813">
        <f t="shared" si="1"/>
        <v>110147.02217937582</v>
      </c>
      <c r="I22" s="813">
        <f t="shared" si="1"/>
        <v>16074.572695098928</v>
      </c>
      <c r="J22" s="813">
        <f t="shared" si="1"/>
        <v>0</v>
      </c>
      <c r="K22" s="813">
        <f t="shared" si="1"/>
        <v>0</v>
      </c>
      <c r="L22" s="813">
        <f t="shared" si="1"/>
        <v>0</v>
      </c>
      <c r="M22" s="813">
        <f t="shared" si="1"/>
        <v>0</v>
      </c>
      <c r="N22" s="813">
        <f t="shared" si="1"/>
        <v>6865.2466294064243</v>
      </c>
      <c r="O22" s="813">
        <f t="shared" si="1"/>
        <v>0</v>
      </c>
      <c r="P22" s="813">
        <f t="shared" si="1"/>
        <v>0</v>
      </c>
      <c r="Q22" s="813">
        <f t="shared" si="1"/>
        <v>0</v>
      </c>
      <c r="R22" s="813">
        <f t="shared" si="1"/>
        <v>133443.09165745377</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2618.9733999999999</v>
      </c>
      <c r="D24" s="1025">
        <f>+landbouw!C8</f>
        <v>17228.571428571428</v>
      </c>
      <c r="E24" s="1025">
        <f>+landbouw!D8</f>
        <v>0</v>
      </c>
      <c r="F24" s="1025">
        <f>+landbouw!E8</f>
        <v>24.258028557691546</v>
      </c>
      <c r="G24" s="1025">
        <f>+landbouw!F8</f>
        <v>6644.8344297207041</v>
      </c>
      <c r="H24" s="1025">
        <f>+landbouw!G8</f>
        <v>0</v>
      </c>
      <c r="I24" s="1025">
        <f>+landbouw!H8</f>
        <v>0</v>
      </c>
      <c r="J24" s="1025">
        <f>+landbouw!I8</f>
        <v>0</v>
      </c>
      <c r="K24" s="1025">
        <f>+landbouw!J8</f>
        <v>401.51785004844817</v>
      </c>
      <c r="L24" s="1025">
        <f>+landbouw!K8</f>
        <v>0</v>
      </c>
      <c r="M24" s="1025">
        <f>+landbouw!L8</f>
        <v>0</v>
      </c>
      <c r="N24" s="1025">
        <f>+landbouw!M8</f>
        <v>0</v>
      </c>
      <c r="O24" s="1025">
        <f>+landbouw!N8</f>
        <v>0</v>
      </c>
      <c r="P24" s="1025">
        <f>+landbouw!O8</f>
        <v>0</v>
      </c>
      <c r="Q24" s="1026">
        <f>+landbouw!P8</f>
        <v>0</v>
      </c>
      <c r="R24" s="701">
        <f>SUM(C24:Q24)</f>
        <v>26918.155136898269</v>
      </c>
      <c r="S24" s="67"/>
    </row>
    <row r="25" spans="1:19" s="474" customFormat="1" ht="15" thickBot="1">
      <c r="A25" s="832" t="s">
        <v>864</v>
      </c>
      <c r="B25" s="1028"/>
      <c r="C25" s="1029">
        <f>IF(Onbekend_ele_kWh="---",0,Onbekend_ele_kWh)/1000+IF(REST_rest_ele_kWh="---",0,REST_rest_ele_kWh)/1000</f>
        <v>713.36289999999997</v>
      </c>
      <c r="D25" s="1029"/>
      <c r="E25" s="1029">
        <f>IF(onbekend_gas_kWh="---",0,onbekend_gas_kWh)/1000+IF(REST_rest_gas_kWh="---",0,REST_rest_gas_kWh)/1000</f>
        <v>1119.23828166762</v>
      </c>
      <c r="F25" s="1029"/>
      <c r="G25" s="1029"/>
      <c r="H25" s="1029"/>
      <c r="I25" s="1029"/>
      <c r="J25" s="1029"/>
      <c r="K25" s="1029"/>
      <c r="L25" s="1029"/>
      <c r="M25" s="1029"/>
      <c r="N25" s="1029"/>
      <c r="O25" s="1029"/>
      <c r="P25" s="1029"/>
      <c r="Q25" s="1030"/>
      <c r="R25" s="701">
        <f>SUM(C25:Q25)</f>
        <v>1832.60118166762</v>
      </c>
      <c r="S25" s="67"/>
    </row>
    <row r="26" spans="1:19" s="474" customFormat="1" ht="15.75" thickBot="1">
      <c r="A26" s="706" t="s">
        <v>865</v>
      </c>
      <c r="B26" s="818"/>
      <c r="C26" s="813">
        <f>SUM(C24:C25)</f>
        <v>3332.3362999999999</v>
      </c>
      <c r="D26" s="813">
        <f t="shared" ref="D26:R26" si="2">SUM(D24:D25)</f>
        <v>17228.571428571428</v>
      </c>
      <c r="E26" s="813">
        <f t="shared" si="2"/>
        <v>1119.23828166762</v>
      </c>
      <c r="F26" s="813">
        <f t="shared" si="2"/>
        <v>24.258028557691546</v>
      </c>
      <c r="G26" s="813">
        <f t="shared" si="2"/>
        <v>6644.8344297207041</v>
      </c>
      <c r="H26" s="813">
        <f t="shared" si="2"/>
        <v>0</v>
      </c>
      <c r="I26" s="813">
        <f t="shared" si="2"/>
        <v>0</v>
      </c>
      <c r="J26" s="813">
        <f t="shared" si="2"/>
        <v>0</v>
      </c>
      <c r="K26" s="813">
        <f t="shared" si="2"/>
        <v>401.51785004844817</v>
      </c>
      <c r="L26" s="813">
        <f t="shared" si="2"/>
        <v>0</v>
      </c>
      <c r="M26" s="813">
        <f t="shared" si="2"/>
        <v>0</v>
      </c>
      <c r="N26" s="813">
        <f t="shared" si="2"/>
        <v>0</v>
      </c>
      <c r="O26" s="813">
        <f t="shared" si="2"/>
        <v>0</v>
      </c>
      <c r="P26" s="813">
        <f t="shared" si="2"/>
        <v>0</v>
      </c>
      <c r="Q26" s="813">
        <f t="shared" si="2"/>
        <v>0</v>
      </c>
      <c r="R26" s="813">
        <f t="shared" si="2"/>
        <v>28750.756318565887</v>
      </c>
      <c r="S26" s="67"/>
    </row>
    <row r="27" spans="1:19" s="474" customFormat="1" ht="17.25" thickTop="1" thickBot="1">
      <c r="A27" s="707" t="s">
        <v>116</v>
      </c>
      <c r="B27" s="806"/>
      <c r="C27" s="708">
        <f ca="1">C22+C16+C26</f>
        <v>43888.835352305272</v>
      </c>
      <c r="D27" s="708">
        <f t="shared" ref="D27:R27" ca="1" si="3">D22+D16+D26</f>
        <v>17228.571428571428</v>
      </c>
      <c r="E27" s="708">
        <f t="shared" ca="1" si="3"/>
        <v>85178.328777189439</v>
      </c>
      <c r="F27" s="708">
        <f t="shared" si="3"/>
        <v>2929.9374630256325</v>
      </c>
      <c r="G27" s="708">
        <f t="shared" ca="1" si="3"/>
        <v>20485.260965205722</v>
      </c>
      <c r="H27" s="708">
        <f t="shared" si="3"/>
        <v>110147.02217937582</v>
      </c>
      <c r="I27" s="708">
        <f t="shared" si="3"/>
        <v>16074.572695098928</v>
      </c>
      <c r="J27" s="708">
        <f t="shared" si="3"/>
        <v>0</v>
      </c>
      <c r="K27" s="708">
        <f t="shared" si="3"/>
        <v>416.60021526174171</v>
      </c>
      <c r="L27" s="708">
        <f t="shared" si="3"/>
        <v>0</v>
      </c>
      <c r="M27" s="708">
        <f t="shared" ca="1" si="3"/>
        <v>0</v>
      </c>
      <c r="N27" s="708">
        <f t="shared" si="3"/>
        <v>6865.2466294064243</v>
      </c>
      <c r="O27" s="708">
        <f t="shared" ca="1" si="3"/>
        <v>20696.631990127313</v>
      </c>
      <c r="P27" s="708">
        <f t="shared" si="3"/>
        <v>218.86666666666667</v>
      </c>
      <c r="Q27" s="708">
        <f t="shared" si="3"/>
        <v>591.06666666666672</v>
      </c>
      <c r="R27" s="708">
        <f t="shared" ca="1" si="3"/>
        <v>324720.94102890108</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2474.7202303204194</v>
      </c>
      <c r="D40" s="1025">
        <f ca="1">tertiair!C20</f>
        <v>0</v>
      </c>
      <c r="E40" s="1025">
        <f ca="1">tertiair!D20</f>
        <v>3139.4845774657538</v>
      </c>
      <c r="F40" s="1025">
        <f>tertiair!E20</f>
        <v>29.712494861763879</v>
      </c>
      <c r="G40" s="1025">
        <f ca="1">tertiair!F20</f>
        <v>569.96607642684785</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6213.8833790747849</v>
      </c>
    </row>
    <row r="41" spans="1:18">
      <c r="A41" s="823" t="s">
        <v>225</v>
      </c>
      <c r="B41" s="830"/>
      <c r="C41" s="1025">
        <f ca="1">huishoudens!B12</f>
        <v>4600.9303528445271</v>
      </c>
      <c r="D41" s="1025">
        <f ca="1">huishoudens!C12</f>
        <v>0</v>
      </c>
      <c r="E41" s="1025">
        <f>huishoudens!D12</f>
        <v>13464.296545591949</v>
      </c>
      <c r="F41" s="1025">
        <f>huishoudens!E12</f>
        <v>503.42814759265207</v>
      </c>
      <c r="G41" s="1025">
        <f>huishoudens!F12</f>
        <v>2661.2464480504359</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21229.901494079564</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389.04253875071129</v>
      </c>
      <c r="D43" s="1025">
        <f ca="1">industrie!C22</f>
        <v>0</v>
      </c>
      <c r="E43" s="1025">
        <f>industrie!D22</f>
        <v>367.76322251483771</v>
      </c>
      <c r="F43" s="1025">
        <f>industrie!E22</f>
        <v>58.628256158029849</v>
      </c>
      <c r="G43" s="1025">
        <f>industrie!F22</f>
        <v>464.18136049721636</v>
      </c>
      <c r="H43" s="1025">
        <f>industrie!G22</f>
        <v>0</v>
      </c>
      <c r="I43" s="1025">
        <f>industrie!H22</f>
        <v>0</v>
      </c>
      <c r="J43" s="1025">
        <f>industrie!I22</f>
        <v>0</v>
      </c>
      <c r="K43" s="1025">
        <f>industrie!J22</f>
        <v>5.3391572855059195</v>
      </c>
      <c r="L43" s="1025">
        <f>industrie!K22</f>
        <v>0</v>
      </c>
      <c r="M43" s="1025">
        <f>industrie!L22</f>
        <v>0</v>
      </c>
      <c r="N43" s="1025">
        <f>industrie!M22</f>
        <v>0</v>
      </c>
      <c r="O43" s="1025">
        <f>industrie!N22</f>
        <v>0</v>
      </c>
      <c r="P43" s="1025">
        <f>industrie!O22</f>
        <v>0</v>
      </c>
      <c r="Q43" s="775">
        <f>industrie!P22</f>
        <v>0</v>
      </c>
      <c r="R43" s="850">
        <f t="shared" ca="1" si="4"/>
        <v>1284.9545352063012</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7464.6931219156577</v>
      </c>
      <c r="D46" s="733">
        <f t="shared" ref="D46:Q46" ca="1" si="5">SUM(D39:D45)</f>
        <v>0</v>
      </c>
      <c r="E46" s="733">
        <f t="shared" ca="1" si="5"/>
        <v>16971.54434557254</v>
      </c>
      <c r="F46" s="733">
        <f t="shared" si="5"/>
        <v>591.76889861244581</v>
      </c>
      <c r="G46" s="733">
        <f t="shared" ca="1" si="5"/>
        <v>3695.3938849745</v>
      </c>
      <c r="H46" s="733">
        <f t="shared" si="5"/>
        <v>0</v>
      </c>
      <c r="I46" s="733">
        <f t="shared" si="5"/>
        <v>0</v>
      </c>
      <c r="J46" s="733">
        <f t="shared" si="5"/>
        <v>0</v>
      </c>
      <c r="K46" s="733">
        <f t="shared" si="5"/>
        <v>5.3391572855059195</v>
      </c>
      <c r="L46" s="733">
        <f t="shared" si="5"/>
        <v>0</v>
      </c>
      <c r="M46" s="733">
        <f t="shared" ca="1" si="5"/>
        <v>0</v>
      </c>
      <c r="N46" s="733">
        <f t="shared" si="5"/>
        <v>0</v>
      </c>
      <c r="O46" s="733">
        <f t="shared" ca="1" si="5"/>
        <v>0</v>
      </c>
      <c r="P46" s="733">
        <f t="shared" si="5"/>
        <v>0</v>
      </c>
      <c r="Q46" s="733">
        <f t="shared" si="5"/>
        <v>0</v>
      </c>
      <c r="R46" s="733">
        <f ca="1">SUM(R39:R45)</f>
        <v>28728.739408360649</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353.98003889765806</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353.98003889765806</v>
      </c>
    </row>
    <row r="50" spans="1:18">
      <c r="A50" s="826" t="s">
        <v>307</v>
      </c>
      <c r="B50" s="836"/>
      <c r="C50" s="704">
        <f ca="1">transport!B18</f>
        <v>2.9346363527541612</v>
      </c>
      <c r="D50" s="704">
        <f>transport!C18</f>
        <v>0</v>
      </c>
      <c r="E50" s="704">
        <f>transport!D18</f>
        <v>8.3919345228659026</v>
      </c>
      <c r="F50" s="704">
        <f>transport!E18</f>
        <v>67.820333011776881</v>
      </c>
      <c r="G50" s="704">
        <f>transport!F18</f>
        <v>0</v>
      </c>
      <c r="H50" s="704">
        <f>transport!G18</f>
        <v>29055.274882995691</v>
      </c>
      <c r="I50" s="704">
        <f>transport!H18</f>
        <v>4002.568601079633</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33136.990387962724</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2.9346363527541612</v>
      </c>
      <c r="D52" s="733">
        <f t="shared" ref="D52:Q52" ca="1" si="6">SUM(D48:D51)</f>
        <v>0</v>
      </c>
      <c r="E52" s="733">
        <f t="shared" si="6"/>
        <v>8.3919345228659026</v>
      </c>
      <c r="F52" s="733">
        <f t="shared" si="6"/>
        <v>67.820333011776881</v>
      </c>
      <c r="G52" s="733">
        <f t="shared" si="6"/>
        <v>0</v>
      </c>
      <c r="H52" s="733">
        <f t="shared" si="6"/>
        <v>29409.254921893349</v>
      </c>
      <c r="I52" s="733">
        <f t="shared" si="6"/>
        <v>4002.568601079633</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33490.970426860382</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482.22896248474223</v>
      </c>
      <c r="D54" s="704">
        <f ca="1">+landbouw!C12</f>
        <v>4094.3193277310938</v>
      </c>
      <c r="E54" s="704">
        <f>+landbouw!D12</f>
        <v>0</v>
      </c>
      <c r="F54" s="704">
        <f>+landbouw!E12</f>
        <v>5.5065724825959812</v>
      </c>
      <c r="G54" s="704">
        <f>+landbouw!F12</f>
        <v>1774.170792735428</v>
      </c>
      <c r="H54" s="704">
        <f>+landbouw!G12</f>
        <v>0</v>
      </c>
      <c r="I54" s="704">
        <f>+landbouw!H12</f>
        <v>0</v>
      </c>
      <c r="J54" s="704">
        <f>+landbouw!I12</f>
        <v>0</v>
      </c>
      <c r="K54" s="704">
        <f>+landbouw!J12</f>
        <v>142.13731891715065</v>
      </c>
      <c r="L54" s="704">
        <f>+landbouw!K12</f>
        <v>0</v>
      </c>
      <c r="M54" s="704">
        <f>+landbouw!L12</f>
        <v>0</v>
      </c>
      <c r="N54" s="704">
        <f>+landbouw!M12</f>
        <v>0</v>
      </c>
      <c r="O54" s="704">
        <f>+landbouw!N12</f>
        <v>0</v>
      </c>
      <c r="P54" s="704">
        <f>+landbouw!O12</f>
        <v>0</v>
      </c>
      <c r="Q54" s="705">
        <f>+landbouw!P12</f>
        <v>0</v>
      </c>
      <c r="R54" s="732">
        <f ca="1">SUM(C54:Q54)</f>
        <v>6498.3629743510119</v>
      </c>
    </row>
    <row r="55" spans="1:18" ht="15" thickBot="1">
      <c r="A55" s="826" t="s">
        <v>864</v>
      </c>
      <c r="B55" s="836"/>
      <c r="C55" s="704">
        <f ca="1">C25*'EF ele_warmte'!B12</f>
        <v>131.35079995165546</v>
      </c>
      <c r="D55" s="704"/>
      <c r="E55" s="704">
        <f>E25*EF_CO2_aardgas</f>
        <v>226.08613289685925</v>
      </c>
      <c r="F55" s="704"/>
      <c r="G55" s="704"/>
      <c r="H55" s="704"/>
      <c r="I55" s="704"/>
      <c r="J55" s="704"/>
      <c r="K55" s="704"/>
      <c r="L55" s="704"/>
      <c r="M55" s="704"/>
      <c r="N55" s="704"/>
      <c r="O55" s="704"/>
      <c r="P55" s="704"/>
      <c r="Q55" s="705"/>
      <c r="R55" s="732">
        <f ca="1">SUM(C55:Q55)</f>
        <v>357.43693284851474</v>
      </c>
    </row>
    <row r="56" spans="1:18" ht="15.75" thickBot="1">
      <c r="A56" s="824" t="s">
        <v>865</v>
      </c>
      <c r="B56" s="837"/>
      <c r="C56" s="733">
        <f ca="1">SUM(C54:C55)</f>
        <v>613.57976243639769</v>
      </c>
      <c r="D56" s="733">
        <f t="shared" ref="D56:Q56" ca="1" si="7">SUM(D54:D55)</f>
        <v>4094.3193277310938</v>
      </c>
      <c r="E56" s="733">
        <f t="shared" si="7"/>
        <v>226.08613289685925</v>
      </c>
      <c r="F56" s="733">
        <f t="shared" si="7"/>
        <v>5.5065724825959812</v>
      </c>
      <c r="G56" s="733">
        <f t="shared" si="7"/>
        <v>1774.170792735428</v>
      </c>
      <c r="H56" s="733">
        <f t="shared" si="7"/>
        <v>0</v>
      </c>
      <c r="I56" s="733">
        <f t="shared" si="7"/>
        <v>0</v>
      </c>
      <c r="J56" s="733">
        <f t="shared" si="7"/>
        <v>0</v>
      </c>
      <c r="K56" s="733">
        <f t="shared" si="7"/>
        <v>142.13731891715065</v>
      </c>
      <c r="L56" s="733">
        <f t="shared" si="7"/>
        <v>0</v>
      </c>
      <c r="M56" s="733">
        <f t="shared" si="7"/>
        <v>0</v>
      </c>
      <c r="N56" s="733">
        <f t="shared" si="7"/>
        <v>0</v>
      </c>
      <c r="O56" s="733">
        <f t="shared" si="7"/>
        <v>0</v>
      </c>
      <c r="P56" s="733">
        <f t="shared" si="7"/>
        <v>0</v>
      </c>
      <c r="Q56" s="734">
        <f t="shared" si="7"/>
        <v>0</v>
      </c>
      <c r="R56" s="735">
        <f ca="1">SUM(R54:R55)</f>
        <v>6855.7999071995264</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8081.2075207048092</v>
      </c>
      <c r="D61" s="741">
        <f t="shared" ref="D61:Q61" ca="1" si="8">D46+D52+D56</f>
        <v>4094.3193277310938</v>
      </c>
      <c r="E61" s="741">
        <f t="shared" ca="1" si="8"/>
        <v>17206.022412992264</v>
      </c>
      <c r="F61" s="741">
        <f t="shared" si="8"/>
        <v>665.09580410681872</v>
      </c>
      <c r="G61" s="741">
        <f t="shared" ca="1" si="8"/>
        <v>5469.5646777099282</v>
      </c>
      <c r="H61" s="741">
        <f t="shared" si="8"/>
        <v>29409.254921893349</v>
      </c>
      <c r="I61" s="741">
        <f t="shared" si="8"/>
        <v>4002.568601079633</v>
      </c>
      <c r="J61" s="741">
        <f t="shared" si="8"/>
        <v>0</v>
      </c>
      <c r="K61" s="741">
        <f t="shared" si="8"/>
        <v>147.47647620265656</v>
      </c>
      <c r="L61" s="741">
        <f t="shared" si="8"/>
        <v>0</v>
      </c>
      <c r="M61" s="741">
        <f t="shared" ca="1" si="8"/>
        <v>0</v>
      </c>
      <c r="N61" s="741">
        <f t="shared" si="8"/>
        <v>0</v>
      </c>
      <c r="O61" s="741">
        <f t="shared" ca="1" si="8"/>
        <v>0</v>
      </c>
      <c r="P61" s="741">
        <f t="shared" si="8"/>
        <v>0</v>
      </c>
      <c r="Q61" s="741">
        <f t="shared" si="8"/>
        <v>0</v>
      </c>
      <c r="R61" s="741">
        <f ca="1">R46+R52+R56</f>
        <v>69075.50974242056</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0.18412900355717327</v>
      </c>
      <c r="D63" s="782">
        <f t="shared" ca="1" si="9"/>
        <v>0.23764705882352952</v>
      </c>
      <c r="E63" s="1036">
        <f t="shared" ca="1" si="9"/>
        <v>0.20199999999999999</v>
      </c>
      <c r="F63" s="782">
        <f t="shared" si="9"/>
        <v>0.22700000000000004</v>
      </c>
      <c r="G63" s="782">
        <f t="shared" ca="1" si="9"/>
        <v>0.26700000000000002</v>
      </c>
      <c r="H63" s="782">
        <f t="shared" si="9"/>
        <v>0.26700000000000002</v>
      </c>
      <c r="I63" s="782">
        <f t="shared" si="9"/>
        <v>0.249</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4029.4634443269933</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4201.2543003174433</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12060</v>
      </c>
      <c r="D76" s="1046">
        <f>'lokale energieproductie'!C8</f>
        <v>14188.23529411765</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2866.0235294117656</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8230.7177446444366</v>
      </c>
      <c r="C78" s="756">
        <f>SUM(C72:C77)</f>
        <v>12060</v>
      </c>
      <c r="D78" s="757">
        <f t="shared" ref="D78:H78" si="10">SUM(D76:D77)</f>
        <v>14188.23529411765</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2866.0235294117656</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17228.571428571428</v>
      </c>
      <c r="D87" s="778">
        <f>'lokale energieproductie'!C17</f>
        <v>20268.907563025215</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4094.3193277310938</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17228.571428571428</v>
      </c>
      <c r="D90" s="756">
        <f t="shared" ref="D90:H90" si="12">SUM(D87:D89)</f>
        <v>20268.907563025215</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4094.3193277310938</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4029.4634443269933</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4201.2543003174433</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12060</v>
      </c>
      <c r="C8" s="571">
        <f>B101</f>
        <v>14188.23529411765</v>
      </c>
      <c r="D8" s="1056"/>
      <c r="E8" s="1056">
        <f>E101</f>
        <v>0</v>
      </c>
      <c r="F8" s="1057"/>
      <c r="G8" s="572"/>
      <c r="H8" s="1056">
        <f>I101</f>
        <v>0</v>
      </c>
      <c r="I8" s="1056">
        <f>G101+F101</f>
        <v>0</v>
      </c>
      <c r="J8" s="1056">
        <f>H101+D101+C101</f>
        <v>0</v>
      </c>
      <c r="K8" s="1056"/>
      <c r="L8" s="1056"/>
      <c r="M8" s="1056"/>
      <c r="N8" s="573"/>
      <c r="O8" s="574">
        <f>C8*$C$12+D8*$D$12+E8*$E$12+F8*$F$12+G8*$G$12+H8*$H$12+I8*$I$12+J8*$J$12</f>
        <v>2866.0235294117656</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20290.717744644437</v>
      </c>
      <c r="C10" s="584">
        <f t="shared" ref="C10:L10" si="0">SUM(C8:C9)</f>
        <v>14188.23529411765</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2866.0235294117656</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17228.571428571428</v>
      </c>
      <c r="C17" s="596">
        <f>B102</f>
        <v>20268.907563025215</v>
      </c>
      <c r="D17" s="597"/>
      <c r="E17" s="597">
        <f>E102</f>
        <v>0</v>
      </c>
      <c r="F17" s="1062"/>
      <c r="G17" s="598"/>
      <c r="H17" s="596">
        <f>I102</f>
        <v>0</v>
      </c>
      <c r="I17" s="597">
        <f>G102+F102</f>
        <v>0</v>
      </c>
      <c r="J17" s="597">
        <f>H102+D102+C102</f>
        <v>0</v>
      </c>
      <c r="K17" s="597"/>
      <c r="L17" s="597"/>
      <c r="M17" s="597"/>
      <c r="N17" s="1063"/>
      <c r="O17" s="599">
        <f>C17*$C$22+E17*$E$22+H17*$H$22+I17*$I$22+J17*$J$22+D17*$D$22+F17*$F$22+G17*$G$22+K17*$K$22+L17*$L$22</f>
        <v>4094.3193277310938</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17228.571428571428</v>
      </c>
      <c r="C20" s="583">
        <f>SUM(C17:C19)</f>
        <v>20268.907563025215</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4094.3193277310938</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25.5">
      <c r="A28" s="606"/>
      <c r="B28" s="797">
        <v>13031</v>
      </c>
      <c r="C28" s="797">
        <v>2360</v>
      </c>
      <c r="D28" s="654" t="s">
        <v>907</v>
      </c>
      <c r="E28" s="653" t="s">
        <v>908</v>
      </c>
      <c r="F28" s="653" t="s">
        <v>909</v>
      </c>
      <c r="G28" s="653" t="s">
        <v>910</v>
      </c>
      <c r="H28" s="653" t="s">
        <v>911</v>
      </c>
      <c r="I28" s="653" t="s">
        <v>908</v>
      </c>
      <c r="J28" s="796">
        <v>40480</v>
      </c>
      <c r="K28" s="796">
        <v>40499</v>
      </c>
      <c r="L28" s="653" t="s">
        <v>912</v>
      </c>
      <c r="M28" s="653">
        <v>2680</v>
      </c>
      <c r="N28" s="653">
        <v>12060</v>
      </c>
      <c r="O28" s="653">
        <v>17228.571428571428</v>
      </c>
      <c r="P28" s="653">
        <v>34457.142857142862</v>
      </c>
      <c r="Q28" s="653">
        <v>0</v>
      </c>
      <c r="R28" s="653">
        <v>0</v>
      </c>
      <c r="S28" s="653">
        <v>0</v>
      </c>
      <c r="T28" s="653">
        <v>0</v>
      </c>
      <c r="U28" s="653">
        <v>0</v>
      </c>
      <c r="V28" s="653">
        <v>0</v>
      </c>
      <c r="W28" s="653">
        <v>0</v>
      </c>
      <c r="X28" s="653">
        <v>10</v>
      </c>
      <c r="Y28" s="653" t="s">
        <v>112</v>
      </c>
      <c r="Z28" s="655" t="s">
        <v>112</v>
      </c>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2680</v>
      </c>
      <c r="N58" s="611">
        <f>SUM(N28:N57)</f>
        <v>12060</v>
      </c>
      <c r="O58" s="611">
        <f t="shared" ref="O58:W58" si="2">SUM(O28:O57)</f>
        <v>17228.571428571428</v>
      </c>
      <c r="P58" s="611">
        <f t="shared" si="2"/>
        <v>34457.142857142862</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2680</v>
      </c>
      <c r="N61" s="616">
        <f t="shared" si="4"/>
        <v>12060</v>
      </c>
      <c r="O61" s="616">
        <f t="shared" si="4"/>
        <v>17228.571428571428</v>
      </c>
      <c r="P61" s="616">
        <f t="shared" si="4"/>
        <v>34457.142857142862</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0.58823529411764708</v>
      </c>
      <c r="C98" s="636">
        <f>IF(ISERROR(N58/(O58+N58)),0,N58/(N58+O58))</f>
        <v>0.41176470588235298</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14188.23529411765</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20268.907563025215</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24987.537345879933</v>
      </c>
      <c r="C4" s="478">
        <f>huishoudens!C8</f>
        <v>0</v>
      </c>
      <c r="D4" s="478">
        <f>huishoudens!D8</f>
        <v>66654.93339401955</v>
      </c>
      <c r="E4" s="478">
        <f>huishoudens!E8</f>
        <v>2217.7451435799649</v>
      </c>
      <c r="F4" s="478">
        <f>huishoudens!F8</f>
        <v>9967.2151612375874</v>
      </c>
      <c r="G4" s="478">
        <f>huishoudens!G8</f>
        <v>0</v>
      </c>
      <c r="H4" s="478">
        <f>huishoudens!H8</f>
        <v>0</v>
      </c>
      <c r="I4" s="478">
        <f>huishoudens!I8</f>
        <v>0</v>
      </c>
      <c r="J4" s="478">
        <f>huishoudens!J8</f>
        <v>0</v>
      </c>
      <c r="K4" s="478">
        <f>huishoudens!K8</f>
        <v>0</v>
      </c>
      <c r="L4" s="478">
        <f>huishoudens!L8</f>
        <v>0</v>
      </c>
      <c r="M4" s="478">
        <f>huishoudens!M8</f>
        <v>0</v>
      </c>
      <c r="N4" s="478">
        <f>huishoudens!N8</f>
        <v>17536.303017267874</v>
      </c>
      <c r="O4" s="478">
        <f>huishoudens!O8</f>
        <v>212.61333333333334</v>
      </c>
      <c r="P4" s="479">
        <f>huishoudens!P8</f>
        <v>552.93333333333339</v>
      </c>
      <c r="Q4" s="480">
        <f>SUM(B4:P4)</f>
        <v>122129.28072865156</v>
      </c>
    </row>
    <row r="5" spans="1:17">
      <c r="A5" s="477" t="s">
        <v>156</v>
      </c>
      <c r="B5" s="478">
        <f ca="1">tertiair!B16</f>
        <v>12743.156500000001</v>
      </c>
      <c r="C5" s="478">
        <f ca="1">tertiair!C16</f>
        <v>0</v>
      </c>
      <c r="D5" s="478">
        <f ca="1">tertiair!D16</f>
        <v>15542.002858741354</v>
      </c>
      <c r="E5" s="478">
        <f>tertiair!E16</f>
        <v>130.89204784918007</v>
      </c>
      <c r="F5" s="478">
        <f ca="1">tertiair!F16</f>
        <v>2134.704406093063</v>
      </c>
      <c r="G5" s="478">
        <f>tertiair!G16</f>
        <v>0</v>
      </c>
      <c r="H5" s="478">
        <f>tertiair!H16</f>
        <v>0</v>
      </c>
      <c r="I5" s="478">
        <f>tertiair!I16</f>
        <v>0</v>
      </c>
      <c r="J5" s="478">
        <f>tertiair!J16</f>
        <v>0</v>
      </c>
      <c r="K5" s="478">
        <f>tertiair!K16</f>
        <v>0</v>
      </c>
      <c r="L5" s="478">
        <f ca="1">tertiair!L16</f>
        <v>0</v>
      </c>
      <c r="M5" s="478">
        <f>tertiair!M16</f>
        <v>0</v>
      </c>
      <c r="N5" s="478">
        <f ca="1">tertiair!N16</f>
        <v>2502.5036160967547</v>
      </c>
      <c r="O5" s="478">
        <f>tertiair!O16</f>
        <v>6.2533333333333339</v>
      </c>
      <c r="P5" s="479">
        <f>tertiair!P16</f>
        <v>38.133333333333333</v>
      </c>
      <c r="Q5" s="477">
        <f t="shared" ref="Q5:Q14" ca="1" si="0">SUM(B5:P5)</f>
        <v>33097.646095447024</v>
      </c>
    </row>
    <row r="6" spans="1:17">
      <c r="A6" s="477" t="s">
        <v>194</v>
      </c>
      <c r="B6" s="478">
        <f>'openbare verlichting'!B8</f>
        <v>696.98699999999997</v>
      </c>
      <c r="C6" s="478"/>
      <c r="D6" s="478"/>
      <c r="E6" s="478"/>
      <c r="F6" s="478"/>
      <c r="G6" s="478"/>
      <c r="H6" s="478"/>
      <c r="I6" s="478"/>
      <c r="J6" s="478"/>
      <c r="K6" s="478"/>
      <c r="L6" s="478"/>
      <c r="M6" s="478"/>
      <c r="N6" s="478"/>
      <c r="O6" s="478"/>
      <c r="P6" s="479"/>
      <c r="Q6" s="477">
        <f t="shared" si="0"/>
        <v>696.98699999999997</v>
      </c>
    </row>
    <row r="7" spans="1:17">
      <c r="A7" s="477" t="s">
        <v>112</v>
      </c>
      <c r="B7" s="478">
        <f>landbouw!B8</f>
        <v>2618.9733999999999</v>
      </c>
      <c r="C7" s="478">
        <f>landbouw!C8</f>
        <v>17228.571428571428</v>
      </c>
      <c r="D7" s="478">
        <f>landbouw!D8</f>
        <v>0</v>
      </c>
      <c r="E7" s="478">
        <f>landbouw!E8</f>
        <v>24.258028557691546</v>
      </c>
      <c r="F7" s="478">
        <f>landbouw!F8</f>
        <v>6644.8344297207041</v>
      </c>
      <c r="G7" s="478">
        <f>landbouw!G8</f>
        <v>0</v>
      </c>
      <c r="H7" s="478">
        <f>landbouw!H8</f>
        <v>0</v>
      </c>
      <c r="I7" s="478">
        <f>landbouw!I8</f>
        <v>0</v>
      </c>
      <c r="J7" s="478">
        <f>landbouw!J8</f>
        <v>401.51785004844817</v>
      </c>
      <c r="K7" s="478">
        <f>landbouw!K8</f>
        <v>0</v>
      </c>
      <c r="L7" s="478">
        <f>landbouw!L8</f>
        <v>0</v>
      </c>
      <c r="M7" s="478">
        <f>landbouw!M8</f>
        <v>0</v>
      </c>
      <c r="N7" s="478">
        <f>landbouw!N8</f>
        <v>0</v>
      </c>
      <c r="O7" s="478">
        <f>landbouw!O8</f>
        <v>0</v>
      </c>
      <c r="P7" s="479">
        <f>landbouw!P8</f>
        <v>0</v>
      </c>
      <c r="Q7" s="477">
        <f t="shared" si="0"/>
        <v>26918.155136898269</v>
      </c>
    </row>
    <row r="8" spans="1:17">
      <c r="A8" s="477" t="s">
        <v>650</v>
      </c>
      <c r="B8" s="478">
        <f>industrie!B18</f>
        <v>2112.8802700000001</v>
      </c>
      <c r="C8" s="478">
        <f>industrie!C18</f>
        <v>0</v>
      </c>
      <c r="D8" s="478">
        <f>industrie!D18</f>
        <v>1820.6100124496916</v>
      </c>
      <c r="E8" s="478">
        <f>industrie!E18</f>
        <v>258.27425620277467</v>
      </c>
      <c r="F8" s="478">
        <f>industrie!F18</f>
        <v>1738.5069681543682</v>
      </c>
      <c r="G8" s="478">
        <f>industrie!G18</f>
        <v>0</v>
      </c>
      <c r="H8" s="478">
        <f>industrie!H18</f>
        <v>0</v>
      </c>
      <c r="I8" s="478">
        <f>industrie!I18</f>
        <v>0</v>
      </c>
      <c r="J8" s="478">
        <f>industrie!J18</f>
        <v>15.08236521329356</v>
      </c>
      <c r="K8" s="478">
        <f>industrie!K18</f>
        <v>0</v>
      </c>
      <c r="L8" s="478">
        <f>industrie!L18</f>
        <v>0</v>
      </c>
      <c r="M8" s="478">
        <f>industrie!M18</f>
        <v>0</v>
      </c>
      <c r="N8" s="478">
        <f>industrie!N18</f>
        <v>657.82535676268685</v>
      </c>
      <c r="O8" s="478">
        <f>industrie!O18</f>
        <v>0</v>
      </c>
      <c r="P8" s="479">
        <f>industrie!P18</f>
        <v>0</v>
      </c>
      <c r="Q8" s="477">
        <f t="shared" si="0"/>
        <v>6603.1792287828157</v>
      </c>
    </row>
    <row r="9" spans="1:17" s="483" customFormat="1">
      <c r="A9" s="481" t="s">
        <v>571</v>
      </c>
      <c r="B9" s="482">
        <f>transport!B14</f>
        <v>15.937936425333106</v>
      </c>
      <c r="C9" s="482">
        <f>transport!C14</f>
        <v>0</v>
      </c>
      <c r="D9" s="482">
        <f>transport!D14</f>
        <v>41.544230311217333</v>
      </c>
      <c r="E9" s="482">
        <f>transport!E14</f>
        <v>298.76798683602152</v>
      </c>
      <c r="F9" s="482">
        <f>transport!F14</f>
        <v>0</v>
      </c>
      <c r="G9" s="482">
        <f>transport!G14</f>
        <v>108821.25424342955</v>
      </c>
      <c r="H9" s="482">
        <f>transport!H14</f>
        <v>16074.572695098928</v>
      </c>
      <c r="I9" s="482">
        <f>transport!I14</f>
        <v>0</v>
      </c>
      <c r="J9" s="482">
        <f>transport!J14</f>
        <v>0</v>
      </c>
      <c r="K9" s="482">
        <f>transport!K14</f>
        <v>0</v>
      </c>
      <c r="L9" s="482">
        <f>transport!L14</f>
        <v>0</v>
      </c>
      <c r="M9" s="482">
        <f>transport!M14</f>
        <v>6789.6419488417177</v>
      </c>
      <c r="N9" s="482">
        <f>transport!N14</f>
        <v>0</v>
      </c>
      <c r="O9" s="482">
        <f>transport!O14</f>
        <v>0</v>
      </c>
      <c r="P9" s="482">
        <f>transport!P14</f>
        <v>0</v>
      </c>
      <c r="Q9" s="481">
        <f>SUM(B9:P9)</f>
        <v>132041.71904094279</v>
      </c>
    </row>
    <row r="10" spans="1:17">
      <c r="A10" s="477" t="s">
        <v>561</v>
      </c>
      <c r="B10" s="478">
        <f>transport!B54</f>
        <v>0</v>
      </c>
      <c r="C10" s="478">
        <f>transport!C54</f>
        <v>0</v>
      </c>
      <c r="D10" s="478">
        <f>transport!D54</f>
        <v>0</v>
      </c>
      <c r="E10" s="478">
        <f>transport!E54</f>
        <v>0</v>
      </c>
      <c r="F10" s="478">
        <f>transport!F54</f>
        <v>0</v>
      </c>
      <c r="G10" s="478">
        <f>transport!G54</f>
        <v>1325.7679359462848</v>
      </c>
      <c r="H10" s="478">
        <f>transport!H54</f>
        <v>0</v>
      </c>
      <c r="I10" s="478">
        <f>transport!I54</f>
        <v>0</v>
      </c>
      <c r="J10" s="478">
        <f>transport!J54</f>
        <v>0</v>
      </c>
      <c r="K10" s="478">
        <f>transport!K54</f>
        <v>0</v>
      </c>
      <c r="L10" s="478">
        <f>transport!L54</f>
        <v>0</v>
      </c>
      <c r="M10" s="478">
        <f>transport!M54</f>
        <v>75.604680564706598</v>
      </c>
      <c r="N10" s="478">
        <f>transport!N54</f>
        <v>0</v>
      </c>
      <c r="O10" s="478">
        <f>transport!O54</f>
        <v>0</v>
      </c>
      <c r="P10" s="479">
        <f>transport!P54</f>
        <v>0</v>
      </c>
      <c r="Q10" s="477">
        <f t="shared" si="0"/>
        <v>1401.3726165109913</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713.36289999999997</v>
      </c>
      <c r="C14" s="485"/>
      <c r="D14" s="485">
        <f>'SEAP template'!E25</f>
        <v>1119.23828166762</v>
      </c>
      <c r="E14" s="485"/>
      <c r="F14" s="485"/>
      <c r="G14" s="485"/>
      <c r="H14" s="485"/>
      <c r="I14" s="485"/>
      <c r="J14" s="485"/>
      <c r="K14" s="485"/>
      <c r="L14" s="485"/>
      <c r="M14" s="485"/>
      <c r="N14" s="485"/>
      <c r="O14" s="485"/>
      <c r="P14" s="486"/>
      <c r="Q14" s="477">
        <f t="shared" si="0"/>
        <v>1832.60118166762</v>
      </c>
    </row>
    <row r="15" spans="1:17" s="487" customFormat="1">
      <c r="A15" s="1051" t="s">
        <v>565</v>
      </c>
      <c r="B15" s="991">
        <f ca="1">SUM(B4:B14)</f>
        <v>43888.835352305272</v>
      </c>
      <c r="C15" s="991">
        <f t="shared" ref="C15:Q15" ca="1" si="1">SUM(C4:C14)</f>
        <v>17228.571428571428</v>
      </c>
      <c r="D15" s="991">
        <f t="shared" ca="1" si="1"/>
        <v>85178.328777189439</v>
      </c>
      <c r="E15" s="991">
        <f t="shared" si="1"/>
        <v>2929.9374630256325</v>
      </c>
      <c r="F15" s="991">
        <f t="shared" ca="1" si="1"/>
        <v>20485.260965205722</v>
      </c>
      <c r="G15" s="991">
        <f t="shared" si="1"/>
        <v>110147.02217937582</v>
      </c>
      <c r="H15" s="991">
        <f t="shared" si="1"/>
        <v>16074.572695098928</v>
      </c>
      <c r="I15" s="991">
        <f t="shared" si="1"/>
        <v>0</v>
      </c>
      <c r="J15" s="991">
        <f t="shared" si="1"/>
        <v>416.60021526174171</v>
      </c>
      <c r="K15" s="991">
        <f t="shared" si="1"/>
        <v>0</v>
      </c>
      <c r="L15" s="991">
        <f t="shared" ca="1" si="1"/>
        <v>0</v>
      </c>
      <c r="M15" s="991">
        <f t="shared" si="1"/>
        <v>6865.2466294064243</v>
      </c>
      <c r="N15" s="991">
        <f t="shared" ca="1" si="1"/>
        <v>20696.631990127313</v>
      </c>
      <c r="O15" s="991">
        <f t="shared" si="1"/>
        <v>218.86666666666667</v>
      </c>
      <c r="P15" s="991">
        <f t="shared" si="1"/>
        <v>591.06666666666672</v>
      </c>
      <c r="Q15" s="991">
        <f t="shared" ca="1" si="1"/>
        <v>324720.94102890108</v>
      </c>
    </row>
    <row r="17" spans="1:17">
      <c r="A17" s="488" t="s">
        <v>566</v>
      </c>
      <c r="B17" s="787">
        <f ca="1">huishoudens!B10</f>
        <v>0.18412900355717329</v>
      </c>
      <c r="C17" s="787">
        <f ca="1">huishoudens!C10</f>
        <v>0.23764705882352952</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4600.9303528445271</v>
      </c>
      <c r="C22" s="478">
        <f t="shared" ref="C22:C32" ca="1" si="3">C4*$C$17</f>
        <v>0</v>
      </c>
      <c r="D22" s="478">
        <f t="shared" ref="D22:D32" si="4">D4*$D$17</f>
        <v>13464.296545591949</v>
      </c>
      <c r="E22" s="478">
        <f t="shared" ref="E22:E32" si="5">E4*$E$17</f>
        <v>503.42814759265207</v>
      </c>
      <c r="F22" s="478">
        <f t="shared" ref="F22:F32" si="6">F4*$F$17</f>
        <v>2661.2464480504359</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21229.901494079564</v>
      </c>
    </row>
    <row r="23" spans="1:17">
      <c r="A23" s="477" t="s">
        <v>156</v>
      </c>
      <c r="B23" s="478">
        <f t="shared" ca="1" si="2"/>
        <v>2346.384708518116</v>
      </c>
      <c r="C23" s="478">
        <f t="shared" ca="1" si="3"/>
        <v>0</v>
      </c>
      <c r="D23" s="478">
        <f t="shared" ca="1" si="4"/>
        <v>3139.4845774657538</v>
      </c>
      <c r="E23" s="478">
        <f t="shared" si="5"/>
        <v>29.712494861763879</v>
      </c>
      <c r="F23" s="478">
        <f t="shared" ca="1" si="6"/>
        <v>569.96607642684785</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6085.5478572724824</v>
      </c>
    </row>
    <row r="24" spans="1:17">
      <c r="A24" s="477" t="s">
        <v>194</v>
      </c>
      <c r="B24" s="478">
        <f t="shared" ca="1" si="2"/>
        <v>128.33552180230353</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128.33552180230353</v>
      </c>
    </row>
    <row r="25" spans="1:17">
      <c r="A25" s="477" t="s">
        <v>112</v>
      </c>
      <c r="B25" s="478">
        <f t="shared" ca="1" si="2"/>
        <v>482.22896248474223</v>
      </c>
      <c r="C25" s="478">
        <f t="shared" ca="1" si="3"/>
        <v>4094.3193277310938</v>
      </c>
      <c r="D25" s="478">
        <f t="shared" si="4"/>
        <v>0</v>
      </c>
      <c r="E25" s="478">
        <f t="shared" si="5"/>
        <v>5.5065724825959812</v>
      </c>
      <c r="F25" s="478">
        <f t="shared" si="6"/>
        <v>1774.170792735428</v>
      </c>
      <c r="G25" s="478">
        <f t="shared" si="7"/>
        <v>0</v>
      </c>
      <c r="H25" s="478">
        <f t="shared" si="8"/>
        <v>0</v>
      </c>
      <c r="I25" s="478">
        <f t="shared" si="9"/>
        <v>0</v>
      </c>
      <c r="J25" s="478">
        <f t="shared" si="10"/>
        <v>142.13731891715065</v>
      </c>
      <c r="K25" s="478">
        <f t="shared" si="11"/>
        <v>0</v>
      </c>
      <c r="L25" s="478">
        <f t="shared" si="12"/>
        <v>0</v>
      </c>
      <c r="M25" s="478">
        <f t="shared" si="13"/>
        <v>0</v>
      </c>
      <c r="N25" s="478">
        <f t="shared" si="14"/>
        <v>0</v>
      </c>
      <c r="O25" s="478">
        <f t="shared" si="15"/>
        <v>0</v>
      </c>
      <c r="P25" s="479">
        <f t="shared" si="16"/>
        <v>0</v>
      </c>
      <c r="Q25" s="477">
        <f t="shared" ca="1" si="17"/>
        <v>6498.3629743510119</v>
      </c>
    </row>
    <row r="26" spans="1:17">
      <c r="A26" s="477" t="s">
        <v>650</v>
      </c>
      <c r="B26" s="478">
        <f t="shared" ca="1" si="2"/>
        <v>389.04253875071129</v>
      </c>
      <c r="C26" s="478">
        <f t="shared" ca="1" si="3"/>
        <v>0</v>
      </c>
      <c r="D26" s="478">
        <f t="shared" si="4"/>
        <v>367.76322251483771</v>
      </c>
      <c r="E26" s="478">
        <f t="shared" si="5"/>
        <v>58.628256158029849</v>
      </c>
      <c r="F26" s="478">
        <f t="shared" si="6"/>
        <v>464.18136049721636</v>
      </c>
      <c r="G26" s="478">
        <f t="shared" si="7"/>
        <v>0</v>
      </c>
      <c r="H26" s="478">
        <f t="shared" si="8"/>
        <v>0</v>
      </c>
      <c r="I26" s="478">
        <f t="shared" si="9"/>
        <v>0</v>
      </c>
      <c r="J26" s="478">
        <f t="shared" si="10"/>
        <v>5.3391572855059195</v>
      </c>
      <c r="K26" s="478">
        <f t="shared" si="11"/>
        <v>0</v>
      </c>
      <c r="L26" s="478">
        <f t="shared" si="12"/>
        <v>0</v>
      </c>
      <c r="M26" s="478">
        <f t="shared" si="13"/>
        <v>0</v>
      </c>
      <c r="N26" s="478">
        <f t="shared" si="14"/>
        <v>0</v>
      </c>
      <c r="O26" s="478">
        <f t="shared" si="15"/>
        <v>0</v>
      </c>
      <c r="P26" s="479">
        <f t="shared" si="16"/>
        <v>0</v>
      </c>
      <c r="Q26" s="477">
        <f t="shared" ca="1" si="17"/>
        <v>1284.9545352063012</v>
      </c>
    </row>
    <row r="27" spans="1:17" s="483" customFormat="1">
      <c r="A27" s="481" t="s">
        <v>571</v>
      </c>
      <c r="B27" s="781">
        <f t="shared" ca="1" si="2"/>
        <v>2.9346363527541612</v>
      </c>
      <c r="C27" s="482">
        <f t="shared" ca="1" si="3"/>
        <v>0</v>
      </c>
      <c r="D27" s="482">
        <f t="shared" si="4"/>
        <v>8.3919345228659026</v>
      </c>
      <c r="E27" s="482">
        <f t="shared" si="5"/>
        <v>67.820333011776881</v>
      </c>
      <c r="F27" s="482">
        <f t="shared" si="6"/>
        <v>0</v>
      </c>
      <c r="G27" s="482">
        <f t="shared" si="7"/>
        <v>29055.274882995691</v>
      </c>
      <c r="H27" s="482">
        <f t="shared" si="8"/>
        <v>4002.568601079633</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33136.990387962724</v>
      </c>
    </row>
    <row r="28" spans="1:17">
      <c r="A28" s="477" t="s">
        <v>561</v>
      </c>
      <c r="B28" s="478">
        <f t="shared" ca="1" si="2"/>
        <v>0</v>
      </c>
      <c r="C28" s="478">
        <f t="shared" ca="1" si="3"/>
        <v>0</v>
      </c>
      <c r="D28" s="478">
        <f t="shared" si="4"/>
        <v>0</v>
      </c>
      <c r="E28" s="478">
        <f t="shared" si="5"/>
        <v>0</v>
      </c>
      <c r="F28" s="478">
        <f t="shared" si="6"/>
        <v>0</v>
      </c>
      <c r="G28" s="478">
        <f t="shared" si="7"/>
        <v>353.98003889765806</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353.98003889765806</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131.35079995165546</v>
      </c>
      <c r="C32" s="478">
        <f t="shared" ca="1" si="3"/>
        <v>0</v>
      </c>
      <c r="D32" s="478">
        <f t="shared" si="4"/>
        <v>226.08613289685925</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357.43693284851474</v>
      </c>
    </row>
    <row r="33" spans="1:17" s="487" customFormat="1">
      <c r="A33" s="1051" t="s">
        <v>565</v>
      </c>
      <c r="B33" s="991">
        <f ca="1">SUM(B22:B32)</f>
        <v>8081.2075207048092</v>
      </c>
      <c r="C33" s="991">
        <f t="shared" ref="C33:Q33" ca="1" si="18">SUM(C22:C32)</f>
        <v>4094.3193277310938</v>
      </c>
      <c r="D33" s="991">
        <f t="shared" ca="1" si="18"/>
        <v>17206.022412992264</v>
      </c>
      <c r="E33" s="991">
        <f t="shared" si="18"/>
        <v>665.0958041068186</v>
      </c>
      <c r="F33" s="991">
        <f t="shared" ca="1" si="18"/>
        <v>5469.5646777099282</v>
      </c>
      <c r="G33" s="991">
        <f t="shared" si="18"/>
        <v>29409.254921893349</v>
      </c>
      <c r="H33" s="991">
        <f t="shared" si="18"/>
        <v>4002.568601079633</v>
      </c>
      <c r="I33" s="991">
        <f t="shared" si="18"/>
        <v>0</v>
      </c>
      <c r="J33" s="991">
        <f t="shared" si="18"/>
        <v>147.47647620265656</v>
      </c>
      <c r="K33" s="991">
        <f t="shared" si="18"/>
        <v>0</v>
      </c>
      <c r="L33" s="991">
        <f t="shared" ca="1" si="18"/>
        <v>0</v>
      </c>
      <c r="M33" s="991">
        <f t="shared" si="18"/>
        <v>0</v>
      </c>
      <c r="N33" s="991">
        <f t="shared" ca="1" si="18"/>
        <v>0</v>
      </c>
      <c r="O33" s="991">
        <f t="shared" si="18"/>
        <v>0</v>
      </c>
      <c r="P33" s="991">
        <f t="shared" si="18"/>
        <v>0</v>
      </c>
      <c r="Q33" s="991">
        <f t="shared" ca="1" si="18"/>
        <v>69075.50974242056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4029.4634443269933</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4201.2543003174433</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12060</v>
      </c>
      <c r="D8" s="1068">
        <f>'SEAP template'!D76</f>
        <v>14188.23529411765</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2866.0235294117656</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8230.7177446444366</v>
      </c>
      <c r="C10" s="1072">
        <f>SUM(C4:C9)</f>
        <v>12060</v>
      </c>
      <c r="D10" s="1072">
        <f t="shared" ref="D10:H10" si="0">SUM(D8:D9)</f>
        <v>14188.23529411765</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2866.0235294117656</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0.18412900355717329</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17228.571428571428</v>
      </c>
      <c r="D17" s="1069">
        <f>'SEAP template'!D87</f>
        <v>20268.907563025215</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4094.3193277310938</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17228.571428571428</v>
      </c>
      <c r="D20" s="1072">
        <f t="shared" ref="D20:H20" si="2">SUM(D17:D19)</f>
        <v>20268.907563025215</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4094.3193277310938</v>
      </c>
    </row>
    <row r="22" spans="1:16">
      <c r="A22" s="488" t="s">
        <v>888</v>
      </c>
      <c r="B22" s="787" t="s">
        <v>882</v>
      </c>
      <c r="C22" s="787">
        <f ca="1">'EF ele_warmte'!B22</f>
        <v>0.23764705882352952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0.18412900355717329</v>
      </c>
      <c r="C17" s="525">
        <f ca="1">'EF ele_warmte'!B22</f>
        <v>0.23764705882352952</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2019-08-12T08:07:09Z</dcterms:modified>
</cp:coreProperties>
</file>