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K19"/>
  <c r="J19"/>
  <c r="J89" i="14" s="1"/>
  <c r="J19" i="59" s="1"/>
  <c r="I19" i="18"/>
  <c r="I89" i="14" s="1"/>
  <c r="I19" i="59" s="1"/>
  <c r="H19" i="18"/>
  <c r="M89" i="14" s="1"/>
  <c r="M19" i="59" s="1"/>
  <c r="G19" i="18"/>
  <c r="H89" i="14" s="1"/>
  <c r="H19" i="59" s="1"/>
  <c r="F19" i="18"/>
  <c r="E19"/>
  <c r="F89" i="14" s="1"/>
  <c r="F19" i="59" s="1"/>
  <c r="D19" i="18"/>
  <c r="C19"/>
  <c r="B19"/>
  <c r="N18"/>
  <c r="L88" i="14" s="1"/>
  <c r="M18" i="18"/>
  <c r="K88" i="14" s="1"/>
  <c r="K18" i="59" s="1"/>
  <c r="L18" i="18"/>
  <c r="L20" s="1"/>
  <c r="K18"/>
  <c r="K20" s="1"/>
  <c r="J18"/>
  <c r="J88" i="14" s="1"/>
  <c r="J18" i="59" s="1"/>
  <c r="I18" i="18"/>
  <c r="H18"/>
  <c r="G18"/>
  <c r="H88" i="14" s="1"/>
  <c r="F18" i="18"/>
  <c r="F20" s="1"/>
  <c r="E18"/>
  <c r="F88" i="14" s="1"/>
  <c r="F18" i="59" s="1"/>
  <c r="D18" i="18"/>
  <c r="D20" s="1"/>
  <c r="C18"/>
  <c r="B18"/>
  <c r="L9"/>
  <c r="K9"/>
  <c r="I9"/>
  <c r="G9"/>
  <c r="F9"/>
  <c r="F10" s="1"/>
  <c r="E9"/>
  <c r="D9"/>
  <c r="K22"/>
  <c r="J22"/>
  <c r="I22"/>
  <c r="H22"/>
  <c r="K12"/>
  <c r="J12"/>
  <c r="I12"/>
  <c r="H12"/>
  <c r="W92"/>
  <c r="V92"/>
  <c r="U92"/>
  <c r="T92"/>
  <c r="S92"/>
  <c r="R92"/>
  <c r="Q92"/>
  <c r="P92"/>
  <c r="O92"/>
  <c r="C6" i="17" s="1"/>
  <c r="N92" i="18"/>
  <c r="M92"/>
  <c r="W91"/>
  <c r="V91"/>
  <c r="U91"/>
  <c r="T91"/>
  <c r="S91"/>
  <c r="R91"/>
  <c r="Q91"/>
  <c r="P91"/>
  <c r="O91"/>
  <c r="N91"/>
  <c r="M91"/>
  <c r="W90"/>
  <c r="V90"/>
  <c r="U90"/>
  <c r="T90"/>
  <c r="S90"/>
  <c r="R90"/>
  <c r="Q90"/>
  <c r="P90"/>
  <c r="O90"/>
  <c r="N90"/>
  <c r="M90"/>
  <c r="W89"/>
  <c r="V89"/>
  <c r="J9" s="1"/>
  <c r="J77" i="14" s="1"/>
  <c r="J9" i="59" s="1"/>
  <c r="U89" i="18"/>
  <c r="T89"/>
  <c r="S89"/>
  <c r="R89"/>
  <c r="Q89"/>
  <c r="P89"/>
  <c r="C9" s="1"/>
  <c r="O89"/>
  <c r="N89"/>
  <c r="B9" s="1"/>
  <c r="M89"/>
  <c r="W61"/>
  <c r="V61"/>
  <c r="U61"/>
  <c r="T61"/>
  <c r="S61"/>
  <c r="F6" i="17" s="1"/>
  <c r="R61" i="18"/>
  <c r="N6" i="17" s="1"/>
  <c r="Q61" i="18"/>
  <c r="P61"/>
  <c r="O61"/>
  <c r="N61"/>
  <c r="M61"/>
  <c r="W60"/>
  <c r="V60"/>
  <c r="U60"/>
  <c r="T60"/>
  <c r="S60"/>
  <c r="F13" i="15" s="1"/>
  <c r="R60" i="18"/>
  <c r="Q60"/>
  <c r="P60"/>
  <c r="O60"/>
  <c r="N60"/>
  <c r="M60"/>
  <c r="W59"/>
  <c r="V59"/>
  <c r="U59"/>
  <c r="T59"/>
  <c r="S59"/>
  <c r="R59"/>
  <c r="Q59"/>
  <c r="P59"/>
  <c r="O59"/>
  <c r="N59"/>
  <c r="M59"/>
  <c r="W58"/>
  <c r="V58"/>
  <c r="U58"/>
  <c r="T58"/>
  <c r="S58"/>
  <c r="R58"/>
  <c r="Q58"/>
  <c r="P58"/>
  <c r="O58"/>
  <c r="N58"/>
  <c r="C98" s="1"/>
  <c r="M58"/>
  <c r="G22"/>
  <c r="F22"/>
  <c r="E22"/>
  <c r="D22"/>
  <c r="C22"/>
  <c r="D88" i="14"/>
  <c r="D18" i="59" s="1"/>
  <c r="B17" i="18"/>
  <c r="B20" s="1"/>
  <c r="G12"/>
  <c r="F12"/>
  <c r="E12"/>
  <c r="D12"/>
  <c r="C12"/>
  <c r="L10"/>
  <c r="K10"/>
  <c r="G10"/>
  <c r="E77" i="14"/>
  <c r="E9" i="59" s="1"/>
  <c r="B8" i="18"/>
  <c r="B6"/>
  <c r="B74" i="14" s="1"/>
  <c r="B6" i="59" s="1"/>
  <c r="B5" i="18"/>
  <c r="B4"/>
  <c r="B72" i="14" s="1"/>
  <c r="B4" i="59" s="1"/>
  <c r="L6" i="17"/>
  <c r="D6"/>
  <c r="D5"/>
  <c r="B19" i="6"/>
  <c r="B18"/>
  <c r="B5"/>
  <c r="C29" i="14" s="1"/>
  <c r="B6" i="6"/>
  <c r="C64" i="14"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2" s="1"/>
  <c r="O17"/>
  <c r="O32" s="1"/>
  <c r="M4"/>
  <c r="L4"/>
  <c r="K4"/>
  <c r="I4"/>
  <c r="H4"/>
  <c r="G4"/>
  <c r="P11"/>
  <c r="P29" s="1"/>
  <c r="O11"/>
  <c r="N11"/>
  <c r="M11"/>
  <c r="L11"/>
  <c r="K11"/>
  <c r="J11"/>
  <c r="I11"/>
  <c r="H11"/>
  <c r="G11"/>
  <c r="F11"/>
  <c r="E11"/>
  <c r="D11"/>
  <c r="C11"/>
  <c r="B11"/>
  <c r="O31"/>
  <c r="P27"/>
  <c r="P25"/>
  <c r="O89" i="14"/>
  <c r="O19" i="59" s="1"/>
  <c r="N89" i="14"/>
  <c r="N19" i="59" s="1"/>
  <c r="L89" i="14"/>
  <c r="L19" i="59" s="1"/>
  <c r="K89" i="14"/>
  <c r="K19" i="59" s="1"/>
  <c r="E89" i="14"/>
  <c r="E19" i="59" s="1"/>
  <c r="D89" i="14"/>
  <c r="D19" i="59" s="1"/>
  <c r="M88" i="14"/>
  <c r="M18" i="59" s="1"/>
  <c r="I88" i="14"/>
  <c r="I18" i="59" s="1"/>
  <c r="E88" i="14"/>
  <c r="E18" i="59" s="1"/>
  <c r="O87" i="14"/>
  <c r="O17" i="59" s="1"/>
  <c r="N87" i="14"/>
  <c r="N17" i="59" s="1"/>
  <c r="L87" i="14"/>
  <c r="L17" i="59" s="1"/>
  <c r="K87" i="14"/>
  <c r="K17" i="59" s="1"/>
  <c r="H87" i="14"/>
  <c r="H17" i="59" s="1"/>
  <c r="G87" i="14"/>
  <c r="G17" i="59" s="1"/>
  <c r="E87" i="14"/>
  <c r="E17" i="59" s="1"/>
  <c r="O77" i="14"/>
  <c r="O9" i="59" s="1"/>
  <c r="N77" i="14"/>
  <c r="L77"/>
  <c r="L9" i="59" s="1"/>
  <c r="L10" s="1"/>
  <c r="K77" i="14"/>
  <c r="K9" i="59" s="1"/>
  <c r="O76" i="14"/>
  <c r="O8" i="59" s="1"/>
  <c r="N76" i="14"/>
  <c r="N8" i="59" s="1"/>
  <c r="L76" i="14"/>
  <c r="L8" i="59" s="1"/>
  <c r="K76" i="14"/>
  <c r="K8" i="59" s="1"/>
  <c r="K10" s="1"/>
  <c r="H76" i="14"/>
  <c r="H8" i="59" s="1"/>
  <c r="G76" i="14"/>
  <c r="G8" i="59" s="1"/>
  <c r="E76" i="14"/>
  <c r="E8" i="59" s="1"/>
  <c r="B75" i="14"/>
  <c r="B7" i="59" s="1"/>
  <c r="B73" i="14"/>
  <c r="B5" i="59" s="1"/>
  <c r="Q54" i="14"/>
  <c r="Q56" s="1"/>
  <c r="P54"/>
  <c r="P56" s="1"/>
  <c r="L54"/>
  <c r="L56" s="1"/>
  <c r="J54"/>
  <c r="I54"/>
  <c r="I56" s="1"/>
  <c r="H54"/>
  <c r="H56" s="1"/>
  <c r="Q24"/>
  <c r="Q26" s="1"/>
  <c r="P24"/>
  <c r="P26" s="1"/>
  <c r="N24"/>
  <c r="N26" s="1"/>
  <c r="L24"/>
  <c r="L26" s="1"/>
  <c r="J24"/>
  <c r="I24"/>
  <c r="H24"/>
  <c r="Q50"/>
  <c r="P50"/>
  <c r="O50"/>
  <c r="M50"/>
  <c r="L50"/>
  <c r="K50"/>
  <c r="J50"/>
  <c r="G50"/>
  <c r="D50"/>
  <c r="Q49"/>
  <c r="P49"/>
  <c r="Q20"/>
  <c r="P20"/>
  <c r="O20"/>
  <c r="O22" s="1"/>
  <c r="M20"/>
  <c r="L20"/>
  <c r="K20"/>
  <c r="J20"/>
  <c r="G20"/>
  <c r="D20"/>
  <c r="Q19"/>
  <c r="P19"/>
  <c r="O19"/>
  <c r="M19"/>
  <c r="L19"/>
  <c r="K19"/>
  <c r="J19"/>
  <c r="I19"/>
  <c r="G19"/>
  <c r="F19"/>
  <c r="E19"/>
  <c r="D19"/>
  <c r="Q48"/>
  <c r="P48"/>
  <c r="O48"/>
  <c r="M48"/>
  <c r="L48"/>
  <c r="K48"/>
  <c r="J48"/>
  <c r="G48"/>
  <c r="D48"/>
  <c r="Q18"/>
  <c r="Q22" s="1"/>
  <c r="P18"/>
  <c r="O18"/>
  <c r="M18"/>
  <c r="L18"/>
  <c r="K18"/>
  <c r="K22" s="1"/>
  <c r="J18"/>
  <c r="J22" s="1"/>
  <c r="G18"/>
  <c r="G22" s="1"/>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78"/>
  <c r="J56"/>
  <c r="Q52"/>
  <c r="P52"/>
  <c r="R44"/>
  <c r="E25"/>
  <c r="E55" s="1"/>
  <c r="C25"/>
  <c r="B14" i="48" s="1"/>
  <c r="J26" i="14"/>
  <c r="I26"/>
  <c r="H26"/>
  <c r="L90" l="1"/>
  <c r="L18" i="59"/>
  <c r="L20" s="1"/>
  <c r="K78" i="14"/>
  <c r="M77"/>
  <c r="M9" i="59" s="1"/>
  <c r="G10"/>
  <c r="D22" i="14"/>
  <c r="G77"/>
  <c r="G9" i="59" s="1"/>
  <c r="P28" i="48"/>
  <c r="I77" i="14"/>
  <c r="I9" i="59" s="1"/>
  <c r="O10"/>
  <c r="B98" i="18"/>
  <c r="I102" s="1"/>
  <c r="H17" s="1"/>
  <c r="N78" i="14"/>
  <c r="N9" i="59"/>
  <c r="H90" i="14"/>
  <c r="H18" i="59"/>
  <c r="H20" s="1"/>
  <c r="D14" i="48"/>
  <c r="H9" i="18"/>
  <c r="O9" s="1"/>
  <c r="L22" i="14"/>
  <c r="E10" i="59"/>
  <c r="M22" i="14"/>
  <c r="N10" i="59"/>
  <c r="G88" i="14"/>
  <c r="G18" i="59" s="1"/>
  <c r="K20"/>
  <c r="D13" i="15"/>
  <c r="C16" i="16"/>
  <c r="P22" i="14"/>
  <c r="E20" i="59"/>
  <c r="C13" i="15"/>
  <c r="B16" i="16"/>
  <c r="B13" i="15"/>
  <c r="B10" i="18"/>
  <c r="N13" i="15"/>
  <c r="L13"/>
  <c r="F77" i="14"/>
  <c r="F9" i="59" s="1"/>
  <c r="I101" i="18"/>
  <c r="H8" s="1"/>
  <c r="E101"/>
  <c r="E8" s="1"/>
  <c r="F101"/>
  <c r="H101"/>
  <c r="D101"/>
  <c r="G101"/>
  <c r="C101"/>
  <c r="B101"/>
  <c r="C8" s="1"/>
  <c r="E102"/>
  <c r="E17" s="1"/>
  <c r="C102"/>
  <c r="O19"/>
  <c r="O78" i="14"/>
  <c r="N88"/>
  <c r="D10" i="18"/>
  <c r="E78" i="14"/>
  <c r="D77"/>
  <c r="D9" i="59" s="1"/>
  <c r="H77" i="14"/>
  <c r="O88"/>
  <c r="G89"/>
  <c r="G19" i="59" s="1"/>
  <c r="G20" s="1"/>
  <c r="G20" i="18"/>
  <c r="O18"/>
  <c r="O25" i="48"/>
  <c r="O27"/>
  <c r="Q11"/>
  <c r="O29"/>
  <c r="P31"/>
  <c r="O28"/>
  <c r="Q12"/>
  <c r="O24"/>
  <c r="O30"/>
  <c r="P24"/>
  <c r="P30"/>
  <c r="Q77" i="14"/>
  <c r="P9" i="59" s="1"/>
  <c r="E90" i="14"/>
  <c r="R9"/>
  <c r="R25"/>
  <c r="K90"/>
  <c r="N90" l="1"/>
  <c r="N18" i="59"/>
  <c r="N20" s="1"/>
  <c r="Q14" i="48"/>
  <c r="H102" i="18"/>
  <c r="J17" s="1"/>
  <c r="J20" s="1"/>
  <c r="I8"/>
  <c r="I76" i="14" s="1"/>
  <c r="I8" i="59" s="1"/>
  <c r="I10" s="1"/>
  <c r="D102" i="18"/>
  <c r="G78" i="14"/>
  <c r="G102" i="18"/>
  <c r="O90" i="14"/>
  <c r="O18" i="59"/>
  <c r="O20" s="1"/>
  <c r="H78" i="14"/>
  <c r="H9" i="59"/>
  <c r="H10" s="1"/>
  <c r="F102" i="18"/>
  <c r="I17" s="1"/>
  <c r="O17" s="1"/>
  <c r="O20" s="1"/>
  <c r="B89" i="14"/>
  <c r="B19" i="59" s="1"/>
  <c r="Q89" i="14"/>
  <c r="P19" i="59" s="1"/>
  <c r="B102" i="18"/>
  <c r="C17" s="1"/>
  <c r="G90" i="14"/>
  <c r="C89"/>
  <c r="C19" i="59" s="1"/>
  <c r="C77" i="14"/>
  <c r="C9" i="59" s="1"/>
  <c r="H20" i="18"/>
  <c r="M87" i="14"/>
  <c r="F76"/>
  <c r="E10" i="18"/>
  <c r="C20"/>
  <c r="D87" i="14"/>
  <c r="D17" i="59" s="1"/>
  <c r="D20" s="1"/>
  <c r="H10" i="18"/>
  <c r="M76" i="14"/>
  <c r="B88"/>
  <c r="B18" i="59" s="1"/>
  <c r="D76" i="14"/>
  <c r="D8" i="59" s="1"/>
  <c r="D10" s="1"/>
  <c r="C10" i="18"/>
  <c r="J8"/>
  <c r="O8" s="1"/>
  <c r="O10" s="1"/>
  <c r="C88" i="14"/>
  <c r="C18" i="59" s="1"/>
  <c r="B77" i="14"/>
  <c r="B9" i="59" s="1"/>
  <c r="E20" i="18"/>
  <c r="F87" i="14"/>
  <c r="Q88"/>
  <c r="P18" i="59" s="1"/>
  <c r="H14" i="15"/>
  <c r="H16" s="1"/>
  <c r="G14"/>
  <c r="G16" s="1"/>
  <c r="F90" i="14" l="1"/>
  <c r="F17" i="59"/>
  <c r="F20" s="1"/>
  <c r="G5" i="48"/>
  <c r="H10" i="14"/>
  <c r="H16" s="1"/>
  <c r="M78"/>
  <c r="M8" i="59"/>
  <c r="M10" s="1"/>
  <c r="J87" i="14"/>
  <c r="I10" i="18"/>
  <c r="I10" i="14"/>
  <c r="I16" s="1"/>
  <c r="H5" i="48"/>
  <c r="M90" i="14"/>
  <c r="M17" i="59"/>
  <c r="M20" s="1"/>
  <c r="F78" i="14"/>
  <c r="F8" i="59"/>
  <c r="F10" s="1"/>
  <c r="Q76" i="14"/>
  <c r="D78"/>
  <c r="I78"/>
  <c r="B76"/>
  <c r="J10" i="18"/>
  <c r="J76" i="14"/>
  <c r="I87"/>
  <c r="I17" i="59" s="1"/>
  <c r="I20" s="1"/>
  <c r="I20" i="18"/>
  <c r="Q87" i="14"/>
  <c r="D90"/>
  <c r="A31" i="23"/>
  <c r="A32"/>
  <c r="A33"/>
  <c r="Q78" i="14" l="1"/>
  <c r="B9" i="6" s="1"/>
  <c r="P8" i="59"/>
  <c r="P10" s="1"/>
  <c r="Q90" i="14"/>
  <c r="B17" i="6" s="1"/>
  <c r="P17" i="59"/>
  <c r="P20" s="1"/>
  <c r="J90" i="14"/>
  <c r="J17" i="59"/>
  <c r="J20" s="1"/>
  <c r="B78" i="14"/>
  <c r="B8" i="59"/>
  <c r="B10" s="1"/>
  <c r="J78" i="14"/>
  <c r="J8" i="59"/>
  <c r="J10" s="1"/>
  <c r="C87" i="14"/>
  <c r="B87"/>
  <c r="I90"/>
  <c r="C76"/>
  <c r="B11" i="44"/>
  <c r="B25"/>
  <c r="B24"/>
  <c r="B90" i="14" l="1"/>
  <c r="B17" i="59"/>
  <c r="B20" s="1"/>
  <c r="C78" i="14"/>
  <c r="C8" i="59"/>
  <c r="C10" s="1"/>
  <c r="B4" i="6"/>
  <c r="C90" i="14"/>
  <c r="C17" i="59"/>
  <c r="C20" s="1"/>
  <c r="A6" i="23"/>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F16"/>
  <c r="N16"/>
  <c r="D16"/>
  <c r="L18"/>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B8" s="1"/>
  <c r="B6" i="48" s="1"/>
  <c r="Q6"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G25" i="48" l="1"/>
  <c r="G26"/>
  <c r="G29"/>
  <c r="G30"/>
  <c r="G32"/>
  <c r="G22"/>
  <c r="G24"/>
  <c r="G23"/>
  <c r="K28"/>
  <c r="K32"/>
  <c r="K22"/>
  <c r="K26"/>
  <c r="K24"/>
  <c r="K25"/>
  <c r="K29"/>
  <c r="K27"/>
  <c r="K30"/>
  <c r="K31"/>
  <c r="B7"/>
  <c r="C24" i="14"/>
  <c r="C26" s="1"/>
  <c r="J30" i="48"/>
  <c r="J24"/>
  <c r="J32"/>
  <c r="J29"/>
  <c r="J27"/>
  <c r="J28"/>
  <c r="J31"/>
  <c r="Q11" i="14"/>
  <c r="P4" i="48"/>
  <c r="P11" i="14"/>
  <c r="O4" i="48"/>
  <c r="I22"/>
  <c r="I25"/>
  <c r="I32"/>
  <c r="I29"/>
  <c r="I31"/>
  <c r="I30"/>
  <c r="I26"/>
  <c r="I28"/>
  <c r="I27"/>
  <c r="I24"/>
  <c r="J15" i="16"/>
  <c r="E11" i="14"/>
  <c r="D4" i="48"/>
  <c r="D22" s="1"/>
  <c r="H26"/>
  <c r="H29"/>
  <c r="H32"/>
  <c r="H28"/>
  <c r="H22"/>
  <c r="H30"/>
  <c r="H25"/>
  <c r="H24"/>
  <c r="H23"/>
  <c r="D11" i="14"/>
  <c r="C4" i="48"/>
  <c r="C11" i="14"/>
  <c r="B4" i="48"/>
  <c r="F24"/>
  <c r="F29"/>
  <c r="F30"/>
  <c r="F27"/>
  <c r="F32"/>
  <c r="F28"/>
  <c r="F31"/>
  <c r="N30"/>
  <c r="N24"/>
  <c r="N27"/>
  <c r="N31"/>
  <c r="N32"/>
  <c r="N28"/>
  <c r="N29"/>
  <c r="C19" i="14"/>
  <c r="B10" i="48"/>
  <c r="E31"/>
  <c r="E32"/>
  <c r="E28"/>
  <c r="E24"/>
  <c r="E30"/>
  <c r="E29"/>
  <c r="M32"/>
  <c r="M25"/>
  <c r="M26"/>
  <c r="M22"/>
  <c r="M30"/>
  <c r="M24"/>
  <c r="M29"/>
  <c r="M23"/>
  <c r="K5"/>
  <c r="L10" i="14"/>
  <c r="L16" s="1"/>
  <c r="L27" s="1"/>
  <c r="D30" i="48"/>
  <c r="D31"/>
  <c r="D29"/>
  <c r="D24"/>
  <c r="D28"/>
  <c r="D32"/>
  <c r="L32"/>
  <c r="L27"/>
  <c r="L30"/>
  <c r="L28"/>
  <c r="L24"/>
  <c r="L22"/>
  <c r="L29"/>
  <c r="L31"/>
  <c r="P5"/>
  <c r="P23" s="1"/>
  <c r="Q10" i="14"/>
  <c r="N46"/>
  <c r="G24"/>
  <c r="G26" s="1"/>
  <c r="F7" i="48"/>
  <c r="F25" s="1"/>
  <c r="L8"/>
  <c r="L26" s="1"/>
  <c r="M13" i="14"/>
  <c r="C16" i="15"/>
  <c r="C5" i="48" s="1"/>
  <c r="C18" i="16"/>
  <c r="D7" i="48"/>
  <c r="E24" i="14"/>
  <c r="D10"/>
  <c r="B13" i="16"/>
  <c r="C35"/>
  <c r="D14" i="15"/>
  <c r="P18" i="16"/>
  <c r="N5" i="17"/>
  <c r="I14" i="15"/>
  <c r="I16" s="1"/>
  <c r="D16"/>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D9" i="48" l="1"/>
  <c r="D27" s="1"/>
  <c r="E20" i="14"/>
  <c r="E22" s="1"/>
  <c r="P10"/>
  <c r="O5" i="48"/>
  <c r="O23" s="1"/>
  <c r="G11" i="14"/>
  <c r="F4" i="48"/>
  <c r="F22" s="1"/>
  <c r="O22"/>
  <c r="M12" i="22"/>
  <c r="M13" i="48"/>
  <c r="M31" s="1"/>
  <c r="N18" i="14"/>
  <c r="J10"/>
  <c r="J16" s="1"/>
  <c r="J27" s="1"/>
  <c r="J63" s="1"/>
  <c r="I5" i="48"/>
  <c r="E9"/>
  <c r="E27" s="1"/>
  <c r="F20" i="14"/>
  <c r="F22" s="1"/>
  <c r="J7" i="48"/>
  <c r="J25" s="1"/>
  <c r="K24" i="14"/>
  <c r="K26" s="1"/>
  <c r="P15" i="48"/>
  <c r="P22"/>
  <c r="B9"/>
  <c r="C20" i="14"/>
  <c r="G13" i="48"/>
  <c r="H18" i="14"/>
  <c r="R18" s="1"/>
  <c r="H13" i="48"/>
  <c r="H31" s="1"/>
  <c r="I18" i="14"/>
  <c r="P22" i="16"/>
  <c r="Q43" i="14" s="1"/>
  <c r="Q13"/>
  <c r="P8" i="48"/>
  <c r="P26" s="1"/>
  <c r="K15"/>
  <c r="K23"/>
  <c r="Q16" i="14"/>
  <c r="Q27" s="1"/>
  <c r="L63"/>
  <c r="K33" i="48"/>
  <c r="J12" i="17"/>
  <c r="K54" i="14" s="1"/>
  <c r="K56" s="1"/>
  <c r="L46"/>
  <c r="L61" s="1"/>
  <c r="C7" i="48"/>
  <c r="D24" i="14"/>
  <c r="D26" s="1"/>
  <c r="C8" i="48"/>
  <c r="D13" i="14"/>
  <c r="E26"/>
  <c r="D25" i="48"/>
  <c r="M10" i="14"/>
  <c r="L5" i="48"/>
  <c r="E10" i="14"/>
  <c r="D5" i="48"/>
  <c r="B34" i="13"/>
  <c r="N8" i="17"/>
  <c r="B35" i="13"/>
  <c r="B47" s="1"/>
  <c r="O18" i="16"/>
  <c r="B36" i="13"/>
  <c r="G31" i="20"/>
  <c r="H48" i="14" s="1"/>
  <c r="G12" i="22"/>
  <c r="D18" i="16"/>
  <c r="E8" i="17"/>
  <c r="H12" i="22"/>
  <c r="L8" i="17"/>
  <c r="M50" i="22"/>
  <c r="M54" s="1"/>
  <c r="G51"/>
  <c r="G50" s="1"/>
  <c r="G54" s="1"/>
  <c r="F12" i="17"/>
  <c r="G54" i="14" s="1"/>
  <c r="G56" s="1"/>
  <c r="D20" i="15"/>
  <c r="E40" i="14" s="1"/>
  <c r="M31" i="20"/>
  <c r="N48" i="14" s="1"/>
  <c r="H31" i="20"/>
  <c r="I48" i="14" s="1"/>
  <c r="M5" i="22"/>
  <c r="M14" s="1"/>
  <c r="G5"/>
  <c r="H5"/>
  <c r="E5" i="15"/>
  <c r="O20"/>
  <c r="P40" i="14" s="1"/>
  <c r="P20" i="15"/>
  <c r="Q40" i="14" s="1"/>
  <c r="J5" i="15"/>
  <c r="F5"/>
  <c r="F16" s="1"/>
  <c r="B5"/>
  <c r="B16" s="1"/>
  <c r="B5" i="16"/>
  <c r="B18" s="1"/>
  <c r="N5" i="15"/>
  <c r="N16" s="1"/>
  <c r="F12" i="13"/>
  <c r="G41" i="14" s="1"/>
  <c r="F13" i="16"/>
  <c r="E13"/>
  <c r="N13"/>
  <c r="J13"/>
  <c r="N12"/>
  <c r="J12"/>
  <c r="F12"/>
  <c r="E12"/>
  <c r="B46" i="13"/>
  <c r="E5" s="1"/>
  <c r="E8" s="1"/>
  <c r="B48"/>
  <c r="C48" s="1"/>
  <c r="N5" s="1"/>
  <c r="N8" s="1"/>
  <c r="C50"/>
  <c r="J5" s="1"/>
  <c r="J8" s="1"/>
  <c r="M10" i="48" l="1"/>
  <c r="M28" s="1"/>
  <c r="N19" i="14"/>
  <c r="O22" i="16"/>
  <c r="P43" i="14" s="1"/>
  <c r="P13"/>
  <c r="P16" s="1"/>
  <c r="P27" s="1"/>
  <c r="P63" s="1"/>
  <c r="O8" i="48"/>
  <c r="O26" s="1"/>
  <c r="O33" s="1"/>
  <c r="E12" i="13"/>
  <c r="F41" i="14" s="1"/>
  <c r="F11"/>
  <c r="E4" i="48"/>
  <c r="O11" i="14"/>
  <c r="N4" i="48"/>
  <c r="N22" s="1"/>
  <c r="I23"/>
  <c r="I33" s="1"/>
  <c r="I15"/>
  <c r="K11" i="14"/>
  <c r="J4" i="48"/>
  <c r="Q13"/>
  <c r="G31"/>
  <c r="E7"/>
  <c r="E25" s="1"/>
  <c r="F24" i="14"/>
  <c r="F26" s="1"/>
  <c r="M9" i="48"/>
  <c r="N20" i="14"/>
  <c r="N22" s="1"/>
  <c r="N27" s="1"/>
  <c r="P46"/>
  <c r="P61" s="1"/>
  <c r="Q46"/>
  <c r="Q61" s="1"/>
  <c r="C22"/>
  <c r="G14" i="22"/>
  <c r="Q63" i="14"/>
  <c r="H19"/>
  <c r="R19" s="1"/>
  <c r="G10" i="48"/>
  <c r="P33"/>
  <c r="B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N52" s="1"/>
  <c r="N61"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N63" l="1"/>
  <c r="I20"/>
  <c r="I22" s="1"/>
  <c r="I27" s="1"/>
  <c r="H9" i="48"/>
  <c r="E22"/>
  <c r="Q4"/>
  <c r="H20" i="14"/>
  <c r="G9" i="48"/>
  <c r="O15"/>
  <c r="G28"/>
  <c r="Q10"/>
  <c r="J22"/>
  <c r="K10" i="14"/>
  <c r="J5" i="48"/>
  <c r="J23" s="1"/>
  <c r="F10" i="14"/>
  <c r="E5" i="48"/>
  <c r="E23" s="1"/>
  <c r="M27"/>
  <c r="M33" s="1"/>
  <c r="M15"/>
  <c r="R11" i="14"/>
  <c r="L25" i="48"/>
  <c r="Q7"/>
  <c r="M26" i="14"/>
  <c r="R24"/>
  <c r="R26" s="1"/>
  <c r="E20" i="15"/>
  <c r="F40" i="14" s="1"/>
  <c r="F18" i="16"/>
  <c r="F22" s="1"/>
  <c r="G43" i="14" s="1"/>
  <c r="J18" i="16"/>
  <c r="E18"/>
  <c r="J20" i="15"/>
  <c r="K40" i="14" s="1"/>
  <c r="N18" i="16"/>
  <c r="N22" s="1"/>
  <c r="O43" i="14" s="1"/>
  <c r="G18" i="22"/>
  <c r="H50" i="14" s="1"/>
  <c r="H52" s="1"/>
  <c r="H61" s="1"/>
  <c r="H18" i="22"/>
  <c r="I50" i="14" s="1"/>
  <c r="I52" s="1"/>
  <c r="I61" s="1"/>
  <c r="E8" i="48" l="1"/>
  <c r="F13" i="14"/>
  <c r="H22"/>
  <c r="H27" s="1"/>
  <c r="H63" s="1"/>
  <c r="R20"/>
  <c r="R22" s="1"/>
  <c r="G27" i="48"/>
  <c r="G33" s="1"/>
  <c r="G15"/>
  <c r="Q9"/>
  <c r="E22" i="16"/>
  <c r="F43" i="14" s="1"/>
  <c r="F16"/>
  <c r="F27" s="1"/>
  <c r="J22" i="16"/>
  <c r="K43" i="14" s="1"/>
  <c r="K46" s="1"/>
  <c r="K61" s="1"/>
  <c r="K63" s="1"/>
  <c r="K13"/>
  <c r="K16" s="1"/>
  <c r="K27" s="1"/>
  <c r="J8" i="48"/>
  <c r="H27"/>
  <c r="H33" s="1"/>
  <c r="H15"/>
  <c r="F46" i="14"/>
  <c r="F61" s="1"/>
  <c r="I63"/>
  <c r="O13"/>
  <c r="N8" i="48"/>
  <c r="N26" s="1"/>
  <c r="F8"/>
  <c r="G13" i="14"/>
  <c r="J26" i="48" l="1"/>
  <c r="J33" s="1"/>
  <c r="J15"/>
  <c r="E26"/>
  <c r="E33" s="1"/>
  <c r="E15"/>
  <c r="F63" i="14"/>
  <c r="R13"/>
  <c r="F26" i="48"/>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<sst xmlns="http://schemas.openxmlformats.org/spreadsheetml/2006/main" count="2446" uniqueCount="918">
  <si>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</si>
  <si>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</si>
  <si>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</si>
  <si>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</si>
  <si>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</si>
  <si>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</si>
  <si>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</si>
  <si>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</si>
  <si>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</si>
  <si>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</si>
  <si>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</si>
  <si>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</si>
  <si>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</si>
  <si>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</si>
  <si>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</si>
  <si>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</si>
  <si>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</si>
  <si>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</si>
  <si>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</si>
  <si>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</si>
  <si>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</si>
  <si>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</si>
  <si>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</si>
  <si>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</si>
  <si>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</si>
  <si>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</si>
  <si>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</si>
  <si>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</si>
  <si>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</si>
  <si>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</si>
  <si>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</si>
  <si>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</si>
  <si>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</si>
  <si>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</si>
  <si>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</si>
  <si>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</si>
  <si>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</si>
  <si>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</si>
  <si>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</si>
  <si>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</si>
  <si>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</si>
  <si>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</si>
  <si>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</si>
  <si>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</si>
  <si>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</si>
  <si>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</si>
  <si>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</si>
  <si>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</si>
  <si>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</si>
  <si>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</si>
  <si>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</si>
  <si>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</si>
  <si>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</si>
  <si>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</si>
  <si>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</si>
  <si>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</si>
  <si>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</si>
  <si>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</si>
  <si>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</si>
  <si>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</si>
  <si>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</si>
  <si>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</si>
  <si>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</si>
  <si>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</si>
  <si>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</si>
  <si>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</si>
  <si>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</si>
  <si>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</si>
  <si>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</si>
  <si>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</si>
  <si>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</si>
  <si>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</si>
  <si>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</si>
  <si>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</si>
  <si>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</si>
  <si>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</si>
  <si>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</si>
  <si>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</si>
  <si>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</si>
  <si>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</si>
  <si>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</si>
  <si>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</si>
  <si>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</si>
  <si>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</si>
  <si>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</si>
  <si>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</si>
  <si>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</si>
  <si>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</si>
  <si>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</si>
  <si>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</si>
  <si>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</si>
  <si>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</si>
  <si>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</si>
  <si>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</si>
  <si>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</si>
  <si>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</si>
  <si>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</si>
  <si>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</si>
  <si>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</si>
  <si>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</si>
  <si>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</si>
  <si>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</si>
  <si>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</si>
  <si>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</si>
  <si>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</si>
  <si>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</si>
  <si>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</si>
  <si>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</si>
  <si>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</si>
  <si>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</si>
  <si>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</si>
  <si>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</si>
  <si>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</si>
  <si>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</si>
  <si>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</si>
  <si>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</si>
  <si>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</si>
  <si>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</si>
  <si>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</si>
  <si>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</si>
  <si>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</si>
  <si>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</si>
  <si>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</si>
  <si>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</si>
  <si>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</si>
  <si>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</si>
  <si>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</si>
  <si>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</si>
  <si>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</si>
  <si>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</si>
  <si>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</si>
  <si>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</si>
  <si>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</si>
  <si>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</si>
  <si>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</si>
  <si>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</si>
  <si>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</si>
  <si>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</si>
  <si>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</si>
  <si>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</si>
  <si>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</si>
  <si>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</si>
  <si>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</si>
  <si>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</si>
  <si>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</si>
  <si>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</si>
  <si>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</si>
  <si>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</si>
  <si>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</si>
  <si>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</si>
  <si>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</si>
  <si>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</si>
  <si>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</si>
  <si>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</si>
  <si>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</si>
  <si>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</si>
  <si>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</si>
  <si>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</si>
  <si>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</si>
  <si>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</si>
  <si>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</si>
  <si>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</si>
  <si>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</si>
  <si>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</si>
  <si>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</si>
  <si>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</si>
  <si>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</si>
  <si>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</si>
  <si>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</si>
  <si>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</si>
  <si>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</si>
  <si>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</si>
  <si>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</si>
  <si>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</si>
  <si>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</si>
  <si>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</si>
  <si>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</si>
  <si>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</si>
  <si>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</si>
  <si>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</si>
  <si>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</si>
  <si>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</si>
  <si>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</si>
  <si>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</si>
  <si>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</si>
  <si>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</si>
  <si>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</si>
  <si>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</si>
  <si>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</si>
  <si>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</si>
  <si>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</si>
  <si>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</si>
  <si>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</si>
  <si>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</si>
  <si>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</si>
  <si>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</si>
  <si>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</si>
  <si>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</si>
  <si>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</si>
  <si>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</si>
  <si>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</si>
  <si>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</si>
  <si>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</si>
  <si>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</si>
  <si>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</si>
  <si>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</si>
  <si>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</si>
  <si>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</si>
  <si>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</si>
  <si>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</si>
  <si>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</si>
  <si>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</si>
  <si>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</si>
  <si>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</si>
  <si>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</si>
  <si>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</si>
  <si>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</si>
  <si>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</si>
  <si>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</si>
  <si>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</si>
  <si>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</si>
  <si>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</si>
  <si>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</si>
  <si>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</si>
  <si>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</si>
  <si>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</si>
  <si>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</si>
  <si>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</si>
  <si>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</si>
  <si>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</si>
  <si>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</si>
  <si>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</si>
  <si>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</si>
  <si>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</si>
  <si>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</si>
  <si>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</si>
  <si>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</si>
  <si>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</si>
  <si>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</si>
  <si>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</si>
  <si>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</si>
  <si>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</si>
  <si>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</si>
  <si>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</si>
  <si>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</si>
  <si>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</si>
  <si>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</si>
  <si>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</si>
  <si>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</si>
  <si>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</si>
  <si>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</si>
  <si>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</si>
  <si>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</si>
  <si>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</si>
  <si>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</si>
  <si>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</si>
  <si>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</si>
  <si>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</si>
  <si>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</si>
  <si>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</si>
  <si>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</si>
  <si>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</si>
  <si>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</si>
  <si>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</si>
  <si>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</si>
  <si>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</si>
  <si>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</si>
  <si>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</si>
  <si>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</si>
  <si>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</si>
  <si>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</si>
  <si>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</si>
  <si>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</si>
  <si>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</si>
  <si>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</si>
  <si>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</si>
  <si>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</si>
  <si>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</si>
  <si>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</si>
  <si>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</si>
  <si>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</si>
  <si>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</si>
  <si>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</si>
  <si>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</si>
  <si>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</si>
  <si>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</si>
  <si>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</si>
  <si>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</si>
  <si>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</si>
  <si>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</si>
  <si>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</si>
  <si>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</si>
  <si>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</si>
  <si>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</si>
  <si>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</si>
  <si>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</si>
  <si>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</si>
  <si>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</si>
  <si>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</si>
  <si>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</si>
  <si>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</si>
  <si>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</si>
  <si>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</si>
  <si>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</si>
  <si>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</si>
  <si>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</si>
  <si>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</si>
  <si>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</si>
  <si>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</si>
  <si>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</si>
  <si>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</si>
  <si>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</si>
  <si>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</si>
  <si>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</si>
  <si>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</si>
  <si>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</si>
  <si>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</si>
  <si>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</si>
  <si>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</si>
  <si>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</si>
  <si>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</si>
  <si>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</si>
  <si>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</si>
  <si>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</si>
  <si>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</si>
  <si>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</si>
  <si>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</si>
  <si>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</si>
  <si>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</si>
  <si>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</si>
  <si>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</si>
  <si>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</si>
  <si>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</si>
  <si>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</si>
  <si>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</si>
  <si>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</si>
  <si>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</si>
  <si>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</si>
  <si>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</si>
  <si>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</si>
  <si>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</si>
  <si>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</si>
  <si>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</si>
  <si>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</si>
  <si>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</si>
  <si>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</si>
  <si>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</si>
  <si>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</si>
  <si>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</si>
  <si>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</si>
  <si>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</si>
  <si>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</si>
  <si>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</si>
  <si>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</si>
  <si>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</si>
  <si>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</si>
  <si>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</si>
  <si>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</si>
  <si>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</si>
  <si>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</si>
  <si>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</si>
  <si>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</si>
  <si>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</si>
  <si>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</si>
  <si>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</si>
  <si>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</si>
  <si>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</si>
  <si>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</si>
  <si>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</si>
  <si>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</si>
  <si>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</si>
  <si>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</si>
  <si>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</si>
  <si>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</si>
  <si>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</si>
  <si>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</si>
  <si>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</si>
  <si>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</si>
  <si>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</si>
  <si>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</si>
  <si>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</si>
  <si>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</si>
  <si>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</si>
  <si>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</si>
  <si>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</si>
  <si>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</si>
  <si>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</si>
  <si>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</si>
  <si>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</si>
  <si>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</si>
  <si>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</si>
  <si>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</si>
  <si>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</si>
  <si>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</si>
  <si>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</si>
  <si>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</si>
  <si>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</si>
  <si>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</si>
  <si>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</si>
  <si>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</si>
  <si>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</si>
  <si>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</si>
  <si>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</si>
  <si>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</si>
  <si>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</si>
  <si>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</si>
  <si>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</si>
  <si>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</si>
  <si>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</si>
  <si>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</si>
  <si>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</si>
  <si>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</si>
  <si>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</si>
  <si>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</si>
  <si>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</si>
  <si>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</si>
  <si>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</si>
  <si>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</si>
  <si>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</si>
  <si>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</si>
  <si>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</si>
  <si>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</si>
  <si>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</si>
  <si>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</si>
  <si>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</si>
  <si>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</si>
  <si>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</si>
  <si>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</si>
  <si>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</si>
  <si>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</si>
  <si>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</si>
  <si>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</si>
  <si>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</si>
  <si>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</si>
  <si>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</si>
  <si>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</si>
  <si>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</si>
  <si>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</si>
  <si>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</si>
  <si>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</si>
  <si>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</si>
  <si>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</si>
  <si>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</si>
  <si>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</si>
  <si>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</si>
  <si>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</si>
  <si>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</si>
  <si>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</si>
  <si>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</si>
  <si>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</si>
  <si>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</si>
  <si>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</si>
  <si>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</si>
  <si>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</si>
  <si>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</si>
  <si>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</si>
  <si>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</si>
  <si>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</si>
  <si>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</si>
  <si>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</si>
  <si>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</si>
  <si>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</si>
  <si>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</si>
  <si>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</si>
  <si>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</si>
  <si>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</si>
  <si>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</si>
  <si>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</si>
  <si>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</si>
  <si>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</si>
  <si>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</si>
  <si>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</si>
  <si>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</si>
  <si>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</si>
  <si>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</si>
  <si>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</si>
  <si>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</si>
  <si>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</si>
  <si>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</si>
  <si>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</si>
  <si>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</si>
  <si>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</si>
  <si>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</si>
  <si>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</si>
  <si>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</si>
  <si>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</si>
  <si>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</si>
  <si>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</si>
  <si>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</si>
  <si>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</si>
  <si>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</si>
  <si>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</si>
  <si>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</si>
  <si>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</si>
  <si>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</si>
  <si>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</si>
  <si>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</si>
  <si>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</si>
  <si>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</si>
  <si>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</si>
  <si>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</si>
  <si>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</si>
  <si>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</si>
  <si>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</si>
  <si>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</si>
  <si>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</si>
  <si>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</si>
  <si>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</si>
  <si>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</si>
  <si>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</si>
  <si>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</si>
  <si>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</si>
  <si>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</si>
  <si>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</si>
  <si>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</si>
  <si>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</si>
  <si>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</si>
  <si>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</si>
  <si>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</si>
  <si>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</si>
  <si>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</si>
  <si>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</si>
  <si>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</si>
  <si>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</si>
  <si>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</si>
  <si>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</si>
  <si>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</si>
  <si>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</si>
  <si>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</si>
  <si>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</si>
  <si>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</si>
  <si>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</si>
  <si>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</si>
  <si>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</si>
  <si>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</si>
  <si>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</si>
  <si>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</si>
  <si>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</si>
  <si>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</si>
  <si>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</si>
  <si>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</si>
  <si>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</si>
  <si>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</si>
  <si>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</si>
  <si>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</si>
  <si>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</si>
  <si>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</si>
  <si>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</si>
  <si>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</si>
  <si>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</si>
  <si>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</si>
  <si>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</si>
  <si>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</si>
  <si>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</si>
  <si>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</si>
  <si>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</si>
  <si>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</si>
  <si>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</si>
  <si>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</si>
  <si>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</si>
  <si>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</si>
  <si>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</si>
  <si>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</si>
  <si>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</si>
  <si>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</si>
  <si>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</si>
  <si>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</si>
  <si>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</si>
  <si>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</si>
  <si>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</si>
  <si>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</si>
  <si>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</si>
  <si>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</si>
  <si>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</si>
  <si>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</si>
  <si>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</si>
  <si>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</si>
  <si>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</si>
  <si>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</si>
  <si>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</si>
  <si>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</si>
  <si>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</si>
  <si>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</si>
  <si>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</si>
  <si>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</si>
  <si>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</si>
  <si>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</si>
  <si>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</si>
  <si>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</si>
  <si>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</si>
  <si>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</si>
  <si>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</si>
  <si>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</si>
  <si>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</si>
  <si>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</si>
  <si>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</si>
  <si>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</si>
  <si>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</si>
  <si>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</si>
  <si>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</si>
  <si>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</si>
  <si>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</si>
  <si>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</si>
  <si>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</si>
  <si>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</si>
  <si>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</si>
  <si>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</si>
  <si>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</si>
  <si>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</si>
  <si>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</si>
  <si>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</si>
  <si>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</si>
  <si>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</si>
  <si>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</si>
  <si>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</si>
  <si>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</si>
  <si>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</si>
  <si>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</si>
  <si>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</si>
  <si>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</si>
  <si>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</si>
  <si>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</si>
  <si>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</si>
  <si>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</si>
  <si>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</si>
  <si>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</si>
  <si>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</si>
  <si>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</si>
  <si>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</si>
  <si>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</si>
  <si>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</si>
  <si>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</si>
  <si>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</si>
  <si>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</si>
  <si>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</si>
  <si>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</si>
  <si>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</si>
  <si>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</si>
  <si>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</si>
  <si>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</si>
  <si>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</si>
  <si>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</si>
  <si>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</si>
  <si>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</si>
  <si>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</si>
  <si>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</si>
  <si>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</si>
  <si>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</si>
  <si>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</si>
  <si>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</si>
  <si>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</si>
  <si>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</si>
  <si>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</si>
  <si>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</si>
  <si>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</si>
  <si>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</si>
  <si>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</si>
  <si>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</si>
  <si>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</si>
  <si>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</si>
  <si>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</si>
  <si>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</si>
  <si>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</si>
  <si>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</si>
  <si>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</si>
  <si>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</si>
  <si>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</si>
  <si>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</si>
  <si>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</si>
  <si>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</si>
  <si>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</si>
  <si>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</si>
  <si>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</si>
  <si>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</si>
  <si>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</si>
  <si>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</si>
  <si>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</si>
  <si>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</si>
  <si>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</si>
  <si>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</si>
  <si>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</si>
  <si>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</si>
  <si>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</si>
  <si>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</si>
  <si>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</si>
  <si>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</si>
  <si>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</si>
  <si>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</si>
  <si>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</si>
  <si>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</si>
  <si>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</si>
  <si>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</si>
  <si>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</si>
  <si>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</si>
  <si>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</si>
  <si>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</si>
  <si>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</si>
  <si>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</si>
  <si>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</si>
  <si>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</si>
  <si>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</si>
  <si>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</si>
  <si>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</si>
  <si>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</si>
  <si>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</si>
  <si>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</si>
  <si>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</si>
  <si>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</si>
  <si>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</si>
  <si>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</si>
  <si>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</si>
  <si>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</si>
  <si>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</si>
  <si>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</si>
  <si>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</si>
  <si>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</si>
  <si>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</si>
  <si>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</si>
  <si>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</si>
  <si>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</si>
  <si>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</si>
  <si>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</si>
  <si>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</si>
  <si>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</si>
  <si>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</si>
  <si>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</si>
  <si>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</si>
  <si>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</si>
  <si>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</si>
  <si>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</si>
  <si>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</si>
  <si>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</si>
  <si>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</si>
  <si>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</si>
  <si>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</si>
  <si>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</si>
  <si>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</si>
  <si>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</si>
  <si>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</si>
  <si>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</si>
  <si>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</si>
  <si>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</si>
  <si>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</si>
  <si>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</si>
  <si>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</si>
  <si>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</si>
  <si>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</si>
  <si>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</si>
  <si>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</si>
  <si>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</si>
  <si>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</si>
  <si>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</si>
  <si>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</si>
  <si>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</si>
  <si>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</si>
  <si>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</si>
  <si>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</si>
  <si>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</si>
  <si>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</si>
  <si>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</si>
  <si>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</si>
  <si>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</si>
  <si>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</si>
  <si>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</si>
  <si>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</si>
  <si>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</si>
  <si>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</si>
  <si>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</si>
  <si>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</si>
  <si>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</si>
  <si>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</si>
  <si>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</si>
  <si>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</si>
  <si>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</si>
  <si>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</si>
  <si>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</si>
  <si>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</si>
  <si>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</si>
  <si>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</si>
  <si>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</si>
  <si>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</si>
  <si>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</si>
  <si>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</si>
  <si>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</si>
  <si>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</si>
  <si>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</si>
  <si>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</si>
  <si>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</si>
  <si>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</si>
  <si>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</si>
  <si>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</si>
  <si>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</si>
  <si>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</si>
  <si>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</si>
  <si>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</si>
  <si>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</si>
  <si>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</si>
  <si>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</si>
  <si>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</si>
  <si>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</si>
  <si>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</si>
  <si>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</si>
  <si>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</si>
  <si>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</si>
  <si>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</si>
  <si>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</si>
  <si>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</si>
  <si>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</si>
  <si>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</si>
  <si>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</si>
  <si>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</si>
  <si>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</si>
  <si>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</si>
  <si>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</si>
  <si>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</si>
  <si>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</si>
  <si>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</si>
  <si>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</si>
  <si>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</si>
  <si>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</si>
  <si>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</si>
  <si>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</si>
  <si>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</si>
  <si>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</si>
  <si>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</si>
  <si>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</si>
  <si>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</si>
  <si>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</si>
  <si>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</si>
  <si>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</si>
  <si>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</si>
  <si>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</si>
  <si>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</si>
  <si>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</si>
  <si>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</si>
  <si>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</si>
  <si>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</si>
  <si>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</si>
  <si>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</si>
  <si>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</si>
  <si>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</si>
  <si>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</si>
  <si>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</si>
  <si>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</si>
  <si>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</si>
  <si>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</si>
  <si>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</si>
  <si>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</si>
  <si>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</si>
  <si>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</si>
  <si>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</si>
  <si>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</si>
  <si>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</si>
  <si>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</si>
  <si>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</si>
  <si>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</si>
  <si>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</si>
  <si>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</si>
  <si>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</si>
  <si>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</si>
  <si>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</si>
  <si>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</si>
  <si>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</si>
  <si>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</si>
  <si>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</si>
  <si>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</si>
  <si>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</si>
  <si>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</si>
  <si>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</si>
  <si>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</si>
  <si>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</si>
  <si>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</si>
  <si>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</si>
  <si>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</si>
  <si>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</si>
  <si>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</si>
  <si>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</si>
  <si>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</si>
  <si>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</si>
  <si>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</si>
  <si>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</si>
  <si>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</si>
  <si>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</si>
  <si>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</si>
  <si>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</si>
  <si>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</si>
  <si>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</si>
  <si>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</si>
  <si>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</si>
  <si>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</si>
  <si>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</si>
  <si>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</si>
  <si>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</si>
  <si>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</si>
  <si>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</si>
  <si>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2014_07</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</si>
  <si>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</si>
  <si>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</si>
  <si>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</si>
  <si>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13021</t>
  </si>
  <si>
    <t>MEERHOUT</t>
  </si>
  <si>
    <t>Paarden&amp;pony's 200 - 600 kg</t>
  </si>
  <si>
    <t>Paarden&amp;pony's &lt; 200 kg</t>
  </si>
  <si>
    <t>referentietaak LNE (2017); Jaarverslag De Lijn (2014)</t>
  </si>
  <si>
    <t>op basis van VEA (maart 2018) en Inventaris Hernieuwbare Energiebronnen (juni 2018)</t>
  </si>
  <si>
    <t>VEA (maart 2016)</t>
  </si>
  <si>
    <t>VEA (juni 2018)</t>
  </si>
  <si>
    <t>Biogas Boonen BVBA</t>
  </si>
  <si>
    <t>De Donken 10 , 2450 Meerhout</t>
  </si>
  <si>
    <t>WKK-0376 Biogas Boonen</t>
  </si>
  <si>
    <t>interne verbrandingsmotor</t>
  </si>
  <si>
    <t>WKK interne verbrandinsgmotor (gas)</t>
  </si>
  <si>
    <t>IVEKA</t>
  </si>
  <si>
    <t>WKK-0563 Biogas Boonen B</t>
  </si>
  <si>
    <t>Biolectric nv</t>
  </si>
  <si>
    <t>Jan de Malschelaan 4 B, 9140 Temse</t>
  </si>
  <si>
    <t>WKK-0439 Marien</t>
  </si>
  <si>
    <t>Genelaar 103-105 , 2450 Meerhout</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</si>
</sst>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93205.825201938569</c:v>
                </c:pt>
                <c:pt idx="1">
                  <c:v>45668.75473575262</c:v>
                </c:pt>
                <c:pt idx="2">
                  <c:v>416.49599999999998</c:v>
                </c:pt>
                <c:pt idx="3">
                  <c:v>18374.08783075395</c:v>
                </c:pt>
                <c:pt idx="4">
                  <c:v>6604.1931052422751</c:v>
                </c:pt>
                <c:pt idx="5">
                  <c:v>84834.420705220036</c:v>
                </c:pt>
                <c:pt idx="6">
                  <c:v>651.87770838032202</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2034816"/>
        <c:axId val="182036352"/>
      </c:barChart>
      <c:catAx>
        <c:axId val="182034816"/>
        <c:scaling>
          <c:orientation val="minMax"/>
        </c:scaling>
        <c:axPos val="b"/>
        <c:numFmt formatCode="General" sourceLinked="0"/>
        <c:tickLblPos val="nextTo"/>
        <c:crossAx val="182036352"/>
        <c:crosses val="autoZero"/>
        <c:auto val="1"/>
        <c:lblAlgn val="ctr"/>
        <c:lblOffset val="100"/>
      </c:catAx>
      <c:valAx>
        <c:axId val="182036352"/>
        <c:scaling>
          <c:orientation val="minMax"/>
        </c:scaling>
        <c:axPos val="l"/>
        <c:majorGridlines/>
        <c:numFmt formatCode="#,##0" sourceLinked="1"/>
        <c:tickLblPos val="nextTo"/>
        <c:crossAx val="18203481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93205.825201938569</c:v>
                </c:pt>
                <c:pt idx="1">
                  <c:v>45668.75473575262</c:v>
                </c:pt>
                <c:pt idx="2">
                  <c:v>416.49599999999998</c:v>
                </c:pt>
                <c:pt idx="3">
                  <c:v>18374.08783075395</c:v>
                </c:pt>
                <c:pt idx="4">
                  <c:v>6604.1931052422751</c:v>
                </c:pt>
                <c:pt idx="5">
                  <c:v>84834.420705220036</c:v>
                </c:pt>
                <c:pt idx="6">
                  <c:v>651.87770838032202</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15773.170718100298</c:v>
                </c:pt>
                <c:pt idx="2">
                  <c:v>6281.5801813266835</c:v>
                </c:pt>
                <c:pt idx="3">
                  <c:v>39.607207139628471</c:v>
                </c:pt>
                <c:pt idx="4">
                  <c:v>1317.3273348256778</c:v>
                </c:pt>
                <c:pt idx="5">
                  <c:v>987.00582056733936</c:v>
                </c:pt>
                <c:pt idx="6">
                  <c:v>21266.582973384306</c:v>
                </c:pt>
                <c:pt idx="7">
                  <c:v>164.66119991946678</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2402048"/>
        <c:axId val="182465280"/>
      </c:barChart>
      <c:catAx>
        <c:axId val="182402048"/>
        <c:scaling>
          <c:orientation val="minMax"/>
        </c:scaling>
        <c:axPos val="b"/>
        <c:numFmt formatCode="General" sourceLinked="0"/>
        <c:tickLblPos val="nextTo"/>
        <c:crossAx val="182465280"/>
        <c:crosses val="autoZero"/>
        <c:auto val="1"/>
        <c:lblAlgn val="ctr"/>
        <c:lblOffset val="100"/>
      </c:catAx>
      <c:valAx>
        <c:axId val="182465280"/>
        <c:scaling>
          <c:orientation val="minMax"/>
        </c:scaling>
        <c:axPos val="l"/>
        <c:majorGridlines/>
        <c:numFmt formatCode="#,##0" sourceLinked="1"/>
        <c:tickLblPos val="nextTo"/>
        <c:crossAx val="18240204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15773.170718100298</c:v>
                </c:pt>
                <c:pt idx="2">
                  <c:v>6281.5801813266835</c:v>
                </c:pt>
                <c:pt idx="3">
                  <c:v>39.607207139628471</c:v>
                </c:pt>
                <c:pt idx="4">
                  <c:v>1317.3273348256778</c:v>
                </c:pt>
                <c:pt idx="5">
                  <c:v>987.00582056733936</c:v>
                </c:pt>
                <c:pt idx="6">
                  <c:v>21266.582973384306</c:v>
                </c:pt>
                <c:pt idx="7">
                  <c:v>164.66119991946678</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895</v>
      </c>
      <c r="B4" s="106"/>
      <c r="C4" s="107"/>
    </row>
    <row r="5" spans="1:7" s="414" customFormat="1" ht="15.75" customHeight="1">
      <c r="A5" s="411" t="s">
        <v>0</v>
      </c>
      <c r="B5" s="412"/>
      <c r="C5" s="413"/>
    </row>
    <row r="6" spans="1:7" s="414" customFormat="1" ht="15" customHeight="1">
      <c r="A6" s="415" t="str">
        <f>txtNIS</f>
        <v>13021</v>
      </c>
      <c r="B6" s="416"/>
      <c r="C6" s="417"/>
    </row>
    <row r="7" spans="1:7" s="414" customFormat="1" ht="15.75" customHeight="1">
      <c r="A7" s="418" t="str">
        <f>txtMunicipality</f>
        <v>MEERHOUT</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9.5096248558517907E-2</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9.5096248558517907E-2</v>
      </c>
      <c r="C29" s="526">
        <f ca="1">'EF ele_warmte'!B22</f>
        <v>0</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13021</v>
      </c>
      <c r="B1" s="332"/>
      <c r="C1" s="332"/>
      <c r="D1" s="332"/>
      <c r="E1" s="332"/>
      <c r="F1" s="333"/>
    </row>
    <row r="3" spans="1:6" ht="19.5">
      <c r="A3" s="335" t="s">
        <v>0</v>
      </c>
    </row>
    <row r="4" spans="1:6" ht="22.5">
      <c r="A4" s="1305" t="s">
        <v>899</v>
      </c>
    </row>
    <row r="5" spans="1:6" ht="22.5">
      <c r="A5" s="1305" t="s">
        <v>900</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4174</v>
      </c>
      <c r="C9" s="342">
        <v>4393</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1809</v>
      </c>
    </row>
    <row r="15" spans="1:6">
      <c r="A15" s="348" t="s">
        <v>184</v>
      </c>
      <c r="B15" s="334">
        <v>1482</v>
      </c>
    </row>
    <row r="16" spans="1:6">
      <c r="A16" s="348" t="s">
        <v>6</v>
      </c>
      <c r="B16" s="334">
        <v>2184</v>
      </c>
    </row>
    <row r="17" spans="1:6">
      <c r="A17" s="348" t="s">
        <v>7</v>
      </c>
      <c r="B17" s="334">
        <v>96</v>
      </c>
    </row>
    <row r="18" spans="1:6">
      <c r="A18" s="348" t="s">
        <v>8</v>
      </c>
      <c r="B18" s="334">
        <v>1242</v>
      </c>
    </row>
    <row r="19" spans="1:6">
      <c r="A19" s="348" t="s">
        <v>9</v>
      </c>
      <c r="B19" s="334">
        <v>1082</v>
      </c>
    </row>
    <row r="20" spans="1:6">
      <c r="A20" s="348" t="s">
        <v>10</v>
      </c>
      <c r="B20" s="334">
        <v>482</v>
      </c>
    </row>
    <row r="21" spans="1:6">
      <c r="A21" s="348" t="s">
        <v>11</v>
      </c>
      <c r="B21" s="334">
        <v>0</v>
      </c>
    </row>
    <row r="22" spans="1:6">
      <c r="A22" s="348" t="s">
        <v>12</v>
      </c>
      <c r="B22" s="334">
        <v>3285</v>
      </c>
    </row>
    <row r="23" spans="1:6">
      <c r="A23" s="348" t="s">
        <v>13</v>
      </c>
      <c r="B23" s="334">
        <v>0</v>
      </c>
    </row>
    <row r="24" spans="1:6">
      <c r="A24" s="348" t="s">
        <v>14</v>
      </c>
      <c r="B24" s="334">
        <v>0</v>
      </c>
    </row>
    <row r="25" spans="1:6">
      <c r="A25" s="348" t="s">
        <v>15</v>
      </c>
      <c r="B25" s="334">
        <v>34</v>
      </c>
    </row>
    <row r="26" spans="1:6">
      <c r="A26" s="348" t="s">
        <v>16</v>
      </c>
      <c r="B26" s="334">
        <v>367</v>
      </c>
    </row>
    <row r="27" spans="1:6">
      <c r="A27" s="348" t="s">
        <v>17</v>
      </c>
      <c r="B27" s="334">
        <v>2</v>
      </c>
    </row>
    <row r="28" spans="1:6" s="356" customFormat="1">
      <c r="A28" s="355" t="s">
        <v>18</v>
      </c>
      <c r="B28" s="355">
        <v>74534</v>
      </c>
    </row>
    <row r="29" spans="1:6">
      <c r="A29" s="355" t="s">
        <v>901</v>
      </c>
      <c r="B29" s="355">
        <v>181</v>
      </c>
      <c r="C29" s="356"/>
      <c r="D29" s="356"/>
      <c r="E29" s="356"/>
      <c r="F29" s="356"/>
    </row>
    <row r="30" spans="1:6">
      <c r="A30" s="341" t="s">
        <v>902</v>
      </c>
      <c r="B30" s="341">
        <v>16</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148861.056409571</v>
      </c>
      <c r="E38" s="334">
        <v>2</v>
      </c>
      <c r="F38" s="334">
        <v>12166.75</v>
      </c>
    </row>
    <row r="39" spans="1:6">
      <c r="A39" s="348" t="s">
        <v>30</v>
      </c>
      <c r="B39" s="348" t="s">
        <v>31</v>
      </c>
      <c r="C39" s="334">
        <v>2086</v>
      </c>
      <c r="D39" s="334">
        <v>30577002.295651302</v>
      </c>
      <c r="E39" s="334">
        <v>4103</v>
      </c>
      <c r="F39" s="334">
        <v>14434085</v>
      </c>
    </row>
    <row r="40" spans="1:6">
      <c r="A40" s="348" t="s">
        <v>30</v>
      </c>
      <c r="B40" s="348" t="s">
        <v>29</v>
      </c>
      <c r="C40" s="334">
        <v>0</v>
      </c>
      <c r="D40" s="334">
        <v>0</v>
      </c>
      <c r="E40" s="334">
        <v>0</v>
      </c>
      <c r="F40" s="334">
        <v>0</v>
      </c>
    </row>
    <row r="41" spans="1:6">
      <c r="A41" s="348" t="s">
        <v>32</v>
      </c>
      <c r="B41" s="348" t="s">
        <v>33</v>
      </c>
      <c r="C41" s="334">
        <v>17</v>
      </c>
      <c r="D41" s="334">
        <v>359759.66491331003</v>
      </c>
      <c r="E41" s="334">
        <v>69</v>
      </c>
      <c r="F41" s="334">
        <v>553390.1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6</v>
      </c>
      <c r="F44" s="334">
        <v>803067.8</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17</v>
      </c>
      <c r="D48" s="334">
        <v>953739.674017607</v>
      </c>
      <c r="E48" s="334">
        <v>30</v>
      </c>
      <c r="F48" s="334">
        <v>1484151</v>
      </c>
    </row>
    <row r="49" spans="1:6">
      <c r="A49" s="348" t="s">
        <v>32</v>
      </c>
      <c r="B49" s="348" t="s">
        <v>40</v>
      </c>
      <c r="C49" s="334">
        <v>0</v>
      </c>
      <c r="D49" s="334">
        <v>0</v>
      </c>
      <c r="E49" s="334">
        <v>0</v>
      </c>
      <c r="F49" s="334">
        <v>0</v>
      </c>
    </row>
    <row r="50" spans="1:6">
      <c r="A50" s="348" t="s">
        <v>32</v>
      </c>
      <c r="B50" s="348" t="s">
        <v>41</v>
      </c>
      <c r="C50" s="334">
        <v>0</v>
      </c>
      <c r="D50" s="334">
        <v>0</v>
      </c>
      <c r="E50" s="334">
        <v>8</v>
      </c>
      <c r="F50" s="334">
        <v>237810.7</v>
      </c>
    </row>
    <row r="51" spans="1:6">
      <c r="A51" s="348" t="s">
        <v>42</v>
      </c>
      <c r="B51" s="348" t="s">
        <v>43</v>
      </c>
      <c r="C51" s="334">
        <v>3</v>
      </c>
      <c r="D51" s="334">
        <v>43218.075813448297</v>
      </c>
      <c r="E51" s="334">
        <v>61</v>
      </c>
      <c r="F51" s="334">
        <v>1465073</v>
      </c>
    </row>
    <row r="52" spans="1:6">
      <c r="A52" s="348" t="s">
        <v>42</v>
      </c>
      <c r="B52" s="348" t="s">
        <v>29</v>
      </c>
      <c r="C52" s="334">
        <v>5</v>
      </c>
      <c r="D52" s="334">
        <v>112562.473802915</v>
      </c>
      <c r="E52" s="334">
        <v>7</v>
      </c>
      <c r="F52" s="334">
        <v>89930.26</v>
      </c>
    </row>
    <row r="53" spans="1:6">
      <c r="A53" s="348" t="s">
        <v>44</v>
      </c>
      <c r="B53" s="348" t="s">
        <v>45</v>
      </c>
      <c r="C53" s="334">
        <v>31</v>
      </c>
      <c r="D53" s="334">
        <v>1105445.8732886601</v>
      </c>
      <c r="E53" s="334">
        <v>168</v>
      </c>
      <c r="F53" s="334">
        <v>1012540</v>
      </c>
    </row>
    <row r="54" spans="1:6">
      <c r="A54" s="348" t="s">
        <v>46</v>
      </c>
      <c r="B54" s="348" t="s">
        <v>47</v>
      </c>
      <c r="C54" s="334">
        <v>0</v>
      </c>
      <c r="D54" s="334">
        <v>0</v>
      </c>
      <c r="E54" s="334">
        <v>1</v>
      </c>
      <c r="F54" s="334">
        <v>416496</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36</v>
      </c>
      <c r="D57" s="334">
        <v>1994074.95892205</v>
      </c>
      <c r="E57" s="334">
        <v>50</v>
      </c>
      <c r="F57" s="334">
        <v>405410.7</v>
      </c>
    </row>
    <row r="58" spans="1:6">
      <c r="A58" s="348" t="s">
        <v>49</v>
      </c>
      <c r="B58" s="348" t="s">
        <v>51</v>
      </c>
      <c r="C58" s="334">
        <v>0</v>
      </c>
      <c r="D58" s="334">
        <v>0</v>
      </c>
      <c r="E58" s="334">
        <v>6</v>
      </c>
      <c r="F58" s="334">
        <v>27706.63</v>
      </c>
    </row>
    <row r="59" spans="1:6">
      <c r="A59" s="348" t="s">
        <v>49</v>
      </c>
      <c r="B59" s="348" t="s">
        <v>52</v>
      </c>
      <c r="C59" s="334">
        <v>34</v>
      </c>
      <c r="D59" s="334">
        <v>1275554.5139434901</v>
      </c>
      <c r="E59" s="334">
        <v>85</v>
      </c>
      <c r="F59" s="334">
        <v>2551155</v>
      </c>
    </row>
    <row r="60" spans="1:6">
      <c r="A60" s="348" t="s">
        <v>49</v>
      </c>
      <c r="B60" s="348" t="s">
        <v>53</v>
      </c>
      <c r="C60" s="334">
        <v>23</v>
      </c>
      <c r="D60" s="334">
        <v>937248.68235045206</v>
      </c>
      <c r="E60" s="334">
        <v>45</v>
      </c>
      <c r="F60" s="334">
        <v>1061069</v>
      </c>
    </row>
    <row r="61" spans="1:6">
      <c r="A61" s="348" t="s">
        <v>49</v>
      </c>
      <c r="B61" s="348" t="s">
        <v>54</v>
      </c>
      <c r="C61" s="334">
        <v>32</v>
      </c>
      <c r="D61" s="334">
        <v>687686.01685041701</v>
      </c>
      <c r="E61" s="334">
        <v>94</v>
      </c>
      <c r="F61" s="334">
        <v>23279517</v>
      </c>
    </row>
    <row r="62" spans="1:6">
      <c r="A62" s="348" t="s">
        <v>49</v>
      </c>
      <c r="B62" s="348" t="s">
        <v>55</v>
      </c>
      <c r="C62" s="334">
        <v>4</v>
      </c>
      <c r="D62" s="334">
        <v>186046.48921348201</v>
      </c>
      <c r="E62" s="334">
        <v>4</v>
      </c>
      <c r="F62" s="334">
        <v>59415.199999999997</v>
      </c>
    </row>
    <row r="63" spans="1:6">
      <c r="A63" s="348" t="s">
        <v>49</v>
      </c>
      <c r="B63" s="348" t="s">
        <v>29</v>
      </c>
      <c r="C63" s="334">
        <v>64</v>
      </c>
      <c r="D63" s="334">
        <v>9269467.3024425991</v>
      </c>
      <c r="E63" s="334">
        <v>89</v>
      </c>
      <c r="F63" s="334">
        <v>1092028</v>
      </c>
    </row>
    <row r="64" spans="1:6">
      <c r="A64" s="348" t="s">
        <v>56</v>
      </c>
      <c r="B64" s="348" t="s">
        <v>57</v>
      </c>
      <c r="C64" s="334">
        <v>0</v>
      </c>
      <c r="D64" s="334">
        <v>0</v>
      </c>
      <c r="E64" s="334">
        <v>0</v>
      </c>
      <c r="F64" s="334">
        <v>0</v>
      </c>
    </row>
    <row r="65" spans="1:6">
      <c r="A65" s="348" t="s">
        <v>56</v>
      </c>
      <c r="B65" s="348" t="s">
        <v>29</v>
      </c>
      <c r="C65" s="334">
        <v>2</v>
      </c>
      <c r="D65" s="334">
        <v>23354.140406186601</v>
      </c>
      <c r="E65" s="334">
        <v>2</v>
      </c>
      <c r="F65" s="334">
        <v>6479.1180000000004</v>
      </c>
    </row>
    <row r="66" spans="1:6">
      <c r="A66" s="348" t="s">
        <v>56</v>
      </c>
      <c r="B66" s="348" t="s">
        <v>58</v>
      </c>
      <c r="C66" s="334">
        <v>0</v>
      </c>
      <c r="D66" s="334">
        <v>0</v>
      </c>
      <c r="E66" s="334">
        <v>8</v>
      </c>
      <c r="F66" s="334">
        <v>81604</v>
      </c>
    </row>
    <row r="67" spans="1:6">
      <c r="A67" s="355" t="s">
        <v>56</v>
      </c>
      <c r="B67" s="355" t="s">
        <v>59</v>
      </c>
      <c r="C67" s="334">
        <v>0</v>
      </c>
      <c r="D67" s="334">
        <v>0</v>
      </c>
      <c r="E67" s="334">
        <v>0</v>
      </c>
      <c r="F67" s="334">
        <v>0</v>
      </c>
    </row>
    <row r="68" spans="1:6">
      <c r="A68" s="341" t="s">
        <v>56</v>
      </c>
      <c r="B68" s="341" t="s">
        <v>60</v>
      </c>
      <c r="C68" s="334">
        <v>0</v>
      </c>
      <c r="D68" s="334">
        <v>0</v>
      </c>
      <c r="E68" s="334">
        <v>6</v>
      </c>
      <c r="F68" s="334">
        <v>44775.77</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53748426</v>
      </c>
      <c r="E73" s="476">
        <v>59953451.974507272</v>
      </c>
    </row>
    <row r="74" spans="1:6">
      <c r="A74" s="348" t="s">
        <v>64</v>
      </c>
      <c r="B74" s="348" t="s">
        <v>714</v>
      </c>
      <c r="C74" s="1311" t="s">
        <v>716</v>
      </c>
      <c r="D74" s="476">
        <v>1878239.356517724</v>
      </c>
      <c r="E74" s="476">
        <v>2141529.480655848</v>
      </c>
    </row>
    <row r="75" spans="1:6">
      <c r="A75" s="348" t="s">
        <v>65</v>
      </c>
      <c r="B75" s="348" t="s">
        <v>713</v>
      </c>
      <c r="C75" s="1311" t="s">
        <v>717</v>
      </c>
      <c r="D75" s="476">
        <v>8073478</v>
      </c>
      <c r="E75" s="476">
        <v>9056888.2576400284</v>
      </c>
    </row>
    <row r="76" spans="1:6">
      <c r="A76" s="348" t="s">
        <v>65</v>
      </c>
      <c r="B76" s="348" t="s">
        <v>714</v>
      </c>
      <c r="C76" s="1311" t="s">
        <v>718</v>
      </c>
      <c r="D76" s="476">
        <v>623954.35651772411</v>
      </c>
      <c r="E76" s="476">
        <v>725011.42172522785</v>
      </c>
    </row>
    <row r="77" spans="1:6">
      <c r="A77" s="348" t="s">
        <v>66</v>
      </c>
      <c r="B77" s="348" t="s">
        <v>713</v>
      </c>
      <c r="C77" s="1311" t="s">
        <v>719</v>
      </c>
      <c r="D77" s="476">
        <v>30580241</v>
      </c>
      <c r="E77" s="476">
        <v>34489560.665670589</v>
      </c>
    </row>
    <row r="78" spans="1:6">
      <c r="A78" s="341" t="s">
        <v>66</v>
      </c>
      <c r="B78" s="341" t="s">
        <v>714</v>
      </c>
      <c r="C78" s="341" t="s">
        <v>720</v>
      </c>
      <c r="D78" s="1307">
        <v>7010910</v>
      </c>
      <c r="E78" s="1307">
        <v>7506235.7742999205</v>
      </c>
      <c r="F78" s="342"/>
    </row>
    <row r="79" spans="1:6">
      <c r="A79" s="362"/>
      <c r="B79" s="362"/>
    </row>
    <row r="80" spans="1:6" ht="15.75" thickBot="1">
      <c r="A80" s="362"/>
      <c r="B80" s="362"/>
    </row>
    <row r="81" spans="1:6" ht="20.25" thickBot="1">
      <c r="A81" s="336" t="s">
        <v>334</v>
      </c>
      <c r="B81" s="363" t="s">
        <v>394</v>
      </c>
      <c r="C81" s="337" t="s">
        <v>903</v>
      </c>
      <c r="D81" s="337"/>
      <c r="E81" s="337"/>
      <c r="F81" s="344"/>
    </row>
    <row r="82" spans="1:6" ht="16.5" thickTop="1" thickBot="1">
      <c r="A82" s="345" t="s">
        <v>335</v>
      </c>
      <c r="B82" s="361">
        <v>2014</v>
      </c>
      <c r="C82" s="361">
        <v>2020</v>
      </c>
      <c r="D82" s="346"/>
      <c r="E82" s="346"/>
      <c r="F82" s="347"/>
    </row>
    <row r="83" spans="1:6">
      <c r="A83" s="348" t="s">
        <v>336</v>
      </c>
      <c r="B83" s="476">
        <v>174197.28696455187</v>
      </c>
      <c r="C83" s="476">
        <v>172223.61715852589</v>
      </c>
    </row>
    <row r="84" spans="1:6">
      <c r="A84" s="341" t="s">
        <v>337</v>
      </c>
      <c r="B84" s="1307">
        <v>0</v>
      </c>
      <c r="C84" s="1307">
        <v>0</v>
      </c>
      <c r="D84" s="342"/>
      <c r="E84" s="342"/>
      <c r="F84" s="342"/>
    </row>
    <row r="85" spans="1:6">
      <c r="A85" s="362"/>
      <c r="B85" s="364"/>
    </row>
    <row r="86" spans="1:6" ht="15.75" thickBot="1">
      <c r="A86" s="343"/>
    </row>
    <row r="87" spans="1:6" ht="20.25" thickBot="1">
      <c r="A87" s="336" t="s">
        <v>67</v>
      </c>
      <c r="B87" s="337" t="s">
        <v>394</v>
      </c>
      <c r="C87" s="337" t="s">
        <v>904</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308">
        <v>15767.465651714323</v>
      </c>
    </row>
    <row r="91" spans="1:6">
      <c r="A91" s="348" t="s">
        <v>68</v>
      </c>
      <c r="B91" s="334">
        <v>2949.6349667858271</v>
      </c>
    </row>
    <row r="92" spans="1:6">
      <c r="A92" s="341" t="s">
        <v>69</v>
      </c>
      <c r="B92" s="342">
        <v>2134.0632327483745</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823</v>
      </c>
    </row>
    <row r="98" spans="1:6">
      <c r="A98" s="348" t="s">
        <v>72</v>
      </c>
      <c r="B98" s="334">
        <v>2</v>
      </c>
    </row>
    <row r="99" spans="1:6">
      <c r="A99" s="348" t="s">
        <v>73</v>
      </c>
      <c r="B99" s="334">
        <v>34</v>
      </c>
    </row>
    <row r="100" spans="1:6">
      <c r="A100" s="348" t="s">
        <v>74</v>
      </c>
      <c r="B100" s="334">
        <v>92</v>
      </c>
    </row>
    <row r="101" spans="1:6">
      <c r="A101" s="348" t="s">
        <v>75</v>
      </c>
      <c r="B101" s="334">
        <v>58</v>
      </c>
    </row>
    <row r="102" spans="1:6">
      <c r="A102" s="348" t="s">
        <v>76</v>
      </c>
      <c r="B102" s="334">
        <v>26</v>
      </c>
    </row>
    <row r="103" spans="1:6">
      <c r="A103" s="348" t="s">
        <v>77</v>
      </c>
      <c r="B103" s="334">
        <v>149</v>
      </c>
    </row>
    <row r="104" spans="1:6">
      <c r="A104" s="348" t="s">
        <v>78</v>
      </c>
      <c r="B104" s="334">
        <v>2312</v>
      </c>
    </row>
    <row r="105" spans="1:6">
      <c r="A105" s="341" t="s">
        <v>79</v>
      </c>
      <c r="B105" s="341">
        <v>0</v>
      </c>
      <c r="C105" s="342"/>
      <c r="D105" s="342"/>
      <c r="E105" s="342"/>
      <c r="F105" s="342"/>
    </row>
    <row r="106" spans="1:6">
      <c r="A106" s="343"/>
    </row>
    <row r="107" spans="1:6" ht="15.75" thickBot="1">
      <c r="A107" s="343"/>
    </row>
    <row r="108" spans="1:6" ht="20.25" thickBot="1">
      <c r="A108" s="336" t="s">
        <v>661</v>
      </c>
      <c r="B108" s="337" t="s">
        <v>394</v>
      </c>
      <c r="C108" s="337" t="s">
        <v>905</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309" t="s">
        <v>663</v>
      </c>
      <c r="B111" s="1310">
        <v>0</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12</v>
      </c>
      <c r="C123" s="334">
        <v>10</v>
      </c>
    </row>
    <row r="124" spans="1:6">
      <c r="A124" s="341" t="s">
        <v>89</v>
      </c>
      <c r="B124" s="334">
        <v>0</v>
      </c>
      <c r="C124" s="334">
        <v>2</v>
      </c>
      <c r="D124" s="342"/>
      <c r="E124" s="342"/>
      <c r="F124" s="342"/>
    </row>
    <row r="125" spans="1:6">
      <c r="A125" s="362"/>
    </row>
    <row r="126" spans="1:6" ht="15.75" thickBot="1">
      <c r="A126" s="362"/>
    </row>
    <row r="127" spans="1:6" ht="20.25" thickBot="1">
      <c r="A127" s="336" t="s">
        <v>293</v>
      </c>
      <c r="B127" s="337" t="s">
        <v>394</v>
      </c>
      <c r="C127" s="337" t="s">
        <v>905</v>
      </c>
      <c r="D127" s="337"/>
      <c r="E127" s="337"/>
      <c r="F127" s="344"/>
    </row>
    <row r="128" spans="1:6" ht="16.5" thickTop="1" thickBot="1">
      <c r="A128" s="345" t="s">
        <v>4</v>
      </c>
      <c r="B128" s="346" t="s">
        <v>5</v>
      </c>
      <c r="C128" s="346"/>
      <c r="D128" s="346"/>
      <c r="E128" s="346"/>
      <c r="F128" s="347"/>
    </row>
    <row r="129" spans="1:6">
      <c r="A129" s="348" t="s">
        <v>294</v>
      </c>
      <c r="B129" s="334">
        <v>130</v>
      </c>
    </row>
    <row r="130" spans="1:6">
      <c r="A130" s="348" t="s">
        <v>295</v>
      </c>
      <c r="B130" s="334">
        <v>1</v>
      </c>
    </row>
    <row r="131" spans="1:6">
      <c r="A131" s="348" t="s">
        <v>296</v>
      </c>
      <c r="B131" s="334">
        <v>0</v>
      </c>
    </row>
    <row r="132" spans="1:6">
      <c r="A132" s="341" t="s">
        <v>297</v>
      </c>
      <c r="B132" s="342">
        <v>13</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51935.144396114832</v>
      </c>
      <c r="C3" s="43" t="s">
        <v>170</v>
      </c>
      <c r="D3" s="43"/>
      <c r="E3" s="154"/>
      <c r="F3" s="43"/>
      <c r="G3" s="43"/>
      <c r="H3" s="43"/>
      <c r="I3" s="43"/>
      <c r="J3" s="43"/>
      <c r="K3" s="96"/>
    </row>
    <row r="4" spans="1:11">
      <c r="A4" s="384" t="s">
        <v>171</v>
      </c>
      <c r="B4" s="49">
        <f>IF(ISERROR('SEAP template'!B78+'SEAP template'!C78),0,'SEAP template'!B78+'SEAP template'!C78)</f>
        <v>29587.463851248522</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9.5096248558517907E-2</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0</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12480.428571428572</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416.49599999999998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416.49599999999998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9.5096248558517907E-2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39.607207139628471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14434.084999999999</v>
      </c>
      <c r="C5" s="17">
        <f>IF(ISERROR('Eigen informatie GS &amp; warmtenet'!B57),0,'Eigen informatie GS &amp; warmtenet'!B57)</f>
        <v>0</v>
      </c>
      <c r="D5" s="30">
        <f>(SUM(HH_hh_gas_kWh,HH_rest_gas_kWh)/1000)*0.902</f>
        <v>27580.456070677476</v>
      </c>
      <c r="E5" s="17">
        <f>B46*B57</f>
        <v>2384.8465837402327</v>
      </c>
      <c r="F5" s="17">
        <f>B51*B62</f>
        <v>28931.755937274735</v>
      </c>
      <c r="G5" s="18"/>
      <c r="H5" s="17"/>
      <c r="I5" s="17"/>
      <c r="J5" s="17">
        <f>B50*B61+C50*C61</f>
        <v>798.45487917775358</v>
      </c>
      <c r="K5" s="17"/>
      <c r="L5" s="17"/>
      <c r="M5" s="17"/>
      <c r="N5" s="17">
        <f>B48*B59+C48*C59</f>
        <v>15427.931764282543</v>
      </c>
      <c r="O5" s="17">
        <f>B69*B70*B71</f>
        <v>221.99333333333334</v>
      </c>
      <c r="P5" s="17">
        <f>B77*B78*B79/1000-B77*B78*B79/1000/B80</f>
        <v>476.66666666666663</v>
      </c>
    </row>
    <row r="6" spans="1:16">
      <c r="A6" s="16" t="s">
        <v>631</v>
      </c>
      <c r="B6" s="789">
        <f>kWh_PV_kleiner_dan_10kW</f>
        <v>2949.6349667858271</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17383.719966785826</v>
      </c>
      <c r="C8" s="21">
        <f>C5</f>
        <v>0</v>
      </c>
      <c r="D8" s="21">
        <f>D5</f>
        <v>27580.456070677476</v>
      </c>
      <c r="E8" s="21">
        <f>E5</f>
        <v>2384.8465837402327</v>
      </c>
      <c r="F8" s="21">
        <f>F5</f>
        <v>28931.755937274735</v>
      </c>
      <c r="G8" s="21"/>
      <c r="H8" s="21"/>
      <c r="I8" s="21"/>
      <c r="J8" s="21">
        <f>J5</f>
        <v>798.45487917775358</v>
      </c>
      <c r="K8" s="21"/>
      <c r="L8" s="21">
        <f>L5</f>
        <v>0</v>
      </c>
      <c r="M8" s="21">
        <f>M5</f>
        <v>0</v>
      </c>
      <c r="N8" s="21">
        <f>N5</f>
        <v>15427.931764282543</v>
      </c>
      <c r="O8" s="21">
        <f>O5</f>
        <v>221.99333333333334</v>
      </c>
      <c r="P8" s="21">
        <f>P5</f>
        <v>476.66666666666663</v>
      </c>
    </row>
    <row r="9" spans="1:16">
      <c r="B9" s="19"/>
      <c r="C9" s="19"/>
      <c r="D9" s="258"/>
      <c r="E9" s="19"/>
      <c r="F9" s="19"/>
      <c r="G9" s="19"/>
      <c r="H9" s="19"/>
      <c r="I9" s="19"/>
      <c r="J9" s="19"/>
      <c r="K9" s="19"/>
      <c r="L9" s="19"/>
      <c r="M9" s="19"/>
      <c r="N9" s="19"/>
      <c r="O9" s="19"/>
      <c r="P9" s="19"/>
    </row>
    <row r="10" spans="1:16">
      <c r="A10" s="24" t="s">
        <v>214</v>
      </c>
      <c r="B10" s="25">
        <f ca="1">'EF ele_warmte'!B12</f>
        <v>9.5096248558517907E-2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1653.1265548331355</v>
      </c>
      <c r="C12" s="23">
        <f ca="1">C10*C8</f>
        <v>0</v>
      </c>
      <c r="D12" s="23">
        <f>D8*D10</f>
        <v>5571.2521262768505</v>
      </c>
      <c r="E12" s="23">
        <f>E10*E8</f>
        <v>541.36017450903284</v>
      </c>
      <c r="F12" s="23">
        <f>F10*F8</f>
        <v>7724.7788352523548</v>
      </c>
      <c r="G12" s="23"/>
      <c r="H12" s="23"/>
      <c r="I12" s="23"/>
      <c r="J12" s="23">
        <f>J10*J8</f>
        <v>282.65302722892477</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823</v>
      </c>
      <c r="C18" s="166" t="s">
        <v>111</v>
      </c>
      <c r="D18" s="228"/>
      <c r="E18" s="15"/>
    </row>
    <row r="19" spans="1:7">
      <c r="A19" s="171" t="s">
        <v>72</v>
      </c>
      <c r="B19" s="37">
        <f>aantalw2001_ander</f>
        <v>2</v>
      </c>
      <c r="C19" s="166" t="s">
        <v>111</v>
      </c>
      <c r="D19" s="229"/>
      <c r="E19" s="15"/>
    </row>
    <row r="20" spans="1:7">
      <c r="A20" s="171" t="s">
        <v>73</v>
      </c>
      <c r="B20" s="37">
        <f>aantalw2001_propaan</f>
        <v>34</v>
      </c>
      <c r="C20" s="167">
        <f>IF(ISERROR(B20/SUM($B$20,$B$21,$B$22)*100),0,B20/SUM($B$20,$B$21,$B$22)*100)</f>
        <v>18.478260869565215</v>
      </c>
      <c r="D20" s="229"/>
      <c r="E20" s="15"/>
    </row>
    <row r="21" spans="1:7">
      <c r="A21" s="171" t="s">
        <v>74</v>
      </c>
      <c r="B21" s="37">
        <f>aantalw2001_elektriciteit</f>
        <v>92</v>
      </c>
      <c r="C21" s="167">
        <f>IF(ISERROR(B21/SUM($B$20,$B$21,$B$22)*100),0,B21/SUM($B$20,$B$21,$B$22)*100)</f>
        <v>50</v>
      </c>
      <c r="D21" s="229"/>
      <c r="E21" s="15"/>
    </row>
    <row r="22" spans="1:7">
      <c r="A22" s="171" t="s">
        <v>75</v>
      </c>
      <c r="B22" s="37">
        <f>aantalw2001_hout</f>
        <v>58</v>
      </c>
      <c r="C22" s="167">
        <f>IF(ISERROR(B22/SUM($B$20,$B$21,$B$22)*100),0,B22/SUM($B$20,$B$21,$B$22)*100)</f>
        <v>31.521739130434785</v>
      </c>
      <c r="D22" s="229"/>
      <c r="E22" s="15"/>
    </row>
    <row r="23" spans="1:7">
      <c r="A23" s="171" t="s">
        <v>76</v>
      </c>
      <c r="B23" s="37">
        <f>aantalw2001_niet_gespec</f>
        <v>26</v>
      </c>
      <c r="C23" s="166" t="s">
        <v>111</v>
      </c>
      <c r="D23" s="228"/>
      <c r="E23" s="15"/>
    </row>
    <row r="24" spans="1:7">
      <c r="A24" s="171" t="s">
        <v>77</v>
      </c>
      <c r="B24" s="37">
        <f>aantalw2001_steenkool</f>
        <v>149</v>
      </c>
      <c r="C24" s="166" t="s">
        <v>111</v>
      </c>
      <c r="D24" s="229"/>
      <c r="E24" s="15"/>
    </row>
    <row r="25" spans="1:7">
      <c r="A25" s="171" t="s">
        <v>78</v>
      </c>
      <c r="B25" s="37">
        <f>aantalw2001_stookolie</f>
        <v>2312</v>
      </c>
      <c r="C25" s="166" t="s">
        <v>111</v>
      </c>
      <c r="D25" s="228"/>
      <c r="E25" s="52"/>
    </row>
    <row r="26" spans="1:7">
      <c r="A26" s="171" t="s">
        <v>79</v>
      </c>
      <c r="B26" s="37">
        <f>aantalw2001_WP</f>
        <v>0</v>
      </c>
      <c r="C26" s="166" t="s">
        <v>111</v>
      </c>
      <c r="D26" s="228"/>
      <c r="E26" s="15"/>
    </row>
    <row r="27" spans="1:7" s="15" customFormat="1">
      <c r="A27" s="171"/>
      <c r="B27" s="29"/>
      <c r="C27" s="36"/>
      <c r="D27" s="228"/>
    </row>
    <row r="28" spans="1:7" s="15" customFormat="1">
      <c r="A28" s="230" t="s">
        <v>740</v>
      </c>
      <c r="B28" s="37">
        <f>aantalHuishoudens2011</f>
        <v>4174</v>
      </c>
      <c r="C28" s="36"/>
      <c r="D28" s="228"/>
    </row>
    <row r="29" spans="1:7" s="15" customFormat="1">
      <c r="A29" s="230" t="s">
        <v>741</v>
      </c>
      <c r="B29" s="37">
        <f>SUM(HH_hh_gas_aantal,HH_rest_gas_aantal)</f>
        <v>2086</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2086</v>
      </c>
      <c r="C32" s="167">
        <f>IF(ISERROR(B32/SUM($B$32,$B$34,$B$35,$B$36,$B$38,$B$39)*100),0,B32/SUM($B$32,$B$34,$B$35,$B$36,$B$38,$B$39)*100)</f>
        <v>50.277175222945289</v>
      </c>
      <c r="D32" s="233"/>
      <c r="G32" s="15"/>
    </row>
    <row r="33" spans="1:7">
      <c r="A33" s="171" t="s">
        <v>72</v>
      </c>
      <c r="B33" s="34" t="s">
        <v>111</v>
      </c>
      <c r="C33" s="167"/>
      <c r="D33" s="233"/>
      <c r="G33" s="15"/>
    </row>
    <row r="34" spans="1:7">
      <c r="A34" s="171" t="s">
        <v>73</v>
      </c>
      <c r="B34" s="33">
        <f>IF((($B$28-$B$32-$B$39-$B$77-$B$38)*C20/100)&lt;0,0,($B$28-$B$32-$B$39-$B$77-$B$38)*C20/100)</f>
        <v>159.8369565217391</v>
      </c>
      <c r="C34" s="167">
        <f>IF(ISERROR(B34/SUM($B$32,$B$34,$B$35,$B$36,$B$38,$B$39)*100),0,B34/SUM($B$32,$B$34,$B$35,$B$36,$B$38,$B$39)*100)</f>
        <v>3.8524212225051606</v>
      </c>
      <c r="D34" s="233"/>
      <c r="G34" s="15"/>
    </row>
    <row r="35" spans="1:7">
      <c r="A35" s="171" t="s">
        <v>74</v>
      </c>
      <c r="B35" s="33">
        <f>IF((($B$28-$B$32-$B$39-$B$77-$B$38)*C21/100)&lt;0,0,($B$28-$B$32-$B$39-$B$77-$B$38)*C21/100)</f>
        <v>432.5</v>
      </c>
      <c r="C35" s="167">
        <f>IF(ISERROR(B35/SUM($B$32,$B$34,$B$35,$B$36,$B$38,$B$39)*100),0,B35/SUM($B$32,$B$34,$B$35,$B$36,$B$38,$B$39)*100)</f>
        <v>10.424198602072789</v>
      </c>
      <c r="D35" s="233"/>
      <c r="G35" s="15"/>
    </row>
    <row r="36" spans="1:7">
      <c r="A36" s="171" t="s">
        <v>75</v>
      </c>
      <c r="B36" s="33">
        <f>IF((($B$28-$B$32-$B$39-$B$77-$B$38)*C22/100)&lt;0,0,($B$28-$B$32-$B$39-$B$77-$B$38)*C22/100)</f>
        <v>272.66304347826087</v>
      </c>
      <c r="C36" s="167">
        <f>IF(ISERROR(B36/SUM($B$32,$B$34,$B$35,$B$36,$B$38,$B$39)*100),0,B36/SUM($B$32,$B$34,$B$35,$B$36,$B$38,$B$39)*100)</f>
        <v>6.571777379567628</v>
      </c>
      <c r="D36" s="233"/>
      <c r="G36" s="15"/>
    </row>
    <row r="37" spans="1:7">
      <c r="A37" s="171" t="s">
        <v>76</v>
      </c>
      <c r="B37" s="34" t="s">
        <v>111</v>
      </c>
      <c r="C37" s="167"/>
      <c r="D37" s="173"/>
      <c r="G37" s="15"/>
    </row>
    <row r="38" spans="1:7">
      <c r="A38" s="171" t="s">
        <v>77</v>
      </c>
      <c r="B38" s="33">
        <f>IF((B24-(B29-B18)*0.1)&lt;0,0,B24-(B29-B18)*0.1)</f>
        <v>22.699999999999989</v>
      </c>
      <c r="C38" s="167">
        <f>IF(ISERROR(B38/SUM($B$32,$B$34,$B$35,$B$36,$B$38,$B$39)*100),0,B38/SUM($B$32,$B$34,$B$35,$B$36,$B$38,$B$39)*100)</f>
        <v>0.54711978790069871</v>
      </c>
      <c r="D38" s="234"/>
      <c r="G38" s="15"/>
    </row>
    <row r="39" spans="1:7">
      <c r="A39" s="171" t="s">
        <v>78</v>
      </c>
      <c r="B39" s="33">
        <f>IF((B25-(B29-B18))&lt;0,0,B25-(B29-B18)*0.9)</f>
        <v>1175.3</v>
      </c>
      <c r="C39" s="167">
        <f>IF(ISERROR(B39/SUM($B$32,$B$34,$B$35,$B$36,$B$38,$B$39)*100),0,B39/SUM($B$32,$B$34,$B$35,$B$36,$B$38,$B$39)*100)</f>
        <v>28.327307785008433</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2086</v>
      </c>
      <c r="C44" s="34" t="s">
        <v>111</v>
      </c>
      <c r="D44" s="174"/>
    </row>
    <row r="45" spans="1:7">
      <c r="A45" s="171" t="s">
        <v>72</v>
      </c>
      <c r="B45" s="33" t="str">
        <f t="shared" si="0"/>
        <v>-</v>
      </c>
      <c r="C45" s="34" t="s">
        <v>111</v>
      </c>
      <c r="D45" s="174"/>
    </row>
    <row r="46" spans="1:7">
      <c r="A46" s="171" t="s">
        <v>73</v>
      </c>
      <c r="B46" s="33">
        <f t="shared" si="0"/>
        <v>159.8369565217391</v>
      </c>
      <c r="C46" s="34" t="s">
        <v>111</v>
      </c>
      <c r="D46" s="174"/>
    </row>
    <row r="47" spans="1:7">
      <c r="A47" s="171" t="s">
        <v>74</v>
      </c>
      <c r="B47" s="33">
        <f t="shared" si="0"/>
        <v>432.5</v>
      </c>
      <c r="C47" s="34" t="s">
        <v>111</v>
      </c>
      <c r="D47" s="174"/>
    </row>
    <row r="48" spans="1:7">
      <c r="A48" s="171" t="s">
        <v>75</v>
      </c>
      <c r="B48" s="33">
        <f t="shared" si="0"/>
        <v>272.66304347826087</v>
      </c>
      <c r="C48" s="33">
        <f>B48*10</f>
        <v>2726.630434782609</v>
      </c>
      <c r="D48" s="234"/>
    </row>
    <row r="49" spans="1:6">
      <c r="A49" s="171" t="s">
        <v>76</v>
      </c>
      <c r="B49" s="33" t="str">
        <f t="shared" si="0"/>
        <v>-</v>
      </c>
      <c r="C49" s="34" t="s">
        <v>111</v>
      </c>
      <c r="D49" s="234"/>
    </row>
    <row r="50" spans="1:6">
      <c r="A50" s="171" t="s">
        <v>77</v>
      </c>
      <c r="B50" s="33">
        <f t="shared" si="0"/>
        <v>22.699999999999989</v>
      </c>
      <c r="C50" s="33">
        <f>B50*2</f>
        <v>45.399999999999977</v>
      </c>
      <c r="D50" s="234"/>
    </row>
    <row r="51" spans="1:6">
      <c r="A51" s="171" t="s">
        <v>78</v>
      </c>
      <c r="B51" s="33">
        <f t="shared" si="0"/>
        <v>1175.3</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142</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25</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28476.301529999997</v>
      </c>
      <c r="C5" s="17">
        <f>IF(ISERROR('Eigen informatie GS &amp; warmtenet'!B58),0,'Eigen informatie GS &amp; warmtenet'!B58)</f>
        <v>0</v>
      </c>
      <c r="D5" s="30">
        <f>SUM(D6:D12)</f>
        <v>12943.770323277688</v>
      </c>
      <c r="E5" s="17">
        <f>SUM(E6:E12)</f>
        <v>150.71209761289913</v>
      </c>
      <c r="F5" s="17">
        <f>SUM(F6:F12)</f>
        <v>3463.4362604579746</v>
      </c>
      <c r="G5" s="18"/>
      <c r="H5" s="17"/>
      <c r="I5" s="17"/>
      <c r="J5" s="17">
        <f>SUM(J6:J12)</f>
        <v>0</v>
      </c>
      <c r="K5" s="17"/>
      <c r="L5" s="17"/>
      <c r="M5" s="17"/>
      <c r="N5" s="17">
        <f>SUM(N6:N12)</f>
        <v>632.97119107073638</v>
      </c>
      <c r="O5" s="17">
        <f>B38*B39*B40</f>
        <v>1.5633333333333335</v>
      </c>
      <c r="P5" s="17">
        <f>B46*B47*B48/1000-B46*B47*B48/1000/B49</f>
        <v>0</v>
      </c>
      <c r="R5" s="32"/>
    </row>
    <row r="6" spans="1:18">
      <c r="A6" s="32" t="s">
        <v>54</v>
      </c>
      <c r="B6" s="37">
        <f>B26</f>
        <v>23279.517</v>
      </c>
      <c r="C6" s="33"/>
      <c r="D6" s="37">
        <f>IF(ISERROR(TER_kantoor_gas_kWh/1000),0,TER_kantoor_gas_kWh/1000)*0.902</f>
        <v>620.29278719907609</v>
      </c>
      <c r="E6" s="33">
        <f>$C$26*'E Balans VL '!I12/100/3.6*1000000</f>
        <v>67.444176338449196</v>
      </c>
      <c r="F6" s="33">
        <f>$C$26*('E Balans VL '!L12+'E Balans VL '!N12)/100/3.6*1000000</f>
        <v>2634.7284368751179</v>
      </c>
      <c r="G6" s="34"/>
      <c r="H6" s="33"/>
      <c r="I6" s="33"/>
      <c r="J6" s="33">
        <f>$C$26*('E Balans VL '!D12+'E Balans VL '!E12)/100/3.6*1000000</f>
        <v>0</v>
      </c>
      <c r="K6" s="33"/>
      <c r="L6" s="33"/>
      <c r="M6" s="33"/>
      <c r="N6" s="33">
        <f>$C$26*'E Balans VL '!Y12/100/3.6*1000000</f>
        <v>233.01081205600903</v>
      </c>
      <c r="O6" s="33"/>
      <c r="P6" s="33"/>
      <c r="R6" s="32"/>
    </row>
    <row r="7" spans="1:18">
      <c r="A7" s="32" t="s">
        <v>53</v>
      </c>
      <c r="B7" s="37">
        <f t="shared" ref="B7:B12" si="0">B27</f>
        <v>1061.069</v>
      </c>
      <c r="C7" s="33"/>
      <c r="D7" s="37">
        <f>IF(ISERROR(TER_horeca_gas_kWh/1000),0,TER_horeca_gas_kWh/1000)*0.902</f>
        <v>845.39831148010785</v>
      </c>
      <c r="E7" s="33">
        <f>$C$27*'E Balans VL '!I9/100/3.6*1000000</f>
        <v>44.54071205180523</v>
      </c>
      <c r="F7" s="33">
        <f>$C$27*('E Balans VL '!L9+'E Balans VL '!N9)/100/3.6*1000000</f>
        <v>227.99243391919711</v>
      </c>
      <c r="G7" s="34"/>
      <c r="H7" s="33"/>
      <c r="I7" s="33"/>
      <c r="J7" s="33">
        <f>$C$27*('E Balans VL '!D9+'E Balans VL '!E9)/100/3.6*1000000</f>
        <v>0</v>
      </c>
      <c r="K7" s="33"/>
      <c r="L7" s="33"/>
      <c r="M7" s="33"/>
      <c r="N7" s="33">
        <f>$C$27*'E Balans VL '!Y9/100/3.6*1000000</f>
        <v>0.27342820191496392</v>
      </c>
      <c r="O7" s="33"/>
      <c r="P7" s="33"/>
      <c r="R7" s="32"/>
    </row>
    <row r="8" spans="1:18">
      <c r="A8" s="6" t="s">
        <v>52</v>
      </c>
      <c r="B8" s="37">
        <f t="shared" si="0"/>
        <v>2551.1550000000002</v>
      </c>
      <c r="C8" s="33"/>
      <c r="D8" s="37">
        <f>IF(ISERROR(TER_handel_gas_kWh/1000),0,TER_handel_gas_kWh/1000)*0.902</f>
        <v>1150.5501715770281</v>
      </c>
      <c r="E8" s="33">
        <f>$C$28*'E Balans VL '!I13/100/3.6*1000000</f>
        <v>27.401527965949292</v>
      </c>
      <c r="F8" s="33">
        <f>$C$28*('E Balans VL '!L13+'E Balans VL '!N13)/100/3.6*1000000</f>
        <v>330.26808175369814</v>
      </c>
      <c r="G8" s="34"/>
      <c r="H8" s="33"/>
      <c r="I8" s="33"/>
      <c r="J8" s="33">
        <f>$C$28*('E Balans VL '!D13+'E Balans VL '!E13)/100/3.6*1000000</f>
        <v>0</v>
      </c>
      <c r="K8" s="33"/>
      <c r="L8" s="33"/>
      <c r="M8" s="33"/>
      <c r="N8" s="33">
        <f>$C$28*'E Balans VL '!Y13/100/3.6*1000000</f>
        <v>20.695108659119665</v>
      </c>
      <c r="O8" s="33"/>
      <c r="P8" s="33"/>
      <c r="R8" s="32"/>
    </row>
    <row r="9" spans="1:18">
      <c r="A9" s="32" t="s">
        <v>51</v>
      </c>
      <c r="B9" s="37">
        <f t="shared" si="0"/>
        <v>27.706630000000001</v>
      </c>
      <c r="C9" s="33"/>
      <c r="D9" s="37">
        <f>IF(ISERROR(TER_gezond_gas_kWh/1000),0,TER_gezond_gas_kWh/1000)*0.902</f>
        <v>0</v>
      </c>
      <c r="E9" s="33">
        <f>$C$29*'E Balans VL '!I10/100/3.6*1000000</f>
        <v>2.2056269496818853E-2</v>
      </c>
      <c r="F9" s="33">
        <f>$C$29*('E Balans VL '!L10+'E Balans VL '!N10)/100/3.6*1000000</f>
        <v>3.3681412733674083</v>
      </c>
      <c r="G9" s="34"/>
      <c r="H9" s="33"/>
      <c r="I9" s="33"/>
      <c r="J9" s="33">
        <f>$C$29*('E Balans VL '!D10+'E Balans VL '!E10)/100/3.6*1000000</f>
        <v>0</v>
      </c>
      <c r="K9" s="33"/>
      <c r="L9" s="33"/>
      <c r="M9" s="33"/>
      <c r="N9" s="33">
        <f>$C$29*'E Balans VL '!Y10/100/3.6*1000000</f>
        <v>0.22380681675067232</v>
      </c>
      <c r="O9" s="33"/>
      <c r="P9" s="33"/>
      <c r="R9" s="32"/>
    </row>
    <row r="10" spans="1:18">
      <c r="A10" s="32" t="s">
        <v>50</v>
      </c>
      <c r="B10" s="37">
        <f t="shared" si="0"/>
        <v>405.41070000000002</v>
      </c>
      <c r="C10" s="33"/>
      <c r="D10" s="37">
        <f>IF(ISERROR(TER_ander_gas_kWh/1000),0,TER_ander_gas_kWh/1000)*0.902</f>
        <v>1798.6556129476892</v>
      </c>
      <c r="E10" s="33">
        <f>$C$30*'E Balans VL '!I14/100/3.6*1000000</f>
        <v>1.3893637664481318</v>
      </c>
      <c r="F10" s="33">
        <f>$C$30*('E Balans VL '!L14+'E Balans VL '!N14)/100/3.6*1000000</f>
        <v>90.552276429725737</v>
      </c>
      <c r="G10" s="34"/>
      <c r="H10" s="33"/>
      <c r="I10" s="33"/>
      <c r="J10" s="33">
        <f>$C$30*('E Balans VL '!D14+'E Balans VL '!E14)/100/3.6*1000000</f>
        <v>0</v>
      </c>
      <c r="K10" s="33"/>
      <c r="L10" s="33"/>
      <c r="M10" s="33"/>
      <c r="N10" s="33">
        <f>$C$30*'E Balans VL '!Y14/100/3.6*1000000</f>
        <v>285.57351179536244</v>
      </c>
      <c r="O10" s="33"/>
      <c r="P10" s="33"/>
      <c r="R10" s="32"/>
    </row>
    <row r="11" spans="1:18">
      <c r="A11" s="32" t="s">
        <v>55</v>
      </c>
      <c r="B11" s="37">
        <f t="shared" si="0"/>
        <v>59.415199999999999</v>
      </c>
      <c r="C11" s="33"/>
      <c r="D11" s="37">
        <f>IF(ISERROR(TER_onderwijs_gas_kWh/1000),0,TER_onderwijs_gas_kWh/1000)*0.902</f>
        <v>167.81393327056077</v>
      </c>
      <c r="E11" s="33">
        <f>$C$31*'E Balans VL '!I11/100/3.6*1000000</f>
        <v>4.1071897915851016E-2</v>
      </c>
      <c r="F11" s="33">
        <f>$C$31*('E Balans VL '!L11+'E Balans VL '!N11)/100/3.6*1000000</f>
        <v>15.553173465544752</v>
      </c>
      <c r="G11" s="34"/>
      <c r="H11" s="33"/>
      <c r="I11" s="33"/>
      <c r="J11" s="33">
        <f>$C$31*('E Balans VL '!D11+'E Balans VL '!E11)/100/3.6*1000000</f>
        <v>0</v>
      </c>
      <c r="K11" s="33"/>
      <c r="L11" s="33"/>
      <c r="M11" s="33"/>
      <c r="N11" s="33">
        <f>$C$31*'E Balans VL '!Y11/100/3.6*1000000</f>
        <v>5.9142771008031988E-2</v>
      </c>
      <c r="O11" s="33"/>
      <c r="P11" s="33"/>
      <c r="R11" s="32"/>
    </row>
    <row r="12" spans="1:18">
      <c r="A12" s="32" t="s">
        <v>260</v>
      </c>
      <c r="B12" s="37">
        <f t="shared" si="0"/>
        <v>1092.028</v>
      </c>
      <c r="C12" s="33"/>
      <c r="D12" s="37">
        <f>IF(ISERROR(TER_rest_gas_kWh/1000),0,TER_rest_gas_kWh/1000)*0.902</f>
        <v>8361.0595068032253</v>
      </c>
      <c r="E12" s="33">
        <f>$C$32*'E Balans VL '!I8/100/3.6*1000000</f>
        <v>9.8731893228345999</v>
      </c>
      <c r="F12" s="33">
        <f>$C$32*('E Balans VL '!L8+'E Balans VL '!N8)/100/3.6*1000000</f>
        <v>160.9737167413239</v>
      </c>
      <c r="G12" s="34"/>
      <c r="H12" s="33"/>
      <c r="I12" s="33"/>
      <c r="J12" s="33">
        <f>$C$32*('E Balans VL '!D8+'E Balans VL '!E8)/100/3.6*1000000</f>
        <v>0</v>
      </c>
      <c r="K12" s="33"/>
      <c r="L12" s="33"/>
      <c r="M12" s="33"/>
      <c r="N12" s="33">
        <f>$C$32*'E Balans VL '!Y8/100/3.6*1000000</f>
        <v>93.135380770571615</v>
      </c>
      <c r="O12" s="33"/>
      <c r="P12" s="33"/>
      <c r="R12" s="32"/>
    </row>
    <row r="13" spans="1:18">
      <c r="A13" s="16" t="s">
        <v>494</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28476.301529999997</v>
      </c>
      <c r="C16" s="21">
        <f t="shared" ca="1" si="1"/>
        <v>0</v>
      </c>
      <c r="D16" s="21">
        <f t="shared" ca="1" si="1"/>
        <v>12943.770323277688</v>
      </c>
      <c r="E16" s="21">
        <f t="shared" si="1"/>
        <v>150.71209761289913</v>
      </c>
      <c r="F16" s="21">
        <f t="shared" ca="1" si="1"/>
        <v>3463.4362604579746</v>
      </c>
      <c r="G16" s="21">
        <f t="shared" si="1"/>
        <v>0</v>
      </c>
      <c r="H16" s="21">
        <f t="shared" si="1"/>
        <v>0</v>
      </c>
      <c r="I16" s="21">
        <f t="shared" si="1"/>
        <v>0</v>
      </c>
      <c r="J16" s="21">
        <f t="shared" si="1"/>
        <v>0</v>
      </c>
      <c r="K16" s="21">
        <f t="shared" si="1"/>
        <v>0</v>
      </c>
      <c r="L16" s="21">
        <f t="shared" ca="1" si="1"/>
        <v>0</v>
      </c>
      <c r="M16" s="21">
        <f t="shared" si="1"/>
        <v>0</v>
      </c>
      <c r="N16" s="21">
        <f t="shared" ca="1" si="1"/>
        <v>632.97119107073638</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9.5096248558517907E-2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2707.9894483241833</v>
      </c>
      <c r="C20" s="23">
        <f t="shared" ref="C20:P20" ca="1" si="2">C16*C18</f>
        <v>0</v>
      </c>
      <c r="D20" s="23">
        <f t="shared" ca="1" si="2"/>
        <v>2614.641605302093</v>
      </c>
      <c r="E20" s="23">
        <f t="shared" si="2"/>
        <v>34.211646158128104</v>
      </c>
      <c r="F20" s="23">
        <f t="shared" ca="1" si="2"/>
        <v>924.73748154227928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23279.517</v>
      </c>
      <c r="C26" s="39">
        <f>IF(ISERROR(B26*3.6/1000000/'E Balans VL '!Z12*100),0,B26*3.6/1000000/'E Balans VL '!Z12*100)</f>
        <v>0.51136150472172748</v>
      </c>
      <c r="D26" s="237" t="s">
        <v>692</v>
      </c>
      <c r="F26" s="6"/>
    </row>
    <row r="27" spans="1:18">
      <c r="A27" s="231" t="s">
        <v>53</v>
      </c>
      <c r="B27" s="33">
        <f>IF(ISERROR(TER_horeca_ele_kWh/1000),0,TER_horeca_ele_kWh/1000)</f>
        <v>1061.069</v>
      </c>
      <c r="C27" s="39">
        <f>IF(ISERROR(B27*3.6/1000000/'E Balans VL '!Z9*100),0,B27*3.6/1000000/'E Balans VL '!Z9*100)</f>
        <v>8.5267471010716148E-2</v>
      </c>
      <c r="D27" s="237" t="s">
        <v>692</v>
      </c>
      <c r="F27" s="6"/>
    </row>
    <row r="28" spans="1:18">
      <c r="A28" s="171" t="s">
        <v>52</v>
      </c>
      <c r="B28" s="33">
        <f>IF(ISERROR(TER_handel_ele_kWh/1000),0,TER_handel_ele_kWh/1000)</f>
        <v>2551.1550000000002</v>
      </c>
      <c r="C28" s="39">
        <f>IF(ISERROR(B28*3.6/1000000/'E Balans VL '!Z13*100),0,B28*3.6/1000000/'E Balans VL '!Z13*100)</f>
        <v>7.5435871075695368E-2</v>
      </c>
      <c r="D28" s="237" t="s">
        <v>692</v>
      </c>
      <c r="F28" s="6"/>
    </row>
    <row r="29" spans="1:18">
      <c r="A29" s="231" t="s">
        <v>51</v>
      </c>
      <c r="B29" s="33">
        <f>IF(ISERROR(TER_gezond_ele_kWh/1000),0,TER_gezond_ele_kWh/1000)</f>
        <v>27.706630000000001</v>
      </c>
      <c r="C29" s="39">
        <f>IF(ISERROR(B29*3.6/1000000/'E Balans VL '!Z10*100),0,B29*3.6/1000000/'E Balans VL '!Z10*100)</f>
        <v>3.1218218788692056E-3</v>
      </c>
      <c r="D29" s="237" t="s">
        <v>692</v>
      </c>
      <c r="F29" s="6"/>
    </row>
    <row r="30" spans="1:18">
      <c r="A30" s="231" t="s">
        <v>50</v>
      </c>
      <c r="B30" s="33">
        <f>IF(ISERROR(TER_ander_ele_kWh/1000),0,TER_ander_ele_kWh/1000)</f>
        <v>405.41070000000002</v>
      </c>
      <c r="C30" s="39">
        <f>IF(ISERROR(B30*3.6/1000000/'E Balans VL '!Z14*100),0,B30*3.6/1000000/'E Balans VL '!Z14*100)</f>
        <v>3.0660518222712034E-2</v>
      </c>
      <c r="D30" s="237" t="s">
        <v>692</v>
      </c>
      <c r="F30" s="6"/>
    </row>
    <row r="31" spans="1:18">
      <c r="A31" s="231" t="s">
        <v>55</v>
      </c>
      <c r="B31" s="33">
        <f>IF(ISERROR(TER_onderwijs_ele_kWh/1000),0,TER_onderwijs_ele_kWh/1000)</f>
        <v>59.415199999999999</v>
      </c>
      <c r="C31" s="39">
        <f>IF(ISERROR(B31*3.6/1000000/'E Balans VL '!Z11*100),0,B31*3.6/1000000/'E Balans VL '!Z11*100)</f>
        <v>1.2333216255344418E-2</v>
      </c>
      <c r="D31" s="237" t="s">
        <v>692</v>
      </c>
    </row>
    <row r="32" spans="1:18">
      <c r="A32" s="231" t="s">
        <v>260</v>
      </c>
      <c r="B32" s="33">
        <f>IF(ISERROR(TER_rest_ele_kWh/1000),0,TER_rest_ele_kWh/1000)</f>
        <v>1092.028</v>
      </c>
      <c r="C32" s="39">
        <f>IF(ISERROR(B32*3.6/1000000/'E Balans VL '!Z8*100),0,B32*3.6/1000000/'E Balans VL '!Z8*100)</f>
        <v>9.1996934816828673E-3</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0</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3078.4196000000002</v>
      </c>
      <c r="C5" s="17">
        <f>IF(ISERROR('Eigen informatie GS &amp; warmtenet'!B59),0,'Eigen informatie GS &amp; warmtenet'!B59)</f>
        <v>0</v>
      </c>
      <c r="D5" s="30">
        <f>SUM(D6:D15)</f>
        <v>1184.7764037156871</v>
      </c>
      <c r="E5" s="17">
        <f>SUM(E6:E15)</f>
        <v>250.18528320398309</v>
      </c>
      <c r="F5" s="17">
        <f>SUM(F6:F15)</f>
        <v>1475.369916630076</v>
      </c>
      <c r="G5" s="18"/>
      <c r="H5" s="17"/>
      <c r="I5" s="17"/>
      <c r="J5" s="17">
        <f>SUM(J6:J15)</f>
        <v>11.918091921533147</v>
      </c>
      <c r="K5" s="17"/>
      <c r="L5" s="17"/>
      <c r="M5" s="17"/>
      <c r="N5" s="17">
        <f>SUM(N6:N15)</f>
        <v>603.52380977099551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803.06780000000003</v>
      </c>
      <c r="C8" s="33"/>
      <c r="D8" s="37">
        <f>IF( ISERROR(IND_metaal_Gas_kWH/1000),0,IND_metaal_Gas_kWH/1000)*0.902</f>
        <v>0</v>
      </c>
      <c r="E8" s="33">
        <f>C30*'E Balans VL '!I18/100/3.6*1000000</f>
        <v>20.097976356914831</v>
      </c>
      <c r="F8" s="33">
        <f>C30*'E Balans VL '!L18/100/3.6*1000000+C30*'E Balans VL '!N18/100/3.6*1000000</f>
        <v>251.68544318467468</v>
      </c>
      <c r="G8" s="34"/>
      <c r="H8" s="33"/>
      <c r="I8" s="33"/>
      <c r="J8" s="40">
        <f>C30*'E Balans VL '!D18/100/3.6*1000000+C30*'E Balans VL '!E18/100/3.6*1000000</f>
        <v>0</v>
      </c>
      <c r="K8" s="33"/>
      <c r="L8" s="33"/>
      <c r="M8" s="33"/>
      <c r="N8" s="33">
        <f>C30*'E Balans VL '!Y18/100/3.6*1000000</f>
        <v>20.175147278679649</v>
      </c>
      <c r="O8" s="33"/>
      <c r="P8" s="33"/>
      <c r="R8" s="32"/>
    </row>
    <row r="9" spans="1:18">
      <c r="A9" s="6" t="s">
        <v>33</v>
      </c>
      <c r="B9" s="37">
        <f t="shared" si="0"/>
        <v>553.39009999999996</v>
      </c>
      <c r="C9" s="33"/>
      <c r="D9" s="37">
        <f>IF( ISERROR(IND_andere_gas_kWh/1000),0,IND_andere_gas_kWh/1000)*0.902</f>
        <v>324.50321775180566</v>
      </c>
      <c r="E9" s="33">
        <f>C31*'E Balans VL '!I19/100/3.6*1000000</f>
        <v>152.15958017428321</v>
      </c>
      <c r="F9" s="33">
        <f>C31*'E Balans VL '!L19/100/3.6*1000000+C31*'E Balans VL '!N19/100/3.6*1000000</f>
        <v>436.16769559131308</v>
      </c>
      <c r="G9" s="34"/>
      <c r="H9" s="33"/>
      <c r="I9" s="33"/>
      <c r="J9" s="40">
        <f>C31*'E Balans VL '!D19/100/3.6*1000000+C31*'E Balans VL '!E19/100/3.6*1000000</f>
        <v>0</v>
      </c>
      <c r="K9" s="33"/>
      <c r="L9" s="33"/>
      <c r="M9" s="33"/>
      <c r="N9" s="33">
        <f>C31*'E Balans VL '!Y19/100/3.6*1000000</f>
        <v>179.14698242430796</v>
      </c>
      <c r="O9" s="33"/>
      <c r="P9" s="33"/>
      <c r="R9" s="32"/>
    </row>
    <row r="10" spans="1:18">
      <c r="A10" s="6" t="s">
        <v>41</v>
      </c>
      <c r="B10" s="37">
        <f t="shared" si="0"/>
        <v>237.81070000000003</v>
      </c>
      <c r="C10" s="33"/>
      <c r="D10" s="37">
        <f>IF( ISERROR(IND_voed_gas_kWh/1000),0,IND_voed_gas_kWh/1000)*0.902</f>
        <v>0</v>
      </c>
      <c r="E10" s="33">
        <f>C32*'E Balans VL '!I20/100/3.6*1000000</f>
        <v>2.4243490758378199</v>
      </c>
      <c r="F10" s="33">
        <f>C32*'E Balans VL '!L20/100/3.6*1000000+C32*'E Balans VL '!N20/100/3.6*1000000</f>
        <v>449.22292493764797</v>
      </c>
      <c r="G10" s="34"/>
      <c r="H10" s="33"/>
      <c r="I10" s="33"/>
      <c r="J10" s="40">
        <f>C32*'E Balans VL '!D20/100/3.6*1000000+C32*'E Balans VL '!E20/100/3.6*1000000</f>
        <v>5.6915881711332599</v>
      </c>
      <c r="K10" s="33"/>
      <c r="L10" s="33"/>
      <c r="M10" s="33"/>
      <c r="N10" s="33">
        <f>C32*'E Balans VL '!Y20/100/3.6*1000000</f>
        <v>125.35363133368212</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1484.1510000000001</v>
      </c>
      <c r="C15" s="33"/>
      <c r="D15" s="37">
        <f>IF( ISERROR(IND_rest_gas_kWh/1000),0,IND_rest_gas_kWh/1000)*0.902</f>
        <v>860.27318596388159</v>
      </c>
      <c r="E15" s="33">
        <f>C37*'E Balans VL '!I15/100/3.6*1000000</f>
        <v>75.503377596947217</v>
      </c>
      <c r="F15" s="33">
        <f>C37*'E Balans VL '!L15/100/3.6*1000000+C37*'E Balans VL '!N15/100/3.6*1000000</f>
        <v>338.29385291644036</v>
      </c>
      <c r="G15" s="34"/>
      <c r="H15" s="33"/>
      <c r="I15" s="33"/>
      <c r="J15" s="40">
        <f>C37*'E Balans VL '!D15/100/3.6*1000000+C37*'E Balans VL '!E15/100/3.6*1000000</f>
        <v>6.2265037503998872</v>
      </c>
      <c r="K15" s="33"/>
      <c r="L15" s="33"/>
      <c r="M15" s="33"/>
      <c r="N15" s="33">
        <f>C37*'E Balans VL '!Y15/100/3.6*1000000</f>
        <v>278.84804873432586</v>
      </c>
      <c r="O15" s="33"/>
      <c r="P15" s="33"/>
      <c r="R15" s="32"/>
    </row>
    <row r="16" spans="1:18">
      <c r="A16" s="16" t="s">
        <v>494</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3078.4196000000002</v>
      </c>
      <c r="C18" s="21">
        <f>C5+C16</f>
        <v>0</v>
      </c>
      <c r="D18" s="21">
        <f>MAX((D5+D16),0)</f>
        <v>1184.7764037156871</v>
      </c>
      <c r="E18" s="21">
        <f>MAX((E5+E16),0)</f>
        <v>250.18528320398309</v>
      </c>
      <c r="F18" s="21">
        <f>MAX((F5+F16),0)</f>
        <v>1475.369916630076</v>
      </c>
      <c r="G18" s="21"/>
      <c r="H18" s="21"/>
      <c r="I18" s="21"/>
      <c r="J18" s="21">
        <f>MAX((J5+J16),0)</f>
        <v>11.918091921533147</v>
      </c>
      <c r="K18" s="21"/>
      <c r="L18" s="21">
        <f>MAX((L5+L16),0)</f>
        <v>0</v>
      </c>
      <c r="M18" s="21"/>
      <c r="N18" s="21">
        <f>MAX((N5+N16),0)</f>
        <v>603.52380977099551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9.5096248558517907E-2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292.74615544901332</v>
      </c>
      <c r="C22" s="23">
        <f ca="1">C18*C20</f>
        <v>0</v>
      </c>
      <c r="D22" s="23">
        <f>D18*D20</f>
        <v>239.32483355056883</v>
      </c>
      <c r="E22" s="23">
        <f>E18*E20</f>
        <v>56.792059287304163</v>
      </c>
      <c r="F22" s="23">
        <f>F18*F20</f>
        <v>393.92376774023029</v>
      </c>
      <c r="G22" s="23"/>
      <c r="H22" s="23"/>
      <c r="I22" s="23"/>
      <c r="J22" s="23">
        <f>J18*J20</f>
        <v>4.2190045402227341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803.06780000000003</v>
      </c>
      <c r="C30" s="39">
        <f>IF(ISERROR(B30*3.6/1000000/'E Balans VL '!Z18*100),0,B30*3.6/1000000/'E Balans VL '!Z18*100)</f>
        <v>0.11240272946991117</v>
      </c>
      <c r="D30" s="237" t="s">
        <v>692</v>
      </c>
    </row>
    <row r="31" spans="1:18">
      <c r="A31" s="6" t="s">
        <v>33</v>
      </c>
      <c r="B31" s="37">
        <f>IF( ISERROR(IND_ander_ele_kWh/1000),0,IND_ander_ele_kWh/1000)</f>
        <v>553.39009999999996</v>
      </c>
      <c r="C31" s="39">
        <f>IF(ISERROR(B31*3.6/1000000/'E Balans VL '!Z19*100),0,B31*3.6/1000000/'E Balans VL '!Z19*100)</f>
        <v>2.4221794904371388E-2</v>
      </c>
      <c r="D31" s="237" t="s">
        <v>692</v>
      </c>
    </row>
    <row r="32" spans="1:18">
      <c r="A32" s="171" t="s">
        <v>41</v>
      </c>
      <c r="B32" s="37">
        <f>IF( ISERROR(IND_voed_ele_kWh/1000),0,IND_voed_ele_kWh/1000)</f>
        <v>237.81070000000003</v>
      </c>
      <c r="C32" s="39">
        <f>IF(ISERROR(B32*3.6/1000000/'E Balans VL '!Z20*100),0,B32*3.6/1000000/'E Balans VL '!Z20*100)</f>
        <v>5.8874032016191305E-2</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1484.1510000000001</v>
      </c>
      <c r="C37" s="39">
        <f>IF(ISERROR(B37*3.6/1000000/'E Balans VL '!Z15*100),0,B37*3.6/1000000/'E Balans VL '!Z15*100)</f>
        <v>1.1004725567596303E-2</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1555.00326</v>
      </c>
      <c r="C5" s="17">
        <f>'Eigen informatie GS &amp; warmtenet'!B60</f>
        <v>0</v>
      </c>
      <c r="D5" s="30">
        <f>IF(ISERROR(SUM(LB_lb_gas_kWh,LB_rest_gas_kWh)/1000),0,SUM(LB_lb_gas_kWh,LB_rest_gas_kWh)/1000)*0.902</f>
        <v>140.51405575395972</v>
      </c>
      <c r="E5" s="17">
        <f>B17*'E Balans VL '!I25/3.6*1000000/100</f>
        <v>14.403091489353599</v>
      </c>
      <c r="F5" s="17">
        <f>B17*('E Balans VL '!L25/3.6*1000000+'E Balans VL '!N25/3.6*1000000)/100</f>
        <v>3945.3394984370348</v>
      </c>
      <c r="G5" s="18"/>
      <c r="H5" s="17"/>
      <c r="I5" s="17"/>
      <c r="J5" s="17">
        <f>('E Balans VL '!D25+'E Balans VL '!E25)/3.6*1000000*landbouw!B17/100</f>
        <v>238.39935364503057</v>
      </c>
      <c r="K5" s="17"/>
      <c r="L5" s="17">
        <f>L6*(-1)</f>
        <v>0</v>
      </c>
      <c r="M5" s="17"/>
      <c r="N5" s="17">
        <f>N6*(-1)</f>
        <v>24960.857142857145</v>
      </c>
      <c r="O5" s="17"/>
      <c r="P5" s="17"/>
      <c r="R5" s="32"/>
    </row>
    <row r="6" spans="1:18">
      <c r="A6" s="16" t="s">
        <v>494</v>
      </c>
      <c r="B6" s="17" t="s">
        <v>211</v>
      </c>
      <c r="C6" s="17">
        <f>'lokale energieproductie'!O92+'lokale energieproductie'!O61</f>
        <v>12480.428571428572</v>
      </c>
      <c r="D6" s="310">
        <f>('lokale energieproductie'!P61+'lokale energieproductie'!P92)*(-1)</f>
        <v>0</v>
      </c>
      <c r="E6" s="248"/>
      <c r="F6" s="310">
        <f>('lokale energieproductie'!S61+'lokale energieproductie'!S921)*(-1)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-24960.857142857145</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1555.00326</v>
      </c>
      <c r="C8" s="21">
        <f>C5+C6</f>
        <v>12480.428571428572</v>
      </c>
      <c r="D8" s="21">
        <f>MAX((D5+D6),0)</f>
        <v>140.51405575395972</v>
      </c>
      <c r="E8" s="21">
        <f>MAX((E5+E6),0)</f>
        <v>14.403091489353599</v>
      </c>
      <c r="F8" s="21">
        <f>MAX((F5+F6),0)</f>
        <v>3945.3394984370348</v>
      </c>
      <c r="G8" s="21"/>
      <c r="H8" s="21"/>
      <c r="I8" s="21"/>
      <c r="J8" s="21">
        <f>MAX((J5+J6),0)</f>
        <v>238.39935364503057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9.5096248558517907E-2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147.87497652226565</v>
      </c>
      <c r="C12" s="23">
        <f ca="1">C8*C10</f>
        <v>0</v>
      </c>
      <c r="D12" s="23">
        <f>D8*D10</f>
        <v>28.383839262299865</v>
      </c>
      <c r="E12" s="23">
        <f>E8*E10</f>
        <v>3.2695017680832672</v>
      </c>
      <c r="F12" s="23">
        <f>F8*F10</f>
        <v>1053.4056460826882</v>
      </c>
      <c r="G12" s="23"/>
      <c r="H12" s="23"/>
      <c r="I12" s="23"/>
      <c r="J12" s="23">
        <f>J8*J10</f>
        <v>84.393371190340815</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0.22108849180374851</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455.40350556724565</v>
      </c>
      <c r="C26" s="247">
        <f>B26*'GWP N2O_CH4'!B5</f>
        <v>9563.4736169121588</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118.52969703998322</v>
      </c>
      <c r="C27" s="247">
        <f>B27*'GWP N2O_CH4'!B5</f>
        <v>2489.1236378396475</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6.1741331166277416</v>
      </c>
      <c r="C28" s="247">
        <f>B28*'GWP N2O_CH4'!B4</f>
        <v>1913.9812661545998</v>
      </c>
      <c r="D28" s="50"/>
    </row>
    <row r="29" spans="1:4">
      <c r="A29" s="41" t="s">
        <v>277</v>
      </c>
      <c r="B29" s="247">
        <f>B34*'ha_N2O bodem landbouw'!B4</f>
        <v>11.975194949989184</v>
      </c>
      <c r="C29" s="247">
        <f>B29*'GWP N2O_CH4'!B4</f>
        <v>3712.3104344966473</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2.6858252565564425E-3</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4.5590541584463015E-5</v>
      </c>
      <c r="C5" s="464" t="s">
        <v>211</v>
      </c>
      <c r="D5" s="449">
        <f>SUM(D6:D11)</f>
        <v>1.1423162719445802E-4</v>
      </c>
      <c r="E5" s="449">
        <f>SUM(E6:E11)</f>
        <v>7.9441788755379398E-4</v>
      </c>
      <c r="F5" s="462" t="s">
        <v>211</v>
      </c>
      <c r="G5" s="449">
        <f>SUM(G6:G11)</f>
        <v>0.24495999827459236</v>
      </c>
      <c r="H5" s="449">
        <f>SUM(H6:H11)</f>
        <v>4.3966409743875126E-2</v>
      </c>
      <c r="I5" s="464" t="s">
        <v>211</v>
      </c>
      <c r="J5" s="464" t="s">
        <v>211</v>
      </c>
      <c r="K5" s="464" t="s">
        <v>211</v>
      </c>
      <c r="L5" s="464" t="s">
        <v>211</v>
      </c>
      <c r="M5" s="449">
        <f>SUM(M6:M11)</f>
        <v>1.552326646399191E-2</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2.6519079731887533E-5</v>
      </c>
      <c r="C6" s="450"/>
      <c r="D6" s="893">
        <f>vkm_2011_GW_PW*SUMIFS(TableVerdeelsleutelVkm[CNG],TableVerdeelsleutelVkm[Voertuigtype],"Lichte voertuigen")*SUMIFS(TableECFTransport[EnergieConsumptieFactor (PJ per km)],TableECFTransport[Index],CONCATENATE($A6,"_CNG_CNG"))</f>
        <v>6.1341551049589593E-5</v>
      </c>
      <c r="E6" s="893">
        <f>vkm_2011_GW_PW*SUMIFS(TableVerdeelsleutelVkm[LPG],TableVerdeelsleutelVkm[Voertuigtype],"Lichte voertuigen")*SUMIFS(TableECFTransport[EnergieConsumptieFactor (PJ per km)],TableECFTransport[Index],CONCATENATE($A6,"_LPG_LPG"))</f>
        <v>3.9941913730985205E-4</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8.2976370765536045E-2</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2.3389324160870389E-2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5.5198281741717769E-3</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1.7521802833974188E-2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5.9921383584567221E-6</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1.0137356120310573E-3</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3.9833949145904275E-6</v>
      </c>
      <c r="C8" s="450"/>
      <c r="D8" s="452">
        <f>vkm_2011_NGW_PW*SUMIFS(TableVerdeelsleutelVkm[CNG],TableVerdeelsleutelVkm[Voertuigtype],"Lichte voertuigen")*SUMIFS(TableECFTransport[EnergieConsumptieFactor (PJ per km)],TableECFTransport[Index],CONCATENATE($A8,"_CNG_CNG"))</f>
        <v>1.6296928078416802E-5</v>
      </c>
      <c r="E8" s="452">
        <f>vkm_2011_NGW_PW*SUMIFS(TableVerdeelsleutelVkm[LPG],TableVerdeelsleutelVkm[Voertuigtype],"Lichte voertuigen")*SUMIFS(TableECFTransport[EnergieConsumptieFactor (PJ per km)],TableECFTransport[Index],CONCATENATE($A8,"_LPG_LPG"))</f>
        <v>9.7933801069262396E-5</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1.9018600296577905E-2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6.0084637545833475E-3</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1.2851062199141909E-3</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7.4257763256584354E-3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2.4028947184558168E-6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4.2961904680508477E-4</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1.5088066937985054E-5</v>
      </c>
      <c r="C10" s="450"/>
      <c r="D10" s="452">
        <f>vkm_2011_SW_PW*SUMIFS(TableVerdeelsleutelVkm[CNG],TableVerdeelsleutelVkm[Voertuigtype],"Lichte voertuigen")*SUMIFS(TableECFTransport[EnergieConsumptieFactor (PJ per km)],TableECFTransport[Index],CONCATENATE($A10,"_CNG_CNG"))</f>
        <v>3.6593148066451617E-5</v>
      </c>
      <c r="E10" s="452">
        <f>vkm_2011_SW_PW*SUMIFS(TableVerdeelsleutelVkm[LPG],TableVerdeelsleutelVkm[Voertuigtype],"Lichte voertuigen")*SUMIFS(TableECFTransport[EnergieConsumptieFactor (PJ per km)],TableECFTransport[Index],CONCATENATE($A10,"_LPG_LPG"))</f>
        <v>2.9706494917467949E-4</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5.5559674968535033E-2</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1.4537207217175113E-2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3.6613901030058535E-3</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6.245777308431074E-2</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2.3019578169367496E-5</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3.613587308063946E-3</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12.664039329017506</v>
      </c>
      <c r="C14" s="21"/>
      <c r="D14" s="21">
        <f t="shared" ref="D14:M14" si="0">((D5)*10^9/3600)+D12</f>
        <v>31.731007554016117</v>
      </c>
      <c r="E14" s="21">
        <f t="shared" si="0"/>
        <v>220.67163543160945</v>
      </c>
      <c r="F14" s="21"/>
      <c r="G14" s="21">
        <f t="shared" si="0"/>
        <v>68044.443965164552</v>
      </c>
      <c r="H14" s="21">
        <f t="shared" si="0"/>
        <v>12212.891595520867</v>
      </c>
      <c r="I14" s="21"/>
      <c r="J14" s="21"/>
      <c r="K14" s="21"/>
      <c r="L14" s="21"/>
      <c r="M14" s="21">
        <f t="shared" si="0"/>
        <v>4312.0184622199749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9.5096248558517907E-2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1.2043026317870951</v>
      </c>
      <c r="C18" s="23"/>
      <c r="D18" s="23">
        <f t="shared" ref="D18:M18" si="1">D14*D16</f>
        <v>6.409663525911256</v>
      </c>
      <c r="E18" s="23">
        <f t="shared" si="1"/>
        <v>50.092461242975347</v>
      </c>
      <c r="F18" s="23"/>
      <c r="G18" s="23">
        <f t="shared" si="1"/>
        <v>18167.866538698938</v>
      </c>
      <c r="H18" s="23">
        <f t="shared" si="1"/>
        <v>3041.0100072846958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2.2201510101501135E-3</v>
      </c>
      <c r="H50" s="321">
        <f t="shared" si="2"/>
        <v>0</v>
      </c>
      <c r="I50" s="321">
        <f t="shared" si="2"/>
        <v>0</v>
      </c>
      <c r="J50" s="321">
        <f t="shared" si="2"/>
        <v>0</v>
      </c>
      <c r="K50" s="321">
        <f t="shared" si="2"/>
        <v>0</v>
      </c>
      <c r="L50" s="321">
        <f t="shared" si="2"/>
        <v>0</v>
      </c>
      <c r="M50" s="321">
        <f t="shared" si="2"/>
        <v>1.2660874001904575E-4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2.2201510101501135E-3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1.2660874001904575E-4</v>
      </c>
      <c r="N51" s="323"/>
      <c r="O51" s="323"/>
      <c r="P51" s="326"/>
    </row>
    <row r="52" spans="1:18">
      <c r="A52" s="4" t="s">
        <v>330</v>
      </c>
      <c r="B52" s="89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616.70861393058715</v>
      </c>
      <c r="H54" s="21">
        <f t="shared" si="3"/>
        <v>0</v>
      </c>
      <c r="I54" s="21">
        <f t="shared" si="3"/>
        <v>0</v>
      </c>
      <c r="J54" s="21">
        <f t="shared" si="3"/>
        <v>0</v>
      </c>
      <c r="K54" s="21">
        <f t="shared" si="3"/>
        <v>0</v>
      </c>
      <c r="L54" s="21">
        <f t="shared" si="3"/>
        <v>0</v>
      </c>
      <c r="M54" s="21">
        <f t="shared" si="3"/>
        <v>35.169094449734928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9.5096248558517907E-2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164.66119991946678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4" t="s">
        <v>221</v>
      </c>
      <c r="B2" s="1164"/>
      <c r="C2" s="1164"/>
      <c r="D2" s="59"/>
      <c r="E2" s="59"/>
      <c r="F2" s="59"/>
      <c r="G2" s="59"/>
      <c r="H2" s="60"/>
      <c r="I2" s="60"/>
      <c r="J2" s="61"/>
      <c r="K2" s="61"/>
      <c r="L2" s="60"/>
      <c r="M2" s="60"/>
      <c r="N2" s="60"/>
      <c r="O2" s="60"/>
      <c r="P2" s="60"/>
      <c r="Q2" s="60"/>
      <c r="R2" s="60"/>
    </row>
    <row r="3" spans="1:19">
      <c r="A3" s="1165"/>
      <c r="B3" s="1165"/>
      <c r="C3" s="1165"/>
      <c r="D3" s="1165"/>
      <c r="E3" s="1165"/>
      <c r="F3" s="1165"/>
      <c r="G3" s="1165"/>
      <c r="H3" s="1165"/>
      <c r="I3" s="1165"/>
      <c r="J3" s="1165"/>
      <c r="K3" s="1165"/>
      <c r="L3" s="1165"/>
      <c r="M3" s="1165"/>
      <c r="N3" s="1165"/>
      <c r="O3" s="1165"/>
      <c r="P3" s="1165"/>
      <c r="Q3" s="1165"/>
      <c r="R3" s="1165"/>
    </row>
    <row r="4" spans="1:19" ht="15.75" thickBot="1">
      <c r="A4" s="473"/>
      <c r="B4" s="473"/>
      <c r="C4" s="63"/>
      <c r="D4" s="63"/>
      <c r="E4" s="63"/>
      <c r="F4" s="63"/>
      <c r="G4" s="63"/>
      <c r="H4" s="63"/>
      <c r="I4" s="63"/>
      <c r="J4" s="63"/>
      <c r="K4" s="63"/>
      <c r="L4" s="63"/>
      <c r="M4" s="63"/>
      <c r="N4" s="63"/>
      <c r="O4" s="63"/>
      <c r="P4" s="63"/>
      <c r="Q4" s="63"/>
      <c r="R4" s="63"/>
    </row>
    <row r="5" spans="1:19" ht="16.5" thickBot="1">
      <c r="A5" s="1166" t="s">
        <v>222</v>
      </c>
      <c r="B5" s="802"/>
      <c r="C5" s="1169" t="s">
        <v>343</v>
      </c>
      <c r="D5" s="1170"/>
      <c r="E5" s="1170"/>
      <c r="F5" s="1170"/>
      <c r="G5" s="1170"/>
      <c r="H5" s="1170"/>
      <c r="I5" s="1170"/>
      <c r="J5" s="1170"/>
      <c r="K5" s="1170"/>
      <c r="L5" s="1170"/>
      <c r="M5" s="1170"/>
      <c r="N5" s="1170"/>
      <c r="O5" s="1170"/>
      <c r="P5" s="1170"/>
      <c r="Q5" s="1170"/>
      <c r="R5" s="1171"/>
    </row>
    <row r="6" spans="1:19" ht="16.5" thickTop="1">
      <c r="A6" s="1167"/>
      <c r="B6" s="803"/>
      <c r="C6" s="1172" t="s">
        <v>21</v>
      </c>
      <c r="D6" s="1174" t="s">
        <v>196</v>
      </c>
      <c r="E6" s="1176" t="s">
        <v>197</v>
      </c>
      <c r="F6" s="1177"/>
      <c r="G6" s="1177"/>
      <c r="H6" s="1177"/>
      <c r="I6" s="1177"/>
      <c r="J6" s="1177"/>
      <c r="K6" s="1177"/>
      <c r="L6" s="1178"/>
      <c r="M6" s="1176" t="s">
        <v>198</v>
      </c>
      <c r="N6" s="1177"/>
      <c r="O6" s="1177"/>
      <c r="P6" s="1177"/>
      <c r="Q6" s="1177"/>
      <c r="R6" s="1179" t="s">
        <v>116</v>
      </c>
    </row>
    <row r="7" spans="1:19" ht="45.75" thickBot="1">
      <c r="A7" s="1168"/>
      <c r="B7" s="804"/>
      <c r="C7" s="1173"/>
      <c r="D7" s="1175"/>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80"/>
    </row>
    <row r="8" spans="1:19" ht="18.75" customHeight="1" thickTop="1">
      <c r="A8" s="809" t="s">
        <v>344</v>
      </c>
      <c r="B8" s="814"/>
      <c r="C8" s="1151"/>
      <c r="D8" s="1151"/>
      <c r="E8" s="1151"/>
      <c r="F8" s="1151"/>
      <c r="G8" s="1151"/>
      <c r="H8" s="1151"/>
      <c r="I8" s="1151"/>
      <c r="J8" s="1151"/>
      <c r="K8" s="1151"/>
      <c r="L8" s="1151"/>
      <c r="M8" s="1151"/>
      <c r="N8" s="1151"/>
      <c r="O8" s="1151"/>
      <c r="P8" s="1151"/>
      <c r="Q8" s="1151"/>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28892.797529999996</v>
      </c>
      <c r="D10" s="1025">
        <f ca="1">tertiair!C16</f>
        <v>0</v>
      </c>
      <c r="E10" s="1025">
        <f ca="1">tertiair!D16</f>
        <v>12943.770323277688</v>
      </c>
      <c r="F10" s="1025">
        <f>tertiair!E16</f>
        <v>150.71209761289913</v>
      </c>
      <c r="G10" s="1025">
        <f ca="1">tertiair!F16</f>
        <v>3463.4362604579746</v>
      </c>
      <c r="H10" s="1025">
        <f>tertiair!G16</f>
        <v>0</v>
      </c>
      <c r="I10" s="1025">
        <f>tertiair!H16</f>
        <v>0</v>
      </c>
      <c r="J10" s="1025">
        <f>tertiair!I16</f>
        <v>0</v>
      </c>
      <c r="K10" s="1025">
        <f>tertiair!J16</f>
        <v>0</v>
      </c>
      <c r="L10" s="1025">
        <f>tertiair!K16</f>
        <v>0</v>
      </c>
      <c r="M10" s="1025">
        <f ca="1">tertiair!L16</f>
        <v>0</v>
      </c>
      <c r="N10" s="1025">
        <f>tertiair!M16</f>
        <v>0</v>
      </c>
      <c r="O10" s="1025">
        <f ca="1">tertiair!N16</f>
        <v>632.97119107073638</v>
      </c>
      <c r="P10" s="1025">
        <f>tertiair!O16</f>
        <v>1.5633333333333335</v>
      </c>
      <c r="Q10" s="1026">
        <f>tertiair!P16</f>
        <v>0</v>
      </c>
      <c r="R10" s="701">
        <f ca="1">SUM(C10:Q10)</f>
        <v>46085.250735752619</v>
      </c>
      <c r="S10" s="67"/>
    </row>
    <row r="11" spans="1:19" s="474" customFormat="1">
      <c r="A11" s="810" t="s">
        <v>225</v>
      </c>
      <c r="B11" s="815"/>
      <c r="C11" s="1025">
        <f>huishoudens!B8</f>
        <v>17383.719966785826</v>
      </c>
      <c r="D11" s="1025">
        <f>huishoudens!C8</f>
        <v>0</v>
      </c>
      <c r="E11" s="1025">
        <f>huishoudens!D8</f>
        <v>27580.456070677476</v>
      </c>
      <c r="F11" s="1025">
        <f>huishoudens!E8</f>
        <v>2384.8465837402327</v>
      </c>
      <c r="G11" s="1025">
        <f>huishoudens!F8</f>
        <v>28931.755937274735</v>
      </c>
      <c r="H11" s="1025">
        <f>huishoudens!G8</f>
        <v>0</v>
      </c>
      <c r="I11" s="1025">
        <f>huishoudens!H8</f>
        <v>0</v>
      </c>
      <c r="J11" s="1025">
        <f>huishoudens!I8</f>
        <v>0</v>
      </c>
      <c r="K11" s="1025">
        <f>huishoudens!J8</f>
        <v>798.45487917775358</v>
      </c>
      <c r="L11" s="1025">
        <f>huishoudens!K8</f>
        <v>0</v>
      </c>
      <c r="M11" s="1025">
        <f>huishoudens!L8</f>
        <v>0</v>
      </c>
      <c r="N11" s="1025">
        <f>huishoudens!M8</f>
        <v>0</v>
      </c>
      <c r="O11" s="1025">
        <f>huishoudens!N8</f>
        <v>15427.931764282543</v>
      </c>
      <c r="P11" s="1025">
        <f>huishoudens!O8</f>
        <v>221.99333333333334</v>
      </c>
      <c r="Q11" s="1026">
        <f>huishoudens!P8</f>
        <v>476.66666666666663</v>
      </c>
      <c r="R11" s="701">
        <f>SUM(C11:Q11)</f>
        <v>93205.825201938569</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3078.4196000000002</v>
      </c>
      <c r="D13" s="1025">
        <f>industrie!C18</f>
        <v>0</v>
      </c>
      <c r="E13" s="1025">
        <f>industrie!D18</f>
        <v>1184.7764037156871</v>
      </c>
      <c r="F13" s="1025">
        <f>industrie!E18</f>
        <v>250.18528320398309</v>
      </c>
      <c r="G13" s="1025">
        <f>industrie!F18</f>
        <v>1475.369916630076</v>
      </c>
      <c r="H13" s="1025">
        <f>industrie!G18</f>
        <v>0</v>
      </c>
      <c r="I13" s="1025">
        <f>industrie!H18</f>
        <v>0</v>
      </c>
      <c r="J13" s="1025">
        <f>industrie!I18</f>
        <v>0</v>
      </c>
      <c r="K13" s="1025">
        <f>industrie!J18</f>
        <v>11.918091921533147</v>
      </c>
      <c r="L13" s="1025">
        <f>industrie!K18</f>
        <v>0</v>
      </c>
      <c r="M13" s="1025">
        <f>industrie!L18</f>
        <v>0</v>
      </c>
      <c r="N13" s="1025">
        <f>industrie!M18</f>
        <v>0</v>
      </c>
      <c r="O13" s="1025">
        <f>industrie!N18</f>
        <v>603.52380977099551</v>
      </c>
      <c r="P13" s="1025">
        <f>industrie!O18</f>
        <v>0</v>
      </c>
      <c r="Q13" s="1026">
        <f>industrie!P18</f>
        <v>0</v>
      </c>
      <c r="R13" s="701">
        <f>SUM(C13:Q13)</f>
        <v>6604.1931052422751</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49354.937096785819</v>
      </c>
      <c r="D16" s="733">
        <f t="shared" ref="D16:R16" ca="1" si="0">SUM(D9:D15)</f>
        <v>0</v>
      </c>
      <c r="E16" s="733">
        <f t="shared" ca="1" si="0"/>
        <v>41709.002797670852</v>
      </c>
      <c r="F16" s="733">
        <f t="shared" si="0"/>
        <v>2785.7439645571149</v>
      </c>
      <c r="G16" s="733">
        <f t="shared" ca="1" si="0"/>
        <v>33870.562114362787</v>
      </c>
      <c r="H16" s="733">
        <f t="shared" si="0"/>
        <v>0</v>
      </c>
      <c r="I16" s="733">
        <f t="shared" si="0"/>
        <v>0</v>
      </c>
      <c r="J16" s="733">
        <f t="shared" si="0"/>
        <v>0</v>
      </c>
      <c r="K16" s="733">
        <f t="shared" si="0"/>
        <v>810.3729710992867</v>
      </c>
      <c r="L16" s="733">
        <f t="shared" si="0"/>
        <v>0</v>
      </c>
      <c r="M16" s="733">
        <f t="shared" ca="1" si="0"/>
        <v>0</v>
      </c>
      <c r="N16" s="733">
        <f t="shared" si="0"/>
        <v>0</v>
      </c>
      <c r="O16" s="733">
        <f t="shared" ca="1" si="0"/>
        <v>16664.426765124274</v>
      </c>
      <c r="P16" s="733">
        <f t="shared" si="0"/>
        <v>223.55666666666667</v>
      </c>
      <c r="Q16" s="733">
        <f t="shared" si="0"/>
        <v>476.66666666666663</v>
      </c>
      <c r="R16" s="733">
        <f t="shared" ca="1" si="0"/>
        <v>145895.26904293348</v>
      </c>
      <c r="S16" s="67"/>
    </row>
    <row r="17" spans="1:19" s="474" customFormat="1" ht="15.75">
      <c r="A17" s="812" t="s">
        <v>227</v>
      </c>
      <c r="B17" s="737"/>
      <c r="C17" s="1152"/>
      <c r="D17" s="1152"/>
      <c r="E17" s="1152"/>
      <c r="F17" s="1152"/>
      <c r="G17" s="1152"/>
      <c r="H17" s="1152"/>
      <c r="I17" s="1152"/>
      <c r="J17" s="1152"/>
      <c r="K17" s="1152"/>
      <c r="L17" s="1152"/>
      <c r="M17" s="1152"/>
      <c r="N17" s="1152"/>
      <c r="O17" s="1152"/>
      <c r="P17" s="1152"/>
      <c r="Q17" s="1152"/>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0</v>
      </c>
      <c r="D19" s="1025">
        <f>transport!C54</f>
        <v>0</v>
      </c>
      <c r="E19" s="1025">
        <f>transport!D54</f>
        <v>0</v>
      </c>
      <c r="F19" s="1025">
        <f>transport!E54</f>
        <v>0</v>
      </c>
      <c r="G19" s="1025">
        <f>transport!F54</f>
        <v>0</v>
      </c>
      <c r="H19" s="1025">
        <f>transport!G54</f>
        <v>616.70861393058715</v>
      </c>
      <c r="I19" s="1025">
        <f>transport!H54</f>
        <v>0</v>
      </c>
      <c r="J19" s="1025">
        <f>transport!I54</f>
        <v>0</v>
      </c>
      <c r="K19" s="1025">
        <f>transport!J54</f>
        <v>0</v>
      </c>
      <c r="L19" s="1025">
        <f>transport!K54</f>
        <v>0</v>
      </c>
      <c r="M19" s="1025">
        <f>transport!L54</f>
        <v>0</v>
      </c>
      <c r="N19" s="1025">
        <f>transport!M54</f>
        <v>35.169094449734928</v>
      </c>
      <c r="O19" s="1025">
        <f>transport!N54</f>
        <v>0</v>
      </c>
      <c r="P19" s="1025">
        <f>transport!O54</f>
        <v>0</v>
      </c>
      <c r="Q19" s="1026">
        <f>transport!P54</f>
        <v>0</v>
      </c>
      <c r="R19" s="701">
        <f>SUM(C19:Q19)</f>
        <v>651.87770838032202</v>
      </c>
      <c r="S19" s="67"/>
    </row>
    <row r="20" spans="1:19" s="474" customFormat="1">
      <c r="A20" s="810" t="s">
        <v>307</v>
      </c>
      <c r="B20" s="815"/>
      <c r="C20" s="1025">
        <f>transport!B14</f>
        <v>12.664039329017506</v>
      </c>
      <c r="D20" s="1025">
        <f>transport!C14</f>
        <v>0</v>
      </c>
      <c r="E20" s="1025">
        <f>transport!D14</f>
        <v>31.731007554016117</v>
      </c>
      <c r="F20" s="1025">
        <f>transport!E14</f>
        <v>220.67163543160945</v>
      </c>
      <c r="G20" s="1025">
        <f>transport!F14</f>
        <v>0</v>
      </c>
      <c r="H20" s="1025">
        <f>transport!G14</f>
        <v>68044.443965164552</v>
      </c>
      <c r="I20" s="1025">
        <f>transport!H14</f>
        <v>12212.891595520867</v>
      </c>
      <c r="J20" s="1025">
        <f>transport!I14</f>
        <v>0</v>
      </c>
      <c r="K20" s="1025">
        <f>transport!J14</f>
        <v>0</v>
      </c>
      <c r="L20" s="1025">
        <f>transport!K14</f>
        <v>0</v>
      </c>
      <c r="M20" s="1025">
        <f>transport!L14</f>
        <v>0</v>
      </c>
      <c r="N20" s="1025">
        <f>transport!M14</f>
        <v>4312.0184622199749</v>
      </c>
      <c r="O20" s="1025">
        <f>transport!N14</f>
        <v>0</v>
      </c>
      <c r="P20" s="1025">
        <f>transport!O14</f>
        <v>0</v>
      </c>
      <c r="Q20" s="1026">
        <f>transport!P14</f>
        <v>0</v>
      </c>
      <c r="R20" s="701">
        <f>SUM(C20:Q20)</f>
        <v>84834.420705220036</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12.664039329017506</v>
      </c>
      <c r="D22" s="813">
        <f t="shared" ref="D22:R22" si="1">SUM(D18:D21)</f>
        <v>0</v>
      </c>
      <c r="E22" s="813">
        <f t="shared" si="1"/>
        <v>31.731007554016117</v>
      </c>
      <c r="F22" s="813">
        <f t="shared" si="1"/>
        <v>220.67163543160945</v>
      </c>
      <c r="G22" s="813">
        <f t="shared" si="1"/>
        <v>0</v>
      </c>
      <c r="H22" s="813">
        <f t="shared" si="1"/>
        <v>68661.152579095142</v>
      </c>
      <c r="I22" s="813">
        <f t="shared" si="1"/>
        <v>12212.891595520867</v>
      </c>
      <c r="J22" s="813">
        <f t="shared" si="1"/>
        <v>0</v>
      </c>
      <c r="K22" s="813">
        <f t="shared" si="1"/>
        <v>0</v>
      </c>
      <c r="L22" s="813">
        <f t="shared" si="1"/>
        <v>0</v>
      </c>
      <c r="M22" s="813">
        <f t="shared" si="1"/>
        <v>0</v>
      </c>
      <c r="N22" s="813">
        <f t="shared" si="1"/>
        <v>4347.1875566697099</v>
      </c>
      <c r="O22" s="813">
        <f t="shared" si="1"/>
        <v>0</v>
      </c>
      <c r="P22" s="813">
        <f t="shared" si="1"/>
        <v>0</v>
      </c>
      <c r="Q22" s="813">
        <f t="shared" si="1"/>
        <v>0</v>
      </c>
      <c r="R22" s="813">
        <f t="shared" si="1"/>
        <v>85486.298413600365</v>
      </c>
      <c r="S22" s="67"/>
    </row>
    <row r="23" spans="1:19" s="474" customFormat="1" ht="15.75">
      <c r="A23" s="812" t="s">
        <v>237</v>
      </c>
      <c r="B23" s="737"/>
      <c r="C23" s="1152"/>
      <c r="D23" s="1152"/>
      <c r="E23" s="1152"/>
      <c r="F23" s="1152"/>
      <c r="G23" s="1152"/>
      <c r="H23" s="1152"/>
      <c r="I23" s="1152"/>
      <c r="J23" s="1152"/>
      <c r="K23" s="1152"/>
      <c r="L23" s="1152"/>
      <c r="M23" s="1152"/>
      <c r="N23" s="1152"/>
      <c r="O23" s="1152"/>
      <c r="P23" s="1152"/>
      <c r="Q23" s="1152"/>
      <c r="R23" s="703"/>
      <c r="S23" s="67"/>
    </row>
    <row r="24" spans="1:19" s="474" customFormat="1">
      <c r="A24" s="810" t="s">
        <v>648</v>
      </c>
      <c r="B24" s="815"/>
      <c r="C24" s="1025">
        <f>+landbouw!B8</f>
        <v>1555.00326</v>
      </c>
      <c r="D24" s="1025">
        <f>+landbouw!C8</f>
        <v>12480.428571428572</v>
      </c>
      <c r="E24" s="1025">
        <f>+landbouw!D8</f>
        <v>140.51405575395972</v>
      </c>
      <c r="F24" s="1025">
        <f>+landbouw!E8</f>
        <v>14.403091489353599</v>
      </c>
      <c r="G24" s="1025">
        <f>+landbouw!F8</f>
        <v>3945.3394984370348</v>
      </c>
      <c r="H24" s="1025">
        <f>+landbouw!G8</f>
        <v>0</v>
      </c>
      <c r="I24" s="1025">
        <f>+landbouw!H8</f>
        <v>0</v>
      </c>
      <c r="J24" s="1025">
        <f>+landbouw!I8</f>
        <v>0</v>
      </c>
      <c r="K24" s="1025">
        <f>+landbouw!J8</f>
        <v>238.39935364503057</v>
      </c>
      <c r="L24" s="1025">
        <f>+landbouw!K8</f>
        <v>0</v>
      </c>
      <c r="M24" s="1025">
        <f>+landbouw!L8</f>
        <v>0</v>
      </c>
      <c r="N24" s="1025">
        <f>+landbouw!M8</f>
        <v>0</v>
      </c>
      <c r="O24" s="1025">
        <f>+landbouw!N8</f>
        <v>0</v>
      </c>
      <c r="P24" s="1025">
        <f>+landbouw!O8</f>
        <v>0</v>
      </c>
      <c r="Q24" s="1026">
        <f>+landbouw!P8</f>
        <v>0</v>
      </c>
      <c r="R24" s="701">
        <f>SUM(C24:Q24)</f>
        <v>18374.08783075395</v>
      </c>
      <c r="S24" s="67"/>
    </row>
    <row r="25" spans="1:19" s="474" customFormat="1" ht="15" thickBot="1">
      <c r="A25" s="832" t="s">
        <v>864</v>
      </c>
      <c r="B25" s="1028"/>
      <c r="C25" s="1029">
        <f>IF(Onbekend_ele_kWh="---",0,Onbekend_ele_kWh)/1000+IF(REST_rest_ele_kWh="---",0,REST_rest_ele_kWh)/1000</f>
        <v>1012.54</v>
      </c>
      <c r="D25" s="1029"/>
      <c r="E25" s="1029">
        <f>IF(onbekend_gas_kWh="---",0,onbekend_gas_kWh)/1000+IF(REST_rest_gas_kWh="---",0,REST_rest_gas_kWh)/1000</f>
        <v>1105.4458732886601</v>
      </c>
      <c r="F25" s="1029"/>
      <c r="G25" s="1029"/>
      <c r="H25" s="1029"/>
      <c r="I25" s="1029"/>
      <c r="J25" s="1029"/>
      <c r="K25" s="1029"/>
      <c r="L25" s="1029"/>
      <c r="M25" s="1029"/>
      <c r="N25" s="1029"/>
      <c r="O25" s="1029"/>
      <c r="P25" s="1029"/>
      <c r="Q25" s="1030"/>
      <c r="R25" s="701">
        <f>SUM(C25:Q25)</f>
        <v>2117.9858732886601</v>
      </c>
      <c r="S25" s="67"/>
    </row>
    <row r="26" spans="1:19" s="474" customFormat="1" ht="15.75" thickBot="1">
      <c r="A26" s="706" t="s">
        <v>865</v>
      </c>
      <c r="B26" s="818"/>
      <c r="C26" s="813">
        <f>SUM(C24:C25)</f>
        <v>2567.5432599999999</v>
      </c>
      <c r="D26" s="813">
        <f t="shared" ref="D26:R26" si="2">SUM(D24:D25)</f>
        <v>12480.428571428572</v>
      </c>
      <c r="E26" s="813">
        <f t="shared" si="2"/>
        <v>1245.9599290426199</v>
      </c>
      <c r="F26" s="813">
        <f t="shared" si="2"/>
        <v>14.403091489353599</v>
      </c>
      <c r="G26" s="813">
        <f t="shared" si="2"/>
        <v>3945.3394984370348</v>
      </c>
      <c r="H26" s="813">
        <f t="shared" si="2"/>
        <v>0</v>
      </c>
      <c r="I26" s="813">
        <f t="shared" si="2"/>
        <v>0</v>
      </c>
      <c r="J26" s="813">
        <f t="shared" si="2"/>
        <v>0</v>
      </c>
      <c r="K26" s="813">
        <f t="shared" si="2"/>
        <v>238.39935364503057</v>
      </c>
      <c r="L26" s="813">
        <f t="shared" si="2"/>
        <v>0</v>
      </c>
      <c r="M26" s="813">
        <f t="shared" si="2"/>
        <v>0</v>
      </c>
      <c r="N26" s="813">
        <f t="shared" si="2"/>
        <v>0</v>
      </c>
      <c r="O26" s="813">
        <f t="shared" si="2"/>
        <v>0</v>
      </c>
      <c r="P26" s="813">
        <f t="shared" si="2"/>
        <v>0</v>
      </c>
      <c r="Q26" s="813">
        <f t="shared" si="2"/>
        <v>0</v>
      </c>
      <c r="R26" s="813">
        <f t="shared" si="2"/>
        <v>20492.07370404261</v>
      </c>
      <c r="S26" s="67"/>
    </row>
    <row r="27" spans="1:19" s="474" customFormat="1" ht="17.25" thickTop="1" thickBot="1">
      <c r="A27" s="707" t="s">
        <v>116</v>
      </c>
      <c r="B27" s="806"/>
      <c r="C27" s="708">
        <f ca="1">C22+C16+C26</f>
        <v>51935.144396114832</v>
      </c>
      <c r="D27" s="708">
        <f t="shared" ref="D27:R27" ca="1" si="3">D22+D16+D26</f>
        <v>12480.428571428572</v>
      </c>
      <c r="E27" s="708">
        <f t="shared" ca="1" si="3"/>
        <v>42986.693734267486</v>
      </c>
      <c r="F27" s="708">
        <f t="shared" si="3"/>
        <v>3020.8186914780781</v>
      </c>
      <c r="G27" s="708">
        <f t="shared" ca="1" si="3"/>
        <v>37815.901612799818</v>
      </c>
      <c r="H27" s="708">
        <f t="shared" si="3"/>
        <v>68661.152579095142</v>
      </c>
      <c r="I27" s="708">
        <f t="shared" si="3"/>
        <v>12212.891595520867</v>
      </c>
      <c r="J27" s="708">
        <f t="shared" si="3"/>
        <v>0</v>
      </c>
      <c r="K27" s="708">
        <f t="shared" si="3"/>
        <v>1048.7723247443173</v>
      </c>
      <c r="L27" s="708">
        <f t="shared" si="3"/>
        <v>0</v>
      </c>
      <c r="M27" s="708">
        <f t="shared" ca="1" si="3"/>
        <v>0</v>
      </c>
      <c r="N27" s="708">
        <f t="shared" si="3"/>
        <v>4347.1875566697099</v>
      </c>
      <c r="O27" s="708">
        <f t="shared" ca="1" si="3"/>
        <v>16664.426765124274</v>
      </c>
      <c r="P27" s="708">
        <f t="shared" si="3"/>
        <v>223.55666666666667</v>
      </c>
      <c r="Q27" s="708">
        <f t="shared" si="3"/>
        <v>476.66666666666663</v>
      </c>
      <c r="R27" s="708">
        <f t="shared" ca="1" si="3"/>
        <v>251873.64116057646</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53"/>
      <c r="B31" s="1153"/>
      <c r="C31" s="1153"/>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54"/>
      <c r="B35" s="820"/>
      <c r="C35" s="1156" t="s">
        <v>347</v>
      </c>
      <c r="D35" s="1157"/>
      <c r="E35" s="1157"/>
      <c r="F35" s="1157"/>
      <c r="G35" s="1157"/>
      <c r="H35" s="1157"/>
      <c r="I35" s="1157"/>
      <c r="J35" s="1157"/>
      <c r="K35" s="1157"/>
      <c r="L35" s="1157"/>
      <c r="M35" s="1157"/>
      <c r="N35" s="1157"/>
      <c r="O35" s="1157"/>
      <c r="P35" s="1157"/>
      <c r="Q35" s="1157"/>
      <c r="R35" s="1158"/>
    </row>
    <row r="36" spans="1:18" ht="16.5" thickTop="1">
      <c r="A36" s="1155"/>
      <c r="B36" s="821"/>
      <c r="C36" s="1159" t="s">
        <v>21</v>
      </c>
      <c r="D36" s="1102" t="s">
        <v>232</v>
      </c>
      <c r="E36" s="1161" t="s">
        <v>197</v>
      </c>
      <c r="F36" s="1162"/>
      <c r="G36" s="1162"/>
      <c r="H36" s="1162"/>
      <c r="I36" s="1162"/>
      <c r="J36" s="1162"/>
      <c r="K36" s="1162"/>
      <c r="L36" s="1163"/>
      <c r="M36" s="1161" t="s">
        <v>198</v>
      </c>
      <c r="N36" s="1162"/>
      <c r="O36" s="1162"/>
      <c r="P36" s="1162"/>
      <c r="Q36" s="1162"/>
      <c r="R36" s="1117" t="s">
        <v>116</v>
      </c>
    </row>
    <row r="37" spans="1:18" ht="45.75" thickBot="1">
      <c r="A37" s="1155"/>
      <c r="B37" s="821"/>
      <c r="C37" s="1160"/>
      <c r="D37" s="110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19"/>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2747.5966554638117</v>
      </c>
      <c r="D40" s="1025">
        <f ca="1">tertiair!C20</f>
        <v>0</v>
      </c>
      <c r="E40" s="1025">
        <f ca="1">tertiair!D20</f>
        <v>2614.641605302093</v>
      </c>
      <c r="F40" s="1025">
        <f>tertiair!E20</f>
        <v>34.211646158128104</v>
      </c>
      <c r="G40" s="1025">
        <f ca="1">tertiair!F20</f>
        <v>924.73748154227928</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6321.1873884663119</v>
      </c>
    </row>
    <row r="41" spans="1:18">
      <c r="A41" s="823" t="s">
        <v>225</v>
      </c>
      <c r="B41" s="830"/>
      <c r="C41" s="1025">
        <f ca="1">huishoudens!B12</f>
        <v>1653.1265548331355</v>
      </c>
      <c r="D41" s="1025">
        <f ca="1">huishoudens!C12</f>
        <v>0</v>
      </c>
      <c r="E41" s="1025">
        <f>huishoudens!D12</f>
        <v>5571.2521262768505</v>
      </c>
      <c r="F41" s="1025">
        <f>huishoudens!E12</f>
        <v>541.36017450903284</v>
      </c>
      <c r="G41" s="1025">
        <f>huishoudens!F12</f>
        <v>7724.7788352523548</v>
      </c>
      <c r="H41" s="1025">
        <f>huishoudens!G12</f>
        <v>0</v>
      </c>
      <c r="I41" s="1025">
        <f>huishoudens!H12</f>
        <v>0</v>
      </c>
      <c r="J41" s="1025">
        <f>huishoudens!I12</f>
        <v>0</v>
      </c>
      <c r="K41" s="1025">
        <f>huishoudens!J12</f>
        <v>282.65302722892477</v>
      </c>
      <c r="L41" s="1025">
        <f>huishoudens!K12</f>
        <v>0</v>
      </c>
      <c r="M41" s="1025">
        <f>huishoudens!L12</f>
        <v>0</v>
      </c>
      <c r="N41" s="1025">
        <f>huishoudens!M12</f>
        <v>0</v>
      </c>
      <c r="O41" s="1025">
        <f>huishoudens!N12</f>
        <v>0</v>
      </c>
      <c r="P41" s="1025">
        <f>huishoudens!O12</f>
        <v>0</v>
      </c>
      <c r="Q41" s="775">
        <f>huishoudens!P12</f>
        <v>0</v>
      </c>
      <c r="R41" s="851">
        <f t="shared" ca="1" si="4"/>
        <v>15773.170718100298</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292.74615544901332</v>
      </c>
      <c r="D43" s="1025">
        <f ca="1">industrie!C22</f>
        <v>0</v>
      </c>
      <c r="E43" s="1025">
        <f>industrie!D22</f>
        <v>239.32483355056883</v>
      </c>
      <c r="F43" s="1025">
        <f>industrie!E22</f>
        <v>56.792059287304163</v>
      </c>
      <c r="G43" s="1025">
        <f>industrie!F22</f>
        <v>393.92376774023029</v>
      </c>
      <c r="H43" s="1025">
        <f>industrie!G22</f>
        <v>0</v>
      </c>
      <c r="I43" s="1025">
        <f>industrie!H22</f>
        <v>0</v>
      </c>
      <c r="J43" s="1025">
        <f>industrie!I22</f>
        <v>0</v>
      </c>
      <c r="K43" s="1025">
        <f>industrie!J22</f>
        <v>4.2190045402227341</v>
      </c>
      <c r="L43" s="1025">
        <f>industrie!K22</f>
        <v>0</v>
      </c>
      <c r="M43" s="1025">
        <f>industrie!L22</f>
        <v>0</v>
      </c>
      <c r="N43" s="1025">
        <f>industrie!M22</f>
        <v>0</v>
      </c>
      <c r="O43" s="1025">
        <f>industrie!N22</f>
        <v>0</v>
      </c>
      <c r="P43" s="1025">
        <f>industrie!O22</f>
        <v>0</v>
      </c>
      <c r="Q43" s="775">
        <f>industrie!P22</f>
        <v>0</v>
      </c>
      <c r="R43" s="850">
        <f t="shared" ca="1" si="4"/>
        <v>987.00582056733936</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4693.4693657459611</v>
      </c>
      <c r="D46" s="733">
        <f t="shared" ref="D46:Q46" ca="1" si="5">SUM(D39:D45)</f>
        <v>0</v>
      </c>
      <c r="E46" s="733">
        <f t="shared" ca="1" si="5"/>
        <v>8425.2185651295131</v>
      </c>
      <c r="F46" s="733">
        <f t="shared" si="5"/>
        <v>632.36387995446512</v>
      </c>
      <c r="G46" s="733">
        <f t="shared" ca="1" si="5"/>
        <v>9043.4400845348646</v>
      </c>
      <c r="H46" s="733">
        <f t="shared" si="5"/>
        <v>0</v>
      </c>
      <c r="I46" s="733">
        <f t="shared" si="5"/>
        <v>0</v>
      </c>
      <c r="J46" s="733">
        <f t="shared" si="5"/>
        <v>0</v>
      </c>
      <c r="K46" s="733">
        <f t="shared" si="5"/>
        <v>286.8720317691475</v>
      </c>
      <c r="L46" s="733">
        <f t="shared" si="5"/>
        <v>0</v>
      </c>
      <c r="M46" s="733">
        <f t="shared" ca="1" si="5"/>
        <v>0</v>
      </c>
      <c r="N46" s="733">
        <f t="shared" si="5"/>
        <v>0</v>
      </c>
      <c r="O46" s="733">
        <f t="shared" ca="1" si="5"/>
        <v>0</v>
      </c>
      <c r="P46" s="733">
        <f t="shared" si="5"/>
        <v>0</v>
      </c>
      <c r="Q46" s="733">
        <f t="shared" si="5"/>
        <v>0</v>
      </c>
      <c r="R46" s="733">
        <f ca="1">SUM(R39:R45)</f>
        <v>23081.363927133949</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0</v>
      </c>
      <c r="D49" s="1025">
        <f ca="1">transport!C58</f>
        <v>0</v>
      </c>
      <c r="E49" s="1025">
        <f>transport!D58</f>
        <v>0</v>
      </c>
      <c r="F49" s="1025">
        <f>transport!E58</f>
        <v>0</v>
      </c>
      <c r="G49" s="1025">
        <f>transport!F58</f>
        <v>0</v>
      </c>
      <c r="H49" s="1025">
        <f>transport!G58</f>
        <v>164.66119991946678</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164.66119991946678</v>
      </c>
    </row>
    <row r="50" spans="1:18">
      <c r="A50" s="826" t="s">
        <v>307</v>
      </c>
      <c r="B50" s="836"/>
      <c r="C50" s="704">
        <f ca="1">transport!B18</f>
        <v>1.2043026317870951</v>
      </c>
      <c r="D50" s="704">
        <f>transport!C18</f>
        <v>0</v>
      </c>
      <c r="E50" s="704">
        <f>transport!D18</f>
        <v>6.409663525911256</v>
      </c>
      <c r="F50" s="704">
        <f>transport!E18</f>
        <v>50.092461242975347</v>
      </c>
      <c r="G50" s="704">
        <f>transport!F18</f>
        <v>0</v>
      </c>
      <c r="H50" s="704">
        <f>transport!G18</f>
        <v>18167.866538698938</v>
      </c>
      <c r="I50" s="704">
        <f>transport!H18</f>
        <v>3041.0100072846958</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21266.582973384306</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1.2043026317870951</v>
      </c>
      <c r="D52" s="733">
        <f t="shared" ref="D52:Q52" ca="1" si="6">SUM(D48:D51)</f>
        <v>0</v>
      </c>
      <c r="E52" s="733">
        <f t="shared" si="6"/>
        <v>6.409663525911256</v>
      </c>
      <c r="F52" s="733">
        <f t="shared" si="6"/>
        <v>50.092461242975347</v>
      </c>
      <c r="G52" s="733">
        <f t="shared" si="6"/>
        <v>0</v>
      </c>
      <c r="H52" s="733">
        <f t="shared" si="6"/>
        <v>18332.527738618406</v>
      </c>
      <c r="I52" s="733">
        <f t="shared" si="6"/>
        <v>3041.0100072846958</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21431.244173303774</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147.87497652226565</v>
      </c>
      <c r="D54" s="704">
        <f ca="1">+landbouw!C12</f>
        <v>0</v>
      </c>
      <c r="E54" s="704">
        <f>+landbouw!D12</f>
        <v>28.383839262299865</v>
      </c>
      <c r="F54" s="704">
        <f>+landbouw!E12</f>
        <v>3.2695017680832672</v>
      </c>
      <c r="G54" s="704">
        <f>+landbouw!F12</f>
        <v>1053.4056460826882</v>
      </c>
      <c r="H54" s="704">
        <f>+landbouw!G12</f>
        <v>0</v>
      </c>
      <c r="I54" s="704">
        <f>+landbouw!H12</f>
        <v>0</v>
      </c>
      <c r="J54" s="704">
        <f>+landbouw!I12</f>
        <v>0</v>
      </c>
      <c r="K54" s="704">
        <f>+landbouw!J12</f>
        <v>84.393371190340815</v>
      </c>
      <c r="L54" s="704">
        <f>+landbouw!K12</f>
        <v>0</v>
      </c>
      <c r="M54" s="704">
        <f>+landbouw!L12</f>
        <v>0</v>
      </c>
      <c r="N54" s="704">
        <f>+landbouw!M12</f>
        <v>0</v>
      </c>
      <c r="O54" s="704">
        <f>+landbouw!N12</f>
        <v>0</v>
      </c>
      <c r="P54" s="704">
        <f>+landbouw!O12</f>
        <v>0</v>
      </c>
      <c r="Q54" s="705">
        <f>+landbouw!P12</f>
        <v>0</v>
      </c>
      <c r="R54" s="732">
        <f ca="1">SUM(C54:Q54)</f>
        <v>1317.3273348256778</v>
      </c>
    </row>
    <row r="55" spans="1:18" ht="15" thickBot="1">
      <c r="A55" s="826" t="s">
        <v>864</v>
      </c>
      <c r="B55" s="836"/>
      <c r="C55" s="704">
        <f ca="1">C25*'EF ele_warmte'!B12</f>
        <v>96.288755515441721</v>
      </c>
      <c r="D55" s="704"/>
      <c r="E55" s="704">
        <f>E25*EF_CO2_aardgas</f>
        <v>223.30006640430935</v>
      </c>
      <c r="F55" s="704"/>
      <c r="G55" s="704"/>
      <c r="H55" s="704"/>
      <c r="I55" s="704"/>
      <c r="J55" s="704"/>
      <c r="K55" s="704"/>
      <c r="L55" s="704"/>
      <c r="M55" s="704"/>
      <c r="N55" s="704"/>
      <c r="O55" s="704"/>
      <c r="P55" s="704"/>
      <c r="Q55" s="705"/>
      <c r="R55" s="732">
        <f ca="1">SUM(C55:Q55)</f>
        <v>319.58882191975107</v>
      </c>
    </row>
    <row r="56" spans="1:18" ht="15.75" thickBot="1">
      <c r="A56" s="824" t="s">
        <v>865</v>
      </c>
      <c r="B56" s="837"/>
      <c r="C56" s="733">
        <f ca="1">SUM(C54:C55)</f>
        <v>244.16373203770738</v>
      </c>
      <c r="D56" s="733">
        <f t="shared" ref="D56:Q56" ca="1" si="7">SUM(D54:D55)</f>
        <v>0</v>
      </c>
      <c r="E56" s="733">
        <f t="shared" si="7"/>
        <v>251.68390566660921</v>
      </c>
      <c r="F56" s="733">
        <f t="shared" si="7"/>
        <v>3.2695017680832672</v>
      </c>
      <c r="G56" s="733">
        <f t="shared" si="7"/>
        <v>1053.4056460826882</v>
      </c>
      <c r="H56" s="733">
        <f t="shared" si="7"/>
        <v>0</v>
      </c>
      <c r="I56" s="733">
        <f t="shared" si="7"/>
        <v>0</v>
      </c>
      <c r="J56" s="733">
        <f t="shared" si="7"/>
        <v>0</v>
      </c>
      <c r="K56" s="733">
        <f t="shared" si="7"/>
        <v>84.393371190340815</v>
      </c>
      <c r="L56" s="733">
        <f t="shared" si="7"/>
        <v>0</v>
      </c>
      <c r="M56" s="733">
        <f t="shared" si="7"/>
        <v>0</v>
      </c>
      <c r="N56" s="733">
        <f t="shared" si="7"/>
        <v>0</v>
      </c>
      <c r="O56" s="733">
        <f t="shared" si="7"/>
        <v>0</v>
      </c>
      <c r="P56" s="733">
        <f t="shared" si="7"/>
        <v>0</v>
      </c>
      <c r="Q56" s="734">
        <f t="shared" si="7"/>
        <v>0</v>
      </c>
      <c r="R56" s="735">
        <f ca="1">SUM(R54:R55)</f>
        <v>1636.9161567454289</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47"/>
      <c r="D58" s="1148"/>
      <c r="E58" s="1148"/>
      <c r="F58" s="1148"/>
      <c r="G58" s="1148"/>
      <c r="H58" s="1148"/>
      <c r="I58" s="1148"/>
      <c r="J58" s="1148"/>
      <c r="K58" s="1148"/>
      <c r="L58" s="1148"/>
      <c r="M58" s="1148"/>
      <c r="N58" s="1148"/>
      <c r="O58" s="1148"/>
      <c r="P58" s="1148"/>
      <c r="Q58" s="1148"/>
      <c r="R58" s="739"/>
    </row>
    <row r="59" spans="1:18" ht="15">
      <c r="A59" s="828" t="s">
        <v>239</v>
      </c>
      <c r="B59" s="815"/>
      <c r="C59" s="1149"/>
      <c r="D59" s="1150"/>
      <c r="E59" s="1150"/>
      <c r="F59" s="1150"/>
      <c r="G59" s="1150"/>
      <c r="H59" s="1150"/>
      <c r="I59" s="1150"/>
      <c r="J59" s="1150"/>
      <c r="K59" s="1150"/>
      <c r="L59" s="1150"/>
      <c r="M59" s="1150"/>
      <c r="N59" s="1150"/>
      <c r="O59" s="1150"/>
      <c r="P59" s="1150"/>
      <c r="Q59" s="1150"/>
      <c r="R59" s="740"/>
    </row>
    <row r="60" spans="1:18" ht="15" thickBot="1">
      <c r="A60" s="839" t="s">
        <v>240</v>
      </c>
      <c r="B60" s="840"/>
      <c r="C60" s="1149"/>
      <c r="D60" s="1150"/>
      <c r="E60" s="1150"/>
      <c r="F60" s="1150"/>
      <c r="G60" s="1150"/>
      <c r="H60" s="1150"/>
      <c r="I60" s="1150"/>
      <c r="J60" s="1150"/>
      <c r="K60" s="1150"/>
      <c r="L60" s="1150"/>
      <c r="M60" s="1150"/>
      <c r="N60" s="1150"/>
      <c r="O60" s="1150"/>
      <c r="P60" s="1150"/>
      <c r="Q60" s="1150"/>
      <c r="R60" s="732"/>
    </row>
    <row r="61" spans="1:18" ht="16.5" thickBot="1">
      <c r="A61" s="842" t="s">
        <v>116</v>
      </c>
      <c r="B61" s="843"/>
      <c r="C61" s="741">
        <f ca="1">C46+C52+C56</f>
        <v>4938.8374004154557</v>
      </c>
      <c r="D61" s="741">
        <f t="shared" ref="D61:Q61" ca="1" si="8">D46+D52+D56</f>
        <v>0</v>
      </c>
      <c r="E61" s="741">
        <f t="shared" ca="1" si="8"/>
        <v>8683.3121343220337</v>
      </c>
      <c r="F61" s="741">
        <f t="shared" si="8"/>
        <v>685.72584296552373</v>
      </c>
      <c r="G61" s="741">
        <f t="shared" ca="1" si="8"/>
        <v>10096.845730617553</v>
      </c>
      <c r="H61" s="741">
        <f t="shared" si="8"/>
        <v>18332.527738618406</v>
      </c>
      <c r="I61" s="741">
        <f t="shared" si="8"/>
        <v>3041.0100072846958</v>
      </c>
      <c r="J61" s="741">
        <f t="shared" si="8"/>
        <v>0</v>
      </c>
      <c r="K61" s="741">
        <f t="shared" si="8"/>
        <v>371.26540295948831</v>
      </c>
      <c r="L61" s="741">
        <f t="shared" si="8"/>
        <v>0</v>
      </c>
      <c r="M61" s="741">
        <f t="shared" ca="1" si="8"/>
        <v>0</v>
      </c>
      <c r="N61" s="741">
        <f t="shared" si="8"/>
        <v>0</v>
      </c>
      <c r="O61" s="741">
        <f t="shared" ca="1" si="8"/>
        <v>0</v>
      </c>
      <c r="P61" s="741">
        <f t="shared" si="8"/>
        <v>0</v>
      </c>
      <c r="Q61" s="741">
        <f t="shared" si="8"/>
        <v>0</v>
      </c>
      <c r="R61" s="741">
        <f ca="1">R46+R52+R56</f>
        <v>46149.524257183148</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9.5096248558517935E-2</v>
      </c>
      <c r="D63" s="782">
        <f t="shared" ca="1" si="9"/>
        <v>0</v>
      </c>
      <c r="E63" s="1036">
        <f t="shared" ca="1" si="9"/>
        <v>0.20200000000000004</v>
      </c>
      <c r="F63" s="782">
        <f t="shared" si="9"/>
        <v>0.22700000000000001</v>
      </c>
      <c r="G63" s="782">
        <f t="shared" ca="1" si="9"/>
        <v>0.26700000000000007</v>
      </c>
      <c r="H63" s="782">
        <f t="shared" si="9"/>
        <v>0.26700000000000007</v>
      </c>
      <c r="I63" s="782">
        <f t="shared" si="9"/>
        <v>0.249</v>
      </c>
      <c r="J63" s="782">
        <f t="shared" si="9"/>
        <v>0</v>
      </c>
      <c r="K63" s="782">
        <f t="shared" si="9"/>
        <v>0.35399999999999998</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17" t="s">
        <v>241</v>
      </c>
      <c r="B69" s="1095" t="s">
        <v>351</v>
      </c>
      <c r="C69" s="1096"/>
      <c r="D69" s="1139" t="s">
        <v>352</v>
      </c>
      <c r="E69" s="1140"/>
      <c r="F69" s="1140"/>
      <c r="G69" s="1140"/>
      <c r="H69" s="1140"/>
      <c r="I69" s="1140"/>
      <c r="J69" s="1140"/>
      <c r="K69" s="1140"/>
      <c r="L69" s="1140"/>
      <c r="M69" s="1140"/>
      <c r="N69" s="1140"/>
      <c r="O69" s="1141"/>
      <c r="P69" s="1037" t="s">
        <v>657</v>
      </c>
      <c r="Q69" s="1142" t="s">
        <v>656</v>
      </c>
      <c r="R69" s="1143"/>
    </row>
    <row r="70" spans="1:18" ht="61.5" thickTop="1" thickBot="1">
      <c r="A70" s="1118"/>
      <c r="B70" s="1137"/>
      <c r="C70" s="1138"/>
      <c r="D70" s="1144" t="s">
        <v>197</v>
      </c>
      <c r="E70" s="1145"/>
      <c r="F70" s="1145"/>
      <c r="G70" s="1145"/>
      <c r="H70" s="1146"/>
      <c r="I70" s="1008" t="s">
        <v>246</v>
      </c>
      <c r="J70" s="1008" t="s">
        <v>234</v>
      </c>
      <c r="K70" s="1008" t="s">
        <v>209</v>
      </c>
      <c r="L70" s="1008" t="s">
        <v>210</v>
      </c>
      <c r="M70" s="750" t="s">
        <v>245</v>
      </c>
      <c r="N70" s="1008" t="s">
        <v>247</v>
      </c>
      <c r="O70" s="1010" t="s">
        <v>127</v>
      </c>
      <c r="P70" s="1038"/>
      <c r="Q70" s="857"/>
      <c r="R70" s="858"/>
    </row>
    <row r="71" spans="1:18" ht="95.25" customHeight="1" thickTop="1" thickBot="1">
      <c r="A71" s="1119"/>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15767.465651714323</v>
      </c>
      <c r="C72" s="1135"/>
      <c r="D72" s="1135"/>
      <c r="E72" s="1136"/>
      <c r="F72" s="1136"/>
      <c r="G72" s="1126"/>
      <c r="H72" s="1129"/>
      <c r="I72" s="1132"/>
      <c r="J72" s="1011"/>
      <c r="K72" s="1110"/>
      <c r="L72" s="1110"/>
      <c r="M72" s="1110"/>
      <c r="N72" s="1110"/>
      <c r="O72" s="1113"/>
      <c r="P72" s="852">
        <v>0</v>
      </c>
      <c r="Q72" s="1043"/>
      <c r="R72" s="852">
        <v>0</v>
      </c>
    </row>
    <row r="73" spans="1:18" ht="15">
      <c r="A73" s="752" t="s">
        <v>250</v>
      </c>
      <c r="B73" s="751">
        <f>'lokale energieproductie'!B5</f>
        <v>0</v>
      </c>
      <c r="C73" s="1133"/>
      <c r="D73" s="1133"/>
      <c r="E73" s="1111"/>
      <c r="F73" s="1111"/>
      <c r="G73" s="1127"/>
      <c r="H73" s="1130"/>
      <c r="I73" s="1133"/>
      <c r="J73" s="1012"/>
      <c r="K73" s="1111"/>
      <c r="L73" s="1111"/>
      <c r="M73" s="1111"/>
      <c r="N73" s="1111"/>
      <c r="O73" s="1114"/>
      <c r="P73" s="853">
        <v>0</v>
      </c>
      <c r="Q73" s="859"/>
      <c r="R73" s="853">
        <v>0</v>
      </c>
    </row>
    <row r="74" spans="1:18" ht="15">
      <c r="A74" s="752" t="s">
        <v>251</v>
      </c>
      <c r="B74" s="751">
        <f>'lokale energieproductie'!B6</f>
        <v>5083.6981995342012</v>
      </c>
      <c r="C74" s="1133"/>
      <c r="D74" s="1133"/>
      <c r="E74" s="1111"/>
      <c r="F74" s="1111"/>
      <c r="G74" s="1127"/>
      <c r="H74" s="1130"/>
      <c r="I74" s="1133"/>
      <c r="J74" s="1012"/>
      <c r="K74" s="1111"/>
      <c r="L74" s="1111"/>
      <c r="M74" s="1111"/>
      <c r="N74" s="1111"/>
      <c r="O74" s="1114"/>
      <c r="P74" s="853">
        <v>0</v>
      </c>
      <c r="Q74" s="859"/>
      <c r="R74" s="853">
        <v>0</v>
      </c>
    </row>
    <row r="75" spans="1:18" ht="15.75" thickBot="1">
      <c r="A75" s="752" t="s">
        <v>867</v>
      </c>
      <c r="B75" s="751">
        <f>'lokale energieproductie'!B7</f>
        <v>0</v>
      </c>
      <c r="C75" s="1134"/>
      <c r="D75" s="1134"/>
      <c r="E75" s="1112"/>
      <c r="F75" s="1112"/>
      <c r="G75" s="1128"/>
      <c r="H75" s="1131"/>
      <c r="I75" s="1134"/>
      <c r="J75" s="1044"/>
      <c r="K75" s="1112"/>
      <c r="L75" s="1112"/>
      <c r="M75" s="1112"/>
      <c r="N75" s="1112"/>
      <c r="O75" s="1115"/>
      <c r="P75" s="853">
        <v>0</v>
      </c>
      <c r="Q75" s="1045"/>
      <c r="R75" s="853">
        <v>0</v>
      </c>
    </row>
    <row r="76" spans="1:18" ht="15">
      <c r="A76" s="753" t="s">
        <v>252</v>
      </c>
      <c r="B76" s="751">
        <f>'lokale energieproductie'!B8*IFERROR(SUM(I76:O76)/SUM(D76:O76),0)</f>
        <v>8736.2999999999993</v>
      </c>
      <c r="C76" s="751">
        <f>'lokale energieproductie'!B8*IFERROR(SUM(D76:H76)/SUM(D76:O76),0)</f>
        <v>0</v>
      </c>
      <c r="D76" s="1046">
        <f>'lokale energieproductie'!C8</f>
        <v>0</v>
      </c>
      <c r="E76" s="1047">
        <f>'lokale energieproductie'!D8</f>
        <v>0</v>
      </c>
      <c r="F76" s="1047">
        <f>'lokale energieproductie'!E8</f>
        <v>0</v>
      </c>
      <c r="G76" s="1047">
        <f>'lokale energieproductie'!F8</f>
        <v>0</v>
      </c>
      <c r="H76" s="1047">
        <f>'lokale energieproductie'!G8</f>
        <v>0</v>
      </c>
      <c r="I76" s="1047">
        <f>'lokale energieproductie'!I8</f>
        <v>0</v>
      </c>
      <c r="J76" s="1047">
        <f>'lokale energieproductie'!J8</f>
        <v>10278</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0</v>
      </c>
      <c r="R76" s="853">
        <v>0</v>
      </c>
    </row>
    <row r="77" spans="1:18" ht="30.75" thickBot="1">
      <c r="A77" s="754" t="s">
        <v>353</v>
      </c>
      <c r="B77" s="751">
        <f>'lokale energieproductie'!B9*IFERROR(SUM(I77:O77)/SUM(D77:O77),0)</f>
        <v>0</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0</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29587.463851248522</v>
      </c>
      <c r="C78" s="756">
        <f>SUM(C72:C77)</f>
        <v>0</v>
      </c>
      <c r="D78" s="757">
        <f t="shared" ref="D78:H78" si="10">SUM(D76:D77)</f>
        <v>0</v>
      </c>
      <c r="E78" s="757">
        <f t="shared" si="10"/>
        <v>0</v>
      </c>
      <c r="F78" s="757">
        <f t="shared" si="10"/>
        <v>0</v>
      </c>
      <c r="G78" s="757">
        <f t="shared" si="10"/>
        <v>0</v>
      </c>
      <c r="H78" s="757">
        <f t="shared" si="10"/>
        <v>0</v>
      </c>
      <c r="I78" s="757">
        <f>SUM(I76:I77)</f>
        <v>0</v>
      </c>
      <c r="J78" s="757">
        <f>SUM(J76:J77)</f>
        <v>10278</v>
      </c>
      <c r="K78" s="757">
        <f t="shared" ref="K78:L78" si="11">SUM(K76:K77)</f>
        <v>0</v>
      </c>
      <c r="L78" s="757">
        <f t="shared" si="11"/>
        <v>0</v>
      </c>
      <c r="M78" s="757">
        <f>SUM(M76:M77)</f>
        <v>0</v>
      </c>
      <c r="N78" s="757">
        <f>SUM(N76:N77)</f>
        <v>0</v>
      </c>
      <c r="O78" s="861">
        <f>SUM(O76:O77)</f>
        <v>0</v>
      </c>
      <c r="P78" s="758">
        <v>0</v>
      </c>
      <c r="Q78" s="758">
        <f>SUM(Q76:Q77)</f>
        <v>0</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17" t="s">
        <v>253</v>
      </c>
      <c r="B84" s="1095" t="s">
        <v>355</v>
      </c>
      <c r="C84" s="1120"/>
      <c r="D84" s="1123" t="s">
        <v>356</v>
      </c>
      <c r="E84" s="1124"/>
      <c r="F84" s="1124"/>
      <c r="G84" s="1124"/>
      <c r="H84" s="1124"/>
      <c r="I84" s="1124"/>
      <c r="J84" s="1124"/>
      <c r="K84" s="1124"/>
      <c r="L84" s="1124"/>
      <c r="M84" s="1124"/>
      <c r="N84" s="1124"/>
      <c r="O84" s="1125"/>
      <c r="P84" s="1037" t="s">
        <v>657</v>
      </c>
      <c r="Q84" s="1095" t="s">
        <v>656</v>
      </c>
      <c r="R84" s="1096"/>
    </row>
    <row r="85" spans="1:19" ht="16.5" customHeight="1" thickTop="1" thickBot="1">
      <c r="A85" s="1118"/>
      <c r="B85" s="1121"/>
      <c r="C85" s="1122"/>
      <c r="D85" s="1097" t="s">
        <v>197</v>
      </c>
      <c r="E85" s="1098"/>
      <c r="F85" s="1098"/>
      <c r="G85" s="1098"/>
      <c r="H85" s="1099"/>
      <c r="I85" s="1100" t="s">
        <v>246</v>
      </c>
      <c r="J85" s="1102" t="s">
        <v>234</v>
      </c>
      <c r="K85" s="1104" t="s">
        <v>209</v>
      </c>
      <c r="L85" s="1104" t="s">
        <v>210</v>
      </c>
      <c r="M85" s="1106" t="s">
        <v>245</v>
      </c>
      <c r="N85" s="1104" t="s">
        <v>257</v>
      </c>
      <c r="O85" s="1108" t="s">
        <v>127</v>
      </c>
      <c r="P85" s="1038"/>
      <c r="Q85" s="857"/>
      <c r="R85" s="858"/>
    </row>
    <row r="86" spans="1:19" ht="110.25" customHeight="1" thickTop="1" thickBot="1">
      <c r="A86" s="1119"/>
      <c r="B86" s="845" t="s">
        <v>655</v>
      </c>
      <c r="C86" s="845" t="s">
        <v>866</v>
      </c>
      <c r="D86" s="1016" t="s">
        <v>199</v>
      </c>
      <c r="E86" s="1009" t="s">
        <v>200</v>
      </c>
      <c r="F86" s="1007" t="s">
        <v>201</v>
      </c>
      <c r="G86" s="1009" t="s">
        <v>203</v>
      </c>
      <c r="H86" s="765" t="s">
        <v>204</v>
      </c>
      <c r="I86" s="1101"/>
      <c r="J86" s="1103"/>
      <c r="K86" s="1105"/>
      <c r="L86" s="1105"/>
      <c r="M86" s="1107"/>
      <c r="N86" s="1105"/>
      <c r="O86" s="1109"/>
      <c r="P86" s="1042"/>
      <c r="Q86" s="1016" t="s">
        <v>658</v>
      </c>
      <c r="R86" s="1014" t="s">
        <v>659</v>
      </c>
    </row>
    <row r="87" spans="1:19" ht="15.75" thickTop="1">
      <c r="A87" s="766" t="s">
        <v>252</v>
      </c>
      <c r="B87" s="767">
        <f>'lokale energieproductie'!B17*IFERROR(SUM(I87:O87)/SUM(D87:O87),0)</f>
        <v>12480.428571428572</v>
      </c>
      <c r="C87" s="767">
        <f>'lokale energieproductie'!B17*IFERROR(SUM(D87:H87)/SUM(D87:O87),0)</f>
        <v>0</v>
      </c>
      <c r="D87" s="778">
        <f>'lokale energieproductie'!C17</f>
        <v>0</v>
      </c>
      <c r="E87" s="778">
        <f>'lokale energieproductie'!D17</f>
        <v>0</v>
      </c>
      <c r="F87" s="778">
        <f>'lokale energieproductie'!E17</f>
        <v>0</v>
      </c>
      <c r="G87" s="778">
        <f>'lokale energieproductie'!F17</f>
        <v>0</v>
      </c>
      <c r="H87" s="778">
        <f>'lokale energieproductie'!G17</f>
        <v>0</v>
      </c>
      <c r="I87" s="778">
        <f>'lokale energieproductie'!I17</f>
        <v>0</v>
      </c>
      <c r="J87" s="778">
        <f>'lokale energieproductie'!J17</f>
        <v>14682.857142857145</v>
      </c>
      <c r="K87" s="778">
        <f>'lokale energieproductie'!M17</f>
        <v>0</v>
      </c>
      <c r="L87" s="778">
        <f>'lokale energieproductie'!N17</f>
        <v>0</v>
      </c>
      <c r="M87" s="778">
        <f>'lokale energieproductie'!H17</f>
        <v>0</v>
      </c>
      <c r="N87" s="778">
        <f>'lokale energieproductie'!K17</f>
        <v>0</v>
      </c>
      <c r="O87" s="778">
        <f>'lokale energieproductie'!L17</f>
        <v>0</v>
      </c>
      <c r="P87" s="1092"/>
      <c r="Q87" s="860">
        <f>D87*EF_CO2_aardgas+E87*EF_VLgas_CO2+'SEAP template'!F87*EF_stookolie_CO2+EF_bruinkool_CO2*'SEAP template'!G87+'SEAP template'!H87*EF_steenkool_CO2+'EF brandstof'!M4*'SEAP template'!M87+'SEAP template'!O87*EF_anderfossiel_CO2</f>
        <v>0</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093"/>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094"/>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12480.428571428572</v>
      </c>
      <c r="C90" s="756">
        <f>SUM(C87:C89)</f>
        <v>0</v>
      </c>
      <c r="D90" s="756">
        <f t="shared" ref="D90:H90" si="12">SUM(D87:D89)</f>
        <v>0</v>
      </c>
      <c r="E90" s="756">
        <f t="shared" si="12"/>
        <v>0</v>
      </c>
      <c r="F90" s="756">
        <f t="shared" si="12"/>
        <v>0</v>
      </c>
      <c r="G90" s="756">
        <f t="shared" si="12"/>
        <v>0</v>
      </c>
      <c r="H90" s="756">
        <f t="shared" si="12"/>
        <v>0</v>
      </c>
      <c r="I90" s="756">
        <f>SUM(I87:I89)</f>
        <v>0</v>
      </c>
      <c r="J90" s="756">
        <f>SUM(J87:J89)</f>
        <v>14682.857142857145</v>
      </c>
      <c r="K90" s="756">
        <f t="shared" ref="K90:L90" si="13">SUM(K87:K89)</f>
        <v>0</v>
      </c>
      <c r="L90" s="756">
        <f t="shared" si="13"/>
        <v>0</v>
      </c>
      <c r="M90" s="756">
        <f>SUM(M87:M89)</f>
        <v>0</v>
      </c>
      <c r="N90" s="756">
        <f>SUM(N87:N89)</f>
        <v>0</v>
      </c>
      <c r="O90" s="756">
        <f>SUM(O87:O89)</f>
        <v>0</v>
      </c>
      <c r="P90" s="756">
        <v>0</v>
      </c>
      <c r="Q90" s="756">
        <f>SUM(Q87:Q89)</f>
        <v>0</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55" t="s">
        <v>241</v>
      </c>
      <c r="B1" s="1264" t="s">
        <v>242</v>
      </c>
      <c r="C1" s="1302" t="s">
        <v>243</v>
      </c>
      <c r="D1" s="1303"/>
      <c r="E1" s="1303"/>
      <c r="F1" s="1303"/>
      <c r="G1" s="1303"/>
      <c r="H1" s="1303"/>
      <c r="I1" s="1303"/>
      <c r="J1" s="1303"/>
      <c r="K1" s="1303"/>
      <c r="L1" s="1303"/>
      <c r="M1" s="1303"/>
      <c r="N1" s="1304"/>
      <c r="O1" s="1261" t="s">
        <v>244</v>
      </c>
      <c r="P1" s="1264" t="s">
        <v>557</v>
      </c>
      <c r="Q1" s="1261"/>
      <c r="S1" s="1267"/>
      <c r="T1" s="1267"/>
      <c r="U1" s="1267"/>
    </row>
    <row r="2" spans="1:21" s="560" customFormat="1" ht="15.75" thickBot="1">
      <c r="A2" s="1256"/>
      <c r="B2" s="1256"/>
      <c r="C2" s="1298" t="s">
        <v>197</v>
      </c>
      <c r="D2" s="1299"/>
      <c r="E2" s="1299"/>
      <c r="F2" s="1299"/>
      <c r="G2" s="1300"/>
      <c r="H2" s="1301" t="s">
        <v>245</v>
      </c>
      <c r="I2" s="1277" t="s">
        <v>246</v>
      </c>
      <c r="J2" s="1277" t="s">
        <v>234</v>
      </c>
      <c r="K2" s="1277" t="s">
        <v>247</v>
      </c>
      <c r="L2" s="1277" t="s">
        <v>127</v>
      </c>
      <c r="M2" s="1277" t="s">
        <v>870</v>
      </c>
      <c r="N2" s="1273" t="s">
        <v>871</v>
      </c>
      <c r="O2" s="1262"/>
      <c r="P2" s="1265"/>
      <c r="Q2" s="1262"/>
      <c r="S2" s="1267"/>
      <c r="T2" s="1267"/>
      <c r="U2" s="1267"/>
    </row>
    <row r="3" spans="1:21" s="560" customFormat="1" ht="53.45" customHeight="1" thickBot="1">
      <c r="A3" s="1257"/>
      <c r="B3" s="1266"/>
      <c r="C3" s="561" t="s">
        <v>199</v>
      </c>
      <c r="D3" s="1024" t="s">
        <v>200</v>
      </c>
      <c r="E3" s="562" t="s">
        <v>201</v>
      </c>
      <c r="F3" s="563" t="s">
        <v>203</v>
      </c>
      <c r="G3" s="564" t="s">
        <v>204</v>
      </c>
      <c r="H3" s="1272"/>
      <c r="I3" s="1278"/>
      <c r="J3" s="1278"/>
      <c r="K3" s="1278"/>
      <c r="L3" s="1278"/>
      <c r="M3" s="1278"/>
      <c r="N3" s="1274"/>
      <c r="O3" s="1263"/>
      <c r="P3" s="1266"/>
      <c r="Q3" s="1263"/>
      <c r="S3" s="1267"/>
      <c r="T3" s="1267"/>
      <c r="U3" s="1267"/>
    </row>
    <row r="4" spans="1:21" s="560" customFormat="1" ht="15.75" thickTop="1">
      <c r="A4" s="565" t="s">
        <v>249</v>
      </c>
      <c r="B4" s="566">
        <f>IF(ISERROR(kWh_wind_land),0,kWh_wind_land)</f>
        <v>15767.465651714323</v>
      </c>
      <c r="C4" s="1279"/>
      <c r="D4" s="1282"/>
      <c r="E4" s="1282"/>
      <c r="F4" s="1285"/>
      <c r="G4" s="1288"/>
      <c r="H4" s="1291"/>
      <c r="I4" s="1282"/>
      <c r="J4" s="1282"/>
      <c r="K4" s="1282"/>
      <c r="L4" s="1282"/>
      <c r="M4" s="1282"/>
      <c r="N4" s="1053"/>
      <c r="O4" s="567"/>
      <c r="P4" s="1294"/>
      <c r="Q4" s="1295"/>
      <c r="S4" s="1020"/>
      <c r="T4" s="1250"/>
      <c r="U4" s="1250"/>
    </row>
    <row r="5" spans="1:21" s="560" customFormat="1">
      <c r="A5" s="568" t="s">
        <v>250</v>
      </c>
      <c r="B5" s="566">
        <f>IF(ISERROR(kWh_waterkracht),0,kWh_waterkracht)</f>
        <v>0</v>
      </c>
      <c r="C5" s="1280"/>
      <c r="D5" s="1283"/>
      <c r="E5" s="1283"/>
      <c r="F5" s="1286"/>
      <c r="G5" s="1289"/>
      <c r="H5" s="1292"/>
      <c r="I5" s="1283"/>
      <c r="J5" s="1283"/>
      <c r="K5" s="1283"/>
      <c r="L5" s="1283"/>
      <c r="M5" s="1283"/>
      <c r="N5" s="1053"/>
      <c r="O5" s="569"/>
      <c r="P5" s="1275"/>
      <c r="Q5" s="1276"/>
      <c r="S5" s="1020"/>
      <c r="T5" s="1250"/>
      <c r="U5" s="1250"/>
    </row>
    <row r="6" spans="1:21" s="560" customFormat="1">
      <c r="A6" s="568" t="s">
        <v>251</v>
      </c>
      <c r="B6" s="566">
        <f>IF(ISERROR((kWh_PV_kleiner_dan_10kW+kWh_PV_groter_dan_10kW)),0,(kWh_PV_kleiner_dan_10kW+kWh_PV_groter_dan_10kW))</f>
        <v>5083.6981995342012</v>
      </c>
      <c r="C6" s="1280"/>
      <c r="D6" s="1283"/>
      <c r="E6" s="1283"/>
      <c r="F6" s="1286"/>
      <c r="G6" s="1289"/>
      <c r="H6" s="1292"/>
      <c r="I6" s="1283"/>
      <c r="J6" s="1283"/>
      <c r="K6" s="1283"/>
      <c r="L6" s="1283"/>
      <c r="M6" s="1283"/>
      <c r="N6" s="1053"/>
      <c r="O6" s="569"/>
      <c r="P6" s="1275"/>
      <c r="Q6" s="1276"/>
      <c r="S6" s="1020"/>
      <c r="T6" s="1250"/>
      <c r="U6" s="1250"/>
    </row>
    <row r="7" spans="1:21" s="560" customFormat="1">
      <c r="A7" s="568" t="s">
        <v>867</v>
      </c>
      <c r="B7" s="566"/>
      <c r="C7" s="1281"/>
      <c r="D7" s="1284"/>
      <c r="E7" s="1284"/>
      <c r="F7" s="1287"/>
      <c r="G7" s="1290"/>
      <c r="H7" s="1293"/>
      <c r="I7" s="1284"/>
      <c r="J7" s="1284"/>
      <c r="K7" s="1284"/>
      <c r="L7" s="1284"/>
      <c r="M7" s="1284"/>
      <c r="N7" s="1054"/>
      <c r="O7" s="569"/>
      <c r="P7" s="1021"/>
      <c r="Q7" s="1022"/>
      <c r="S7" s="1020"/>
      <c r="T7" s="1020"/>
      <c r="U7" s="1020"/>
    </row>
    <row r="8" spans="1:21" s="560" customFormat="1">
      <c r="A8" s="570" t="s">
        <v>252</v>
      </c>
      <c r="B8" s="1055">
        <f>N58</f>
        <v>8736.2999999999993</v>
      </c>
      <c r="C8" s="571">
        <f>B101</f>
        <v>0</v>
      </c>
      <c r="D8" s="1056"/>
      <c r="E8" s="1056">
        <f>E101</f>
        <v>0</v>
      </c>
      <c r="F8" s="1057"/>
      <c r="G8" s="572"/>
      <c r="H8" s="1056">
        <f>I101</f>
        <v>0</v>
      </c>
      <c r="I8" s="1056">
        <f>G101+F101</f>
        <v>0</v>
      </c>
      <c r="J8" s="1056">
        <f>H101+D101+C101</f>
        <v>10278</v>
      </c>
      <c r="K8" s="1056"/>
      <c r="L8" s="1056"/>
      <c r="M8" s="1056"/>
      <c r="N8" s="573"/>
      <c r="O8" s="574">
        <f>C8*$C$12+D8*$D$12+E8*$E$12+F8*$F$12+G8*$G$12+H8*$H$12+I8*$I$12+J8*$J$12</f>
        <v>0</v>
      </c>
      <c r="P8" s="1275"/>
      <c r="Q8" s="1276"/>
      <c r="S8" s="1020"/>
      <c r="T8" s="1250"/>
      <c r="U8" s="1250"/>
    </row>
    <row r="9" spans="1:21" s="560" customFormat="1" ht="17.45" customHeight="1" thickBot="1">
      <c r="A9" s="575" t="s">
        <v>248</v>
      </c>
      <c r="B9" s="576">
        <f>N89+'Eigen informatie GS &amp; warmtenet'!B12</f>
        <v>0</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96"/>
      <c r="Q9" s="1297"/>
      <c r="R9" s="581"/>
      <c r="S9" s="1020"/>
      <c r="T9" s="1250"/>
      <c r="U9" s="1250"/>
    </row>
    <row r="10" spans="1:21" s="560" customFormat="1" ht="16.5" thickTop="1" thickBot="1">
      <c r="A10" s="582" t="s">
        <v>116</v>
      </c>
      <c r="B10" s="583">
        <f>SUM(B4:B9)</f>
        <v>29587.463851248522</v>
      </c>
      <c r="C10" s="584">
        <f t="shared" ref="C10:L10" si="0">SUM(C8:C9)</f>
        <v>0</v>
      </c>
      <c r="D10" s="584">
        <f t="shared" si="0"/>
        <v>0</v>
      </c>
      <c r="E10" s="584">
        <f t="shared" si="0"/>
        <v>0</v>
      </c>
      <c r="F10" s="584">
        <f t="shared" si="0"/>
        <v>0</v>
      </c>
      <c r="G10" s="584">
        <f t="shared" si="0"/>
        <v>0</v>
      </c>
      <c r="H10" s="584">
        <f t="shared" si="0"/>
        <v>0</v>
      </c>
      <c r="I10" s="584">
        <f t="shared" si="0"/>
        <v>0</v>
      </c>
      <c r="J10" s="584">
        <f t="shared" si="0"/>
        <v>10278</v>
      </c>
      <c r="K10" s="584">
        <f t="shared" si="0"/>
        <v>0</v>
      </c>
      <c r="L10" s="584">
        <f t="shared" si="0"/>
        <v>0</v>
      </c>
      <c r="M10" s="1059"/>
      <c r="N10" s="1059"/>
      <c r="O10" s="585">
        <f>SUM(O4:O9)</f>
        <v>0</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55" t="s">
        <v>253</v>
      </c>
      <c r="B14" s="1255" t="s">
        <v>254</v>
      </c>
      <c r="C14" s="1258" t="s">
        <v>255</v>
      </c>
      <c r="D14" s="1259"/>
      <c r="E14" s="1259"/>
      <c r="F14" s="1259"/>
      <c r="G14" s="1259"/>
      <c r="H14" s="1259"/>
      <c r="I14" s="1259"/>
      <c r="J14" s="1259"/>
      <c r="K14" s="1259"/>
      <c r="L14" s="1259"/>
      <c r="M14" s="1259"/>
      <c r="N14" s="1260"/>
      <c r="O14" s="1261" t="s">
        <v>244</v>
      </c>
      <c r="P14" s="1264" t="s">
        <v>256</v>
      </c>
      <c r="Q14" s="1261"/>
      <c r="R14" s="1267"/>
      <c r="S14" s="1267"/>
      <c r="T14" s="1267"/>
    </row>
    <row r="15" spans="1:21" s="560" customFormat="1" ht="15.75" customHeight="1" thickBot="1">
      <c r="A15" s="1256"/>
      <c r="B15" s="1256"/>
      <c r="C15" s="1268" t="s">
        <v>197</v>
      </c>
      <c r="D15" s="1269"/>
      <c r="E15" s="1269"/>
      <c r="F15" s="1269"/>
      <c r="G15" s="1270"/>
      <c r="H15" s="1271" t="s">
        <v>245</v>
      </c>
      <c r="I15" s="1271" t="s">
        <v>246</v>
      </c>
      <c r="J15" s="1271" t="s">
        <v>234</v>
      </c>
      <c r="K15" s="1271" t="s">
        <v>257</v>
      </c>
      <c r="L15" s="1271" t="s">
        <v>127</v>
      </c>
      <c r="M15" s="1271" t="s">
        <v>870</v>
      </c>
      <c r="N15" s="1273" t="s">
        <v>871</v>
      </c>
      <c r="O15" s="1262"/>
      <c r="P15" s="1265"/>
      <c r="Q15" s="1262"/>
      <c r="R15" s="1267"/>
      <c r="S15" s="1267"/>
      <c r="T15" s="1267"/>
    </row>
    <row r="16" spans="1:21" s="560" customFormat="1" ht="40.700000000000003" customHeight="1" thickBot="1">
      <c r="A16" s="1257"/>
      <c r="B16" s="1257"/>
      <c r="C16" s="592" t="s">
        <v>199</v>
      </c>
      <c r="D16" s="1024" t="s">
        <v>200</v>
      </c>
      <c r="E16" s="1023" t="s">
        <v>201</v>
      </c>
      <c r="F16" s="1024" t="s">
        <v>203</v>
      </c>
      <c r="G16" s="593" t="s">
        <v>204</v>
      </c>
      <c r="H16" s="1272"/>
      <c r="I16" s="1272"/>
      <c r="J16" s="1272"/>
      <c r="K16" s="1272"/>
      <c r="L16" s="1272"/>
      <c r="M16" s="1272"/>
      <c r="N16" s="1274"/>
      <c r="O16" s="1263"/>
      <c r="P16" s="1266"/>
      <c r="Q16" s="1263"/>
      <c r="R16" s="1267"/>
      <c r="S16" s="1267"/>
      <c r="T16" s="1267"/>
    </row>
    <row r="17" spans="1:26" s="560" customFormat="1" ht="15.75" thickTop="1">
      <c r="A17" s="594" t="s">
        <v>252</v>
      </c>
      <c r="B17" s="595">
        <f>O58</f>
        <v>12480.428571428572</v>
      </c>
      <c r="C17" s="596">
        <f>B102</f>
        <v>0</v>
      </c>
      <c r="D17" s="597"/>
      <c r="E17" s="597">
        <f>E102</f>
        <v>0</v>
      </c>
      <c r="F17" s="1062"/>
      <c r="G17" s="598"/>
      <c r="H17" s="596">
        <f>I102</f>
        <v>0</v>
      </c>
      <c r="I17" s="597">
        <f>G102+F102</f>
        <v>0</v>
      </c>
      <c r="J17" s="597">
        <f>H102+D102+C102</f>
        <v>14682.857142857145</v>
      </c>
      <c r="K17" s="597"/>
      <c r="L17" s="597"/>
      <c r="M17" s="597"/>
      <c r="N17" s="1063"/>
      <c r="O17" s="599">
        <f>C17*$C$22+E17*$E$22+H17*$H$22+I17*$I$22+J17*$J$22+D17*$D$22+F17*$F$22+G17*$G$22+K17*$K$22+L17*$L$22</f>
        <v>0</v>
      </c>
      <c r="P17" s="1253"/>
      <c r="Q17" s="1254"/>
      <c r="R17" s="1019"/>
      <c r="S17" s="1247"/>
      <c r="T17" s="1247"/>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48"/>
      <c r="Q18" s="1249"/>
      <c r="R18" s="1020"/>
      <c r="S18" s="1250"/>
      <c r="T18" s="1250"/>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251"/>
      <c r="Q19" s="1252"/>
      <c r="R19" s="1020"/>
      <c r="S19" s="1250"/>
      <c r="T19" s="1250"/>
    </row>
    <row r="20" spans="1:26" s="560" customFormat="1" ht="16.5" thickTop="1" thickBot="1">
      <c r="A20" s="582" t="s">
        <v>116</v>
      </c>
      <c r="B20" s="583">
        <f>SUM(B17:B19)</f>
        <v>12480.428571428572</v>
      </c>
      <c r="C20" s="583">
        <f>SUM(C17:C19)</f>
        <v>0</v>
      </c>
      <c r="D20" s="583">
        <f t="shared" ref="D20:L20" si="1">SUM(D17:D19)</f>
        <v>0</v>
      </c>
      <c r="E20" s="583">
        <f t="shared" si="1"/>
        <v>0</v>
      </c>
      <c r="F20" s="583">
        <f t="shared" si="1"/>
        <v>0</v>
      </c>
      <c r="G20" s="583">
        <f t="shared" si="1"/>
        <v>0</v>
      </c>
      <c r="H20" s="583">
        <f t="shared" si="1"/>
        <v>0</v>
      </c>
      <c r="I20" s="583">
        <f t="shared" si="1"/>
        <v>0</v>
      </c>
      <c r="J20" s="583">
        <f t="shared" si="1"/>
        <v>14682.857142857145</v>
      </c>
      <c r="K20" s="583">
        <f t="shared" si="1"/>
        <v>0</v>
      </c>
      <c r="L20" s="583">
        <f t="shared" si="1"/>
        <v>0</v>
      </c>
      <c r="M20" s="583"/>
      <c r="N20" s="583"/>
      <c r="O20" s="602">
        <f>SUM(O17:O19)</f>
        <v>0</v>
      </c>
      <c r="P20" s="1244"/>
      <c r="Q20" s="1245"/>
      <c r="R20" s="1020"/>
      <c r="S20" s="1246"/>
      <c r="T20" s="1246"/>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25.5">
      <c r="A28" s="606"/>
      <c r="B28" s="797">
        <v>13021</v>
      </c>
      <c r="C28" s="797">
        <v>2450</v>
      </c>
      <c r="D28" s="654" t="s">
        <v>907</v>
      </c>
      <c r="E28" s="653" t="s">
        <v>908</v>
      </c>
      <c r="F28" s="653" t="s">
        <v>909</v>
      </c>
      <c r="G28" s="653" t="s">
        <v>910</v>
      </c>
      <c r="H28" s="653" t="s">
        <v>911</v>
      </c>
      <c r="I28" s="653" t="s">
        <v>908</v>
      </c>
      <c r="J28" s="796">
        <v>40780</v>
      </c>
      <c r="K28" s="796">
        <v>40780</v>
      </c>
      <c r="L28" s="653" t="s">
        <v>912</v>
      </c>
      <c r="M28" s="653">
        <v>732</v>
      </c>
      <c r="N28" s="653">
        <v>3294</v>
      </c>
      <c r="O28" s="653">
        <v>4705.7142857142862</v>
      </c>
      <c r="P28" s="653">
        <v>0</v>
      </c>
      <c r="Q28" s="653">
        <v>9411.4285714285725</v>
      </c>
      <c r="R28" s="653">
        <v>0</v>
      </c>
      <c r="S28" s="653">
        <v>0</v>
      </c>
      <c r="T28" s="653">
        <v>0</v>
      </c>
      <c r="U28" s="653">
        <v>0</v>
      </c>
      <c r="V28" s="653">
        <v>0</v>
      </c>
      <c r="W28" s="653">
        <v>0</v>
      </c>
      <c r="X28" s="653">
        <v>10</v>
      </c>
      <c r="Y28" s="653" t="s">
        <v>112</v>
      </c>
      <c r="Z28" s="655" t="s">
        <v>112</v>
      </c>
    </row>
    <row r="29" spans="1:26" s="607" customFormat="1" ht="25.5">
      <c r="A29" s="606"/>
      <c r="B29" s="797">
        <v>13021</v>
      </c>
      <c r="C29" s="797">
        <v>2450</v>
      </c>
      <c r="D29" s="654" t="s">
        <v>907</v>
      </c>
      <c r="E29" s="653" t="s">
        <v>908</v>
      </c>
      <c r="F29" s="653" t="s">
        <v>913</v>
      </c>
      <c r="G29" s="653" t="s">
        <v>910</v>
      </c>
      <c r="H29" s="653" t="s">
        <v>911</v>
      </c>
      <c r="I29" s="653" t="s">
        <v>908</v>
      </c>
      <c r="J29" s="796">
        <v>41255</v>
      </c>
      <c r="K29" s="796">
        <v>41255</v>
      </c>
      <c r="L29" s="653" t="s">
        <v>912</v>
      </c>
      <c r="M29" s="653">
        <v>1190</v>
      </c>
      <c r="N29" s="653">
        <v>5355</v>
      </c>
      <c r="O29" s="653">
        <v>7650</v>
      </c>
      <c r="P29" s="653">
        <v>0</v>
      </c>
      <c r="Q29" s="653">
        <v>15300.000000000002</v>
      </c>
      <c r="R29" s="653">
        <v>0</v>
      </c>
      <c r="S29" s="653">
        <v>0</v>
      </c>
      <c r="T29" s="653">
        <v>0</v>
      </c>
      <c r="U29" s="653">
        <v>0</v>
      </c>
      <c r="V29" s="653">
        <v>0</v>
      </c>
      <c r="W29" s="653">
        <v>0</v>
      </c>
      <c r="X29" s="653">
        <v>10</v>
      </c>
      <c r="Y29" s="653" t="s">
        <v>112</v>
      </c>
      <c r="Z29" s="655" t="s">
        <v>112</v>
      </c>
    </row>
    <row r="30" spans="1:26" s="607" customFormat="1" ht="25.5">
      <c r="A30" s="606"/>
      <c r="B30" s="797">
        <v>13021</v>
      </c>
      <c r="C30" s="797">
        <v>2450</v>
      </c>
      <c r="D30" s="654" t="s">
        <v>914</v>
      </c>
      <c r="E30" s="653" t="s">
        <v>915</v>
      </c>
      <c r="F30" s="653" t="s">
        <v>916</v>
      </c>
      <c r="G30" s="653" t="s">
        <v>910</v>
      </c>
      <c r="H30" s="653" t="s">
        <v>911</v>
      </c>
      <c r="I30" s="653" t="s">
        <v>917</v>
      </c>
      <c r="J30" s="796">
        <v>41086</v>
      </c>
      <c r="K30" s="796">
        <v>41275</v>
      </c>
      <c r="L30" s="653" t="s">
        <v>912</v>
      </c>
      <c r="M30" s="653">
        <v>19.399999999999999</v>
      </c>
      <c r="N30" s="653">
        <v>87.299999999999983</v>
      </c>
      <c r="O30" s="653">
        <v>124.71428571428569</v>
      </c>
      <c r="P30" s="653">
        <v>0</v>
      </c>
      <c r="Q30" s="653">
        <v>249.42857142857139</v>
      </c>
      <c r="R30" s="653">
        <v>0</v>
      </c>
      <c r="S30" s="653">
        <v>0</v>
      </c>
      <c r="T30" s="653">
        <v>0</v>
      </c>
      <c r="U30" s="653">
        <v>0</v>
      </c>
      <c r="V30" s="653">
        <v>0</v>
      </c>
      <c r="W30" s="653">
        <v>0</v>
      </c>
      <c r="X30" s="653">
        <v>10</v>
      </c>
      <c r="Y30" s="653" t="s">
        <v>112</v>
      </c>
      <c r="Z30" s="655" t="s">
        <v>112</v>
      </c>
    </row>
    <row r="31" spans="1:26" s="607" customFormat="1" ht="12.75">
      <c r="A31" s="606"/>
      <c r="B31" s="797"/>
      <c r="C31" s="797"/>
      <c r="D31" s="654"/>
      <c r="E31" s="653"/>
      <c r="F31" s="653"/>
      <c r="G31" s="653"/>
      <c r="H31" s="653"/>
      <c r="I31" s="653"/>
      <c r="J31" s="796"/>
      <c r="K31" s="796"/>
      <c r="L31" s="653"/>
      <c r="M31" s="653"/>
      <c r="N31" s="653"/>
      <c r="O31" s="653"/>
      <c r="P31" s="653"/>
      <c r="Q31" s="653"/>
      <c r="R31" s="653"/>
      <c r="S31" s="653"/>
      <c r="T31" s="653"/>
      <c r="U31" s="653"/>
      <c r="V31" s="653"/>
      <c r="W31" s="653"/>
      <c r="X31" s="653"/>
      <c r="Y31" s="653"/>
      <c r="Z31" s="655"/>
    </row>
    <row r="32" spans="1:26" s="607" customFormat="1" ht="12.75">
      <c r="A32" s="606"/>
      <c r="B32" s="797"/>
      <c r="C32" s="797"/>
      <c r="D32" s="654"/>
      <c r="E32" s="653"/>
      <c r="F32" s="653"/>
      <c r="G32" s="653"/>
      <c r="H32" s="653"/>
      <c r="I32" s="653"/>
      <c r="J32" s="796"/>
      <c r="K32" s="796"/>
      <c r="L32" s="653"/>
      <c r="M32" s="653"/>
      <c r="N32" s="653"/>
      <c r="O32" s="653"/>
      <c r="P32" s="653"/>
      <c r="Q32" s="653"/>
      <c r="R32" s="653"/>
      <c r="S32" s="653"/>
      <c r="T32" s="653"/>
      <c r="U32" s="653"/>
      <c r="V32" s="653"/>
      <c r="W32" s="653"/>
      <c r="X32" s="653"/>
      <c r="Y32" s="653"/>
      <c r="Z32" s="655"/>
    </row>
    <row r="33" spans="1:26" s="607" customFormat="1" ht="12.75">
      <c r="A33" s="606"/>
      <c r="B33" s="797"/>
      <c r="C33" s="797"/>
      <c r="D33" s="654"/>
      <c r="E33" s="653"/>
      <c r="F33" s="653"/>
      <c r="G33" s="653"/>
      <c r="H33" s="653"/>
      <c r="I33" s="653"/>
      <c r="J33" s="796"/>
      <c r="K33" s="796"/>
      <c r="L33" s="653"/>
      <c r="M33" s="653"/>
      <c r="N33" s="653"/>
      <c r="O33" s="653"/>
      <c r="P33" s="653"/>
      <c r="Q33" s="653"/>
      <c r="R33" s="653"/>
      <c r="S33" s="653"/>
      <c r="T33" s="653"/>
      <c r="U33" s="653"/>
      <c r="V33" s="653"/>
      <c r="W33" s="653"/>
      <c r="X33" s="653"/>
      <c r="Y33" s="653"/>
      <c r="Z33" s="655"/>
    </row>
    <row r="34" spans="1:26" s="607" customFormat="1" ht="12.75">
      <c r="A34" s="606"/>
      <c r="B34" s="797"/>
      <c r="C34" s="797"/>
      <c r="D34" s="654"/>
      <c r="E34" s="653"/>
      <c r="F34" s="653"/>
      <c r="G34" s="653"/>
      <c r="H34" s="653"/>
      <c r="I34" s="653"/>
      <c r="J34" s="796"/>
      <c r="K34" s="796"/>
      <c r="L34" s="653"/>
      <c r="M34" s="653"/>
      <c r="N34" s="653"/>
      <c r="O34" s="653"/>
      <c r="P34" s="653"/>
      <c r="Q34" s="653"/>
      <c r="R34" s="653"/>
      <c r="S34" s="653"/>
      <c r="T34" s="653"/>
      <c r="U34" s="653"/>
      <c r="V34" s="653"/>
      <c r="W34" s="653"/>
      <c r="X34" s="653"/>
      <c r="Y34" s="653"/>
      <c r="Z34" s="655"/>
    </row>
    <row r="35" spans="1:26" s="607" customFormat="1" ht="12.75">
      <c r="A35" s="606"/>
      <c r="B35" s="797"/>
      <c r="C35" s="797"/>
      <c r="D35" s="654"/>
      <c r="E35" s="653"/>
      <c r="F35" s="653"/>
      <c r="G35" s="653"/>
      <c r="H35" s="653"/>
      <c r="I35" s="653"/>
      <c r="J35" s="796"/>
      <c r="K35" s="796"/>
      <c r="L35" s="653"/>
      <c r="M35" s="653"/>
      <c r="N35" s="653"/>
      <c r="O35" s="653"/>
      <c r="P35" s="653"/>
      <c r="Q35" s="653"/>
      <c r="R35" s="653"/>
      <c r="S35" s="653"/>
      <c r="T35" s="653"/>
      <c r="U35" s="653"/>
      <c r="V35" s="653"/>
      <c r="W35" s="653"/>
      <c r="X35" s="653"/>
      <c r="Y35" s="653"/>
      <c r="Z35" s="655"/>
    </row>
    <row r="36" spans="1:26" s="607" customFormat="1" ht="12.75">
      <c r="A36" s="606"/>
      <c r="B36" s="797"/>
      <c r="C36" s="797"/>
      <c r="D36" s="654"/>
      <c r="E36" s="653"/>
      <c r="F36" s="653"/>
      <c r="G36" s="653"/>
      <c r="H36" s="653"/>
      <c r="I36" s="653"/>
      <c r="J36" s="796"/>
      <c r="K36" s="796"/>
      <c r="L36" s="653"/>
      <c r="M36" s="653"/>
      <c r="N36" s="653"/>
      <c r="O36" s="653"/>
      <c r="P36" s="653"/>
      <c r="Q36" s="653"/>
      <c r="R36" s="653"/>
      <c r="S36" s="653"/>
      <c r="T36" s="653"/>
      <c r="U36" s="653"/>
      <c r="V36" s="653"/>
      <c r="W36" s="653"/>
      <c r="X36" s="653"/>
      <c r="Y36" s="653"/>
      <c r="Z36" s="655"/>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1941.4</v>
      </c>
      <c r="N58" s="611">
        <f>SUM(N28:N57)</f>
        <v>8736.2999999999993</v>
      </c>
      <c r="O58" s="611">
        <f t="shared" ref="O58:W58" si="2">SUM(O28:O57)</f>
        <v>12480.428571428572</v>
      </c>
      <c r="P58" s="611">
        <f t="shared" si="2"/>
        <v>0</v>
      </c>
      <c r="Q58" s="611">
        <f t="shared" si="2"/>
        <v>24960.857142857145</v>
      </c>
      <c r="R58" s="611">
        <f t="shared" si="2"/>
        <v>0</v>
      </c>
      <c r="S58" s="611">
        <f t="shared" si="2"/>
        <v>0</v>
      </c>
      <c r="T58" s="611">
        <f t="shared" si="2"/>
        <v>0</v>
      </c>
      <c r="U58" s="611">
        <f t="shared" si="2"/>
        <v>0</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0</v>
      </c>
      <c r="N59" s="611">
        <f t="shared" si="3"/>
        <v>0</v>
      </c>
      <c r="O59" s="611">
        <f t="shared" si="3"/>
        <v>0</v>
      </c>
      <c r="P59" s="611">
        <f t="shared" si="3"/>
        <v>0</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0</v>
      </c>
      <c r="N60" s="611">
        <f ca="1">SUMIF($Z$28:AD57,"tertiair",N28:N57)</f>
        <v>0</v>
      </c>
      <c r="O60" s="611">
        <f ca="1">SUMIF($Z$28:AE57,"tertiair",O28:O57)</f>
        <v>0</v>
      </c>
      <c r="P60" s="611">
        <f ca="1">SUMIF($Z$28:AF57,"tertiair",P28:P57)</f>
        <v>0</v>
      </c>
      <c r="Q60" s="611">
        <f ca="1">SUMIF($Z$28:AG57,"tertiair",Q28:Q57)</f>
        <v>0</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1941.4</v>
      </c>
      <c r="N61" s="616">
        <f t="shared" si="4"/>
        <v>8736.2999999999993</v>
      </c>
      <c r="O61" s="616">
        <f t="shared" si="4"/>
        <v>12480.428571428572</v>
      </c>
      <c r="P61" s="616">
        <f t="shared" si="4"/>
        <v>0</v>
      </c>
      <c r="Q61" s="616">
        <f t="shared" si="4"/>
        <v>24960.857142857145</v>
      </c>
      <c r="R61" s="616">
        <f t="shared" si="4"/>
        <v>0</v>
      </c>
      <c r="S61" s="616">
        <f t="shared" si="4"/>
        <v>0</v>
      </c>
      <c r="T61" s="616">
        <f t="shared" si="4"/>
        <v>0</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12.75">
      <c r="A64" s="608"/>
      <c r="B64" s="797"/>
      <c r="C64" s="797"/>
      <c r="D64" s="656"/>
      <c r="E64" s="656"/>
      <c r="F64" s="656"/>
      <c r="G64" s="656"/>
      <c r="H64" s="656"/>
      <c r="I64" s="656"/>
      <c r="J64" s="796"/>
      <c r="K64" s="796"/>
      <c r="L64" s="656"/>
      <c r="M64" s="656"/>
      <c r="N64" s="656"/>
      <c r="O64" s="656"/>
      <c r="P64" s="656"/>
      <c r="Q64" s="656"/>
      <c r="R64" s="656"/>
      <c r="S64" s="656"/>
      <c r="T64" s="656"/>
      <c r="U64" s="656"/>
      <c r="V64" s="656"/>
      <c r="W64" s="656"/>
      <c r="X64" s="656"/>
      <c r="Y64" s="656"/>
      <c r="Z64" s="657"/>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0</v>
      </c>
      <c r="N89" s="611">
        <f t="shared" ref="N89:W89" si="5">SUM(N64:N88)</f>
        <v>0</v>
      </c>
      <c r="O89" s="611">
        <f t="shared" si="5"/>
        <v>0</v>
      </c>
      <c r="P89" s="611">
        <f t="shared" si="5"/>
        <v>0</v>
      </c>
      <c r="Q89" s="611">
        <f t="shared" si="5"/>
        <v>0</v>
      </c>
      <c r="R89" s="611">
        <f t="shared" si="5"/>
        <v>0</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0</v>
      </c>
      <c r="N91" s="611">
        <f t="shared" si="7"/>
        <v>0</v>
      </c>
      <c r="O91" s="611">
        <f t="shared" si="7"/>
        <v>0</v>
      </c>
      <c r="P91" s="611">
        <f t="shared" si="7"/>
        <v>0</v>
      </c>
      <c r="Q91" s="611">
        <f t="shared" si="7"/>
        <v>0</v>
      </c>
      <c r="R91" s="611">
        <f t="shared" si="7"/>
        <v>0</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0.58823529411764708</v>
      </c>
      <c r="C98" s="636">
        <f>IF(ISERROR(N58/(O58+N58)),0,N58/(N58+O58))</f>
        <v>0.41176470588235292</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0</v>
      </c>
      <c r="C101" s="645">
        <f t="shared" si="9"/>
        <v>10278</v>
      </c>
      <c r="D101" s="645">
        <f t="shared" si="9"/>
        <v>0</v>
      </c>
      <c r="E101" s="645">
        <f t="shared" si="9"/>
        <v>0</v>
      </c>
      <c r="F101" s="645">
        <f t="shared" si="9"/>
        <v>0</v>
      </c>
      <c r="G101" s="645">
        <f t="shared" si="9"/>
        <v>0</v>
      </c>
      <c r="H101" s="645">
        <f t="shared" si="9"/>
        <v>0</v>
      </c>
      <c r="I101" s="646">
        <f t="shared" si="9"/>
        <v>0</v>
      </c>
      <c r="J101" s="603"/>
      <c r="K101" s="603"/>
      <c r="L101" s="641"/>
      <c r="M101" s="641"/>
      <c r="N101" s="641"/>
      <c r="O101" s="628"/>
      <c r="P101" s="628"/>
    </row>
    <row r="102" spans="1:16" ht="15.75" thickBot="1">
      <c r="A102" s="647" t="s">
        <v>286</v>
      </c>
      <c r="B102" s="648">
        <f t="shared" ref="B102:I102" si="10">$B$98*P58</f>
        <v>0</v>
      </c>
      <c r="C102" s="648">
        <f t="shared" si="10"/>
        <v>14682.857142857145</v>
      </c>
      <c r="D102" s="648">
        <f t="shared" si="10"/>
        <v>0</v>
      </c>
      <c r="E102" s="648">
        <f t="shared" si="10"/>
        <v>0</v>
      </c>
      <c r="F102" s="648">
        <f t="shared" si="10"/>
        <v>0</v>
      </c>
      <c r="G102" s="648">
        <f t="shared" si="10"/>
        <v>0</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6"/>
  <sheetViews>
    <sheetView topLeftCell="A16" workbookViewId="0">
      <selection activeCell="C26" sqref="C26:D2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row r="26" spans="1:4">
      <c r="A26" s="890" t="s">
        <v>896</v>
      </c>
      <c r="B26" s="916">
        <v>43678</v>
      </c>
      <c r="C26" s="916" t="s">
        <v>897</v>
      </c>
      <c r="D26" s="954" t="s">
        <v>898</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17383.719966785826</v>
      </c>
      <c r="C4" s="478">
        <f>huishoudens!C8</f>
        <v>0</v>
      </c>
      <c r="D4" s="478">
        <f>huishoudens!D8</f>
        <v>27580.456070677476</v>
      </c>
      <c r="E4" s="478">
        <f>huishoudens!E8</f>
        <v>2384.8465837402327</v>
      </c>
      <c r="F4" s="478">
        <f>huishoudens!F8</f>
        <v>28931.755937274735</v>
      </c>
      <c r="G4" s="478">
        <f>huishoudens!G8</f>
        <v>0</v>
      </c>
      <c r="H4" s="478">
        <f>huishoudens!H8</f>
        <v>0</v>
      </c>
      <c r="I4" s="478">
        <f>huishoudens!I8</f>
        <v>0</v>
      </c>
      <c r="J4" s="478">
        <f>huishoudens!J8</f>
        <v>798.45487917775358</v>
      </c>
      <c r="K4" s="478">
        <f>huishoudens!K8</f>
        <v>0</v>
      </c>
      <c r="L4" s="478">
        <f>huishoudens!L8</f>
        <v>0</v>
      </c>
      <c r="M4" s="478">
        <f>huishoudens!M8</f>
        <v>0</v>
      </c>
      <c r="N4" s="478">
        <f>huishoudens!N8</f>
        <v>15427.931764282543</v>
      </c>
      <c r="O4" s="478">
        <f>huishoudens!O8</f>
        <v>221.99333333333334</v>
      </c>
      <c r="P4" s="479">
        <f>huishoudens!P8</f>
        <v>476.66666666666663</v>
      </c>
      <c r="Q4" s="480">
        <f>SUM(B4:P4)</f>
        <v>93205.825201938569</v>
      </c>
    </row>
    <row r="5" spans="1:17">
      <c r="A5" s="477" t="s">
        <v>156</v>
      </c>
      <c r="B5" s="478">
        <f ca="1">tertiair!B16</f>
        <v>28476.301529999997</v>
      </c>
      <c r="C5" s="478">
        <f ca="1">tertiair!C16</f>
        <v>0</v>
      </c>
      <c r="D5" s="478">
        <f ca="1">tertiair!D16</f>
        <v>12943.770323277688</v>
      </c>
      <c r="E5" s="478">
        <f>tertiair!E16</f>
        <v>150.71209761289913</v>
      </c>
      <c r="F5" s="478">
        <f ca="1">tertiair!F16</f>
        <v>3463.4362604579746</v>
      </c>
      <c r="G5" s="478">
        <f>tertiair!G16</f>
        <v>0</v>
      </c>
      <c r="H5" s="478">
        <f>tertiair!H16</f>
        <v>0</v>
      </c>
      <c r="I5" s="478">
        <f>tertiair!I16</f>
        <v>0</v>
      </c>
      <c r="J5" s="478">
        <f>tertiair!J16</f>
        <v>0</v>
      </c>
      <c r="K5" s="478">
        <f>tertiair!K16</f>
        <v>0</v>
      </c>
      <c r="L5" s="478">
        <f ca="1">tertiair!L16</f>
        <v>0</v>
      </c>
      <c r="M5" s="478">
        <f>tertiair!M16</f>
        <v>0</v>
      </c>
      <c r="N5" s="478">
        <f ca="1">tertiair!N16</f>
        <v>632.97119107073638</v>
      </c>
      <c r="O5" s="478">
        <f>tertiair!O16</f>
        <v>1.5633333333333335</v>
      </c>
      <c r="P5" s="479">
        <f>tertiair!P16</f>
        <v>0</v>
      </c>
      <c r="Q5" s="477">
        <f t="shared" ref="Q5:Q14" ca="1" si="0">SUM(B5:P5)</f>
        <v>45668.75473575262</v>
      </c>
    </row>
    <row r="6" spans="1:17">
      <c r="A6" s="477" t="s">
        <v>194</v>
      </c>
      <c r="B6" s="478">
        <f>'openbare verlichting'!B8</f>
        <v>416.49599999999998</v>
      </c>
      <c r="C6" s="478"/>
      <c r="D6" s="478"/>
      <c r="E6" s="478"/>
      <c r="F6" s="478"/>
      <c r="G6" s="478"/>
      <c r="H6" s="478"/>
      <c r="I6" s="478"/>
      <c r="J6" s="478"/>
      <c r="K6" s="478"/>
      <c r="L6" s="478"/>
      <c r="M6" s="478"/>
      <c r="N6" s="478"/>
      <c r="O6" s="478"/>
      <c r="P6" s="479"/>
      <c r="Q6" s="477">
        <f t="shared" si="0"/>
        <v>416.49599999999998</v>
      </c>
    </row>
    <row r="7" spans="1:17">
      <c r="A7" s="477" t="s">
        <v>112</v>
      </c>
      <c r="B7" s="478">
        <f>landbouw!B8</f>
        <v>1555.00326</v>
      </c>
      <c r="C7" s="478">
        <f>landbouw!C8</f>
        <v>12480.428571428572</v>
      </c>
      <c r="D7" s="478">
        <f>landbouw!D8</f>
        <v>140.51405575395972</v>
      </c>
      <c r="E7" s="478">
        <f>landbouw!E8</f>
        <v>14.403091489353599</v>
      </c>
      <c r="F7" s="478">
        <f>landbouw!F8</f>
        <v>3945.3394984370348</v>
      </c>
      <c r="G7" s="478">
        <f>landbouw!G8</f>
        <v>0</v>
      </c>
      <c r="H7" s="478">
        <f>landbouw!H8</f>
        <v>0</v>
      </c>
      <c r="I7" s="478">
        <f>landbouw!I8</f>
        <v>0</v>
      </c>
      <c r="J7" s="478">
        <f>landbouw!J8</f>
        <v>238.39935364503057</v>
      </c>
      <c r="K7" s="478">
        <f>landbouw!K8</f>
        <v>0</v>
      </c>
      <c r="L7" s="478">
        <f>landbouw!L8</f>
        <v>0</v>
      </c>
      <c r="M7" s="478">
        <f>landbouw!M8</f>
        <v>0</v>
      </c>
      <c r="N7" s="478">
        <f>landbouw!N8</f>
        <v>0</v>
      </c>
      <c r="O7" s="478">
        <f>landbouw!O8</f>
        <v>0</v>
      </c>
      <c r="P7" s="479">
        <f>landbouw!P8</f>
        <v>0</v>
      </c>
      <c r="Q7" s="477">
        <f t="shared" si="0"/>
        <v>18374.08783075395</v>
      </c>
    </row>
    <row r="8" spans="1:17">
      <c r="A8" s="477" t="s">
        <v>650</v>
      </c>
      <c r="B8" s="478">
        <f>industrie!B18</f>
        <v>3078.4196000000002</v>
      </c>
      <c r="C8" s="478">
        <f>industrie!C18</f>
        <v>0</v>
      </c>
      <c r="D8" s="478">
        <f>industrie!D18</f>
        <v>1184.7764037156871</v>
      </c>
      <c r="E8" s="478">
        <f>industrie!E18</f>
        <v>250.18528320398309</v>
      </c>
      <c r="F8" s="478">
        <f>industrie!F18</f>
        <v>1475.369916630076</v>
      </c>
      <c r="G8" s="478">
        <f>industrie!G18</f>
        <v>0</v>
      </c>
      <c r="H8" s="478">
        <f>industrie!H18</f>
        <v>0</v>
      </c>
      <c r="I8" s="478">
        <f>industrie!I18</f>
        <v>0</v>
      </c>
      <c r="J8" s="478">
        <f>industrie!J18</f>
        <v>11.918091921533147</v>
      </c>
      <c r="K8" s="478">
        <f>industrie!K18</f>
        <v>0</v>
      </c>
      <c r="L8" s="478">
        <f>industrie!L18</f>
        <v>0</v>
      </c>
      <c r="M8" s="478">
        <f>industrie!M18</f>
        <v>0</v>
      </c>
      <c r="N8" s="478">
        <f>industrie!N18</f>
        <v>603.52380977099551</v>
      </c>
      <c r="O8" s="478">
        <f>industrie!O18</f>
        <v>0</v>
      </c>
      <c r="P8" s="479">
        <f>industrie!P18</f>
        <v>0</v>
      </c>
      <c r="Q8" s="477">
        <f t="shared" si="0"/>
        <v>6604.1931052422751</v>
      </c>
    </row>
    <row r="9" spans="1:17" s="483" customFormat="1">
      <c r="A9" s="481" t="s">
        <v>571</v>
      </c>
      <c r="B9" s="482">
        <f>transport!B14</f>
        <v>12.664039329017506</v>
      </c>
      <c r="C9" s="482">
        <f>transport!C14</f>
        <v>0</v>
      </c>
      <c r="D9" s="482">
        <f>transport!D14</f>
        <v>31.731007554016117</v>
      </c>
      <c r="E9" s="482">
        <f>transport!E14</f>
        <v>220.67163543160945</v>
      </c>
      <c r="F9" s="482">
        <f>transport!F14</f>
        <v>0</v>
      </c>
      <c r="G9" s="482">
        <f>transport!G14</f>
        <v>68044.443965164552</v>
      </c>
      <c r="H9" s="482">
        <f>transport!H14</f>
        <v>12212.891595520867</v>
      </c>
      <c r="I9" s="482">
        <f>transport!I14</f>
        <v>0</v>
      </c>
      <c r="J9" s="482">
        <f>transport!J14</f>
        <v>0</v>
      </c>
      <c r="K9" s="482">
        <f>transport!K14</f>
        <v>0</v>
      </c>
      <c r="L9" s="482">
        <f>transport!L14</f>
        <v>0</v>
      </c>
      <c r="M9" s="482">
        <f>transport!M14</f>
        <v>4312.0184622199749</v>
      </c>
      <c r="N9" s="482">
        <f>transport!N14</f>
        <v>0</v>
      </c>
      <c r="O9" s="482">
        <f>transport!O14</f>
        <v>0</v>
      </c>
      <c r="P9" s="482">
        <f>transport!P14</f>
        <v>0</v>
      </c>
      <c r="Q9" s="481">
        <f>SUM(B9:P9)</f>
        <v>84834.420705220036</v>
      </c>
    </row>
    <row r="10" spans="1:17">
      <c r="A10" s="477" t="s">
        <v>561</v>
      </c>
      <c r="B10" s="478">
        <f>transport!B54</f>
        <v>0</v>
      </c>
      <c r="C10" s="478">
        <f>transport!C54</f>
        <v>0</v>
      </c>
      <c r="D10" s="478">
        <f>transport!D54</f>
        <v>0</v>
      </c>
      <c r="E10" s="478">
        <f>transport!E54</f>
        <v>0</v>
      </c>
      <c r="F10" s="478">
        <f>transport!F54</f>
        <v>0</v>
      </c>
      <c r="G10" s="478">
        <f>transport!G54</f>
        <v>616.70861393058715</v>
      </c>
      <c r="H10" s="478">
        <f>transport!H54</f>
        <v>0</v>
      </c>
      <c r="I10" s="478">
        <f>transport!I54</f>
        <v>0</v>
      </c>
      <c r="J10" s="478">
        <f>transport!J54</f>
        <v>0</v>
      </c>
      <c r="K10" s="478">
        <f>transport!K54</f>
        <v>0</v>
      </c>
      <c r="L10" s="478">
        <f>transport!L54</f>
        <v>0</v>
      </c>
      <c r="M10" s="478">
        <f>transport!M54</f>
        <v>35.169094449734928</v>
      </c>
      <c r="N10" s="478">
        <f>transport!N54</f>
        <v>0</v>
      </c>
      <c r="O10" s="478">
        <f>transport!O54</f>
        <v>0</v>
      </c>
      <c r="P10" s="479">
        <f>transport!P54</f>
        <v>0</v>
      </c>
      <c r="Q10" s="477">
        <f t="shared" si="0"/>
        <v>651.87770838032202</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1012.54</v>
      </c>
      <c r="C14" s="485"/>
      <c r="D14" s="485">
        <f>'SEAP template'!E25</f>
        <v>1105.4458732886601</v>
      </c>
      <c r="E14" s="485"/>
      <c r="F14" s="485"/>
      <c r="G14" s="485"/>
      <c r="H14" s="485"/>
      <c r="I14" s="485"/>
      <c r="J14" s="485"/>
      <c r="K14" s="485"/>
      <c r="L14" s="485"/>
      <c r="M14" s="485"/>
      <c r="N14" s="485"/>
      <c r="O14" s="485"/>
      <c r="P14" s="486"/>
      <c r="Q14" s="477">
        <f t="shared" si="0"/>
        <v>2117.9858732886601</v>
      </c>
    </row>
    <row r="15" spans="1:17" s="487" customFormat="1">
      <c r="A15" s="1051" t="s">
        <v>565</v>
      </c>
      <c r="B15" s="991">
        <f ca="1">SUM(B4:B14)</f>
        <v>51935.144396114832</v>
      </c>
      <c r="C15" s="991">
        <f t="shared" ref="C15:Q15" ca="1" si="1">SUM(C4:C14)</f>
        <v>12480.428571428572</v>
      </c>
      <c r="D15" s="991">
        <f t="shared" ca="1" si="1"/>
        <v>42986.693734267486</v>
      </c>
      <c r="E15" s="991">
        <f t="shared" si="1"/>
        <v>3020.8186914780781</v>
      </c>
      <c r="F15" s="991">
        <f t="shared" ca="1" si="1"/>
        <v>37815.901612799818</v>
      </c>
      <c r="G15" s="991">
        <f t="shared" si="1"/>
        <v>68661.152579095142</v>
      </c>
      <c r="H15" s="991">
        <f t="shared" si="1"/>
        <v>12212.891595520867</v>
      </c>
      <c r="I15" s="991">
        <f t="shared" si="1"/>
        <v>0</v>
      </c>
      <c r="J15" s="991">
        <f t="shared" si="1"/>
        <v>1048.7723247443173</v>
      </c>
      <c r="K15" s="991">
        <f t="shared" si="1"/>
        <v>0</v>
      </c>
      <c r="L15" s="991">
        <f t="shared" ca="1" si="1"/>
        <v>0</v>
      </c>
      <c r="M15" s="991">
        <f t="shared" si="1"/>
        <v>4347.1875566697099</v>
      </c>
      <c r="N15" s="991">
        <f t="shared" ca="1" si="1"/>
        <v>16664.426765124274</v>
      </c>
      <c r="O15" s="991">
        <f t="shared" si="1"/>
        <v>223.55666666666667</v>
      </c>
      <c r="P15" s="991">
        <f t="shared" si="1"/>
        <v>476.66666666666663</v>
      </c>
      <c r="Q15" s="991">
        <f t="shared" ca="1" si="1"/>
        <v>251873.6411605764</v>
      </c>
    </row>
    <row r="17" spans="1:17">
      <c r="A17" s="488" t="s">
        <v>566</v>
      </c>
      <c r="B17" s="787">
        <f ca="1">huishoudens!B10</f>
        <v>9.5096248558517907E-2</v>
      </c>
      <c r="C17" s="787">
        <f ca="1">huishoudens!C10</f>
        <v>0</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1653.1265548331355</v>
      </c>
      <c r="C22" s="478">
        <f t="shared" ref="C22:C32" ca="1" si="3">C4*$C$17</f>
        <v>0</v>
      </c>
      <c r="D22" s="478">
        <f t="shared" ref="D22:D32" si="4">D4*$D$17</f>
        <v>5571.2521262768505</v>
      </c>
      <c r="E22" s="478">
        <f t="shared" ref="E22:E32" si="5">E4*$E$17</f>
        <v>541.36017450903284</v>
      </c>
      <c r="F22" s="478">
        <f t="shared" ref="F22:F32" si="6">F4*$F$17</f>
        <v>7724.7788352523548</v>
      </c>
      <c r="G22" s="478">
        <f t="shared" ref="G22:G32" si="7">G4*$G$17</f>
        <v>0</v>
      </c>
      <c r="H22" s="478">
        <f t="shared" ref="H22:H32" si="8">H4*$H$17</f>
        <v>0</v>
      </c>
      <c r="I22" s="478">
        <f t="shared" ref="I22:I32" si="9">I4*$I$17</f>
        <v>0</v>
      </c>
      <c r="J22" s="478">
        <f t="shared" ref="J22:J32" si="10">J4*$J$17</f>
        <v>282.65302722892477</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15773.170718100298</v>
      </c>
    </row>
    <row r="23" spans="1:17">
      <c r="A23" s="477" t="s">
        <v>156</v>
      </c>
      <c r="B23" s="478">
        <f t="shared" ca="1" si="2"/>
        <v>2707.9894483241833</v>
      </c>
      <c r="C23" s="478">
        <f t="shared" ca="1" si="3"/>
        <v>0</v>
      </c>
      <c r="D23" s="478">
        <f t="shared" ca="1" si="4"/>
        <v>2614.641605302093</v>
      </c>
      <c r="E23" s="478">
        <f t="shared" si="5"/>
        <v>34.211646158128104</v>
      </c>
      <c r="F23" s="478">
        <f t="shared" ca="1" si="6"/>
        <v>924.73748154227928</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6281.5801813266835</v>
      </c>
    </row>
    <row r="24" spans="1:17">
      <c r="A24" s="477" t="s">
        <v>194</v>
      </c>
      <c r="B24" s="478">
        <f t="shared" ca="1" si="2"/>
        <v>39.607207139628471</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39.607207139628471</v>
      </c>
    </row>
    <row r="25" spans="1:17">
      <c r="A25" s="477" t="s">
        <v>112</v>
      </c>
      <c r="B25" s="478">
        <f t="shared" ca="1" si="2"/>
        <v>147.87497652226565</v>
      </c>
      <c r="C25" s="478">
        <f t="shared" ca="1" si="3"/>
        <v>0</v>
      </c>
      <c r="D25" s="478">
        <f t="shared" si="4"/>
        <v>28.383839262299865</v>
      </c>
      <c r="E25" s="478">
        <f t="shared" si="5"/>
        <v>3.2695017680832672</v>
      </c>
      <c r="F25" s="478">
        <f t="shared" si="6"/>
        <v>1053.4056460826882</v>
      </c>
      <c r="G25" s="478">
        <f t="shared" si="7"/>
        <v>0</v>
      </c>
      <c r="H25" s="478">
        <f t="shared" si="8"/>
        <v>0</v>
      </c>
      <c r="I25" s="478">
        <f t="shared" si="9"/>
        <v>0</v>
      </c>
      <c r="J25" s="478">
        <f t="shared" si="10"/>
        <v>84.393371190340815</v>
      </c>
      <c r="K25" s="478">
        <f t="shared" si="11"/>
        <v>0</v>
      </c>
      <c r="L25" s="478">
        <f t="shared" si="12"/>
        <v>0</v>
      </c>
      <c r="M25" s="478">
        <f t="shared" si="13"/>
        <v>0</v>
      </c>
      <c r="N25" s="478">
        <f t="shared" si="14"/>
        <v>0</v>
      </c>
      <c r="O25" s="478">
        <f t="shared" si="15"/>
        <v>0</v>
      </c>
      <c r="P25" s="479">
        <f t="shared" si="16"/>
        <v>0</v>
      </c>
      <c r="Q25" s="477">
        <f t="shared" ca="1" si="17"/>
        <v>1317.3273348256778</v>
      </c>
    </row>
    <row r="26" spans="1:17">
      <c r="A26" s="477" t="s">
        <v>650</v>
      </c>
      <c r="B26" s="478">
        <f t="shared" ca="1" si="2"/>
        <v>292.74615544901332</v>
      </c>
      <c r="C26" s="478">
        <f t="shared" ca="1" si="3"/>
        <v>0</v>
      </c>
      <c r="D26" s="478">
        <f t="shared" si="4"/>
        <v>239.32483355056883</v>
      </c>
      <c r="E26" s="478">
        <f t="shared" si="5"/>
        <v>56.792059287304163</v>
      </c>
      <c r="F26" s="478">
        <f t="shared" si="6"/>
        <v>393.92376774023029</v>
      </c>
      <c r="G26" s="478">
        <f t="shared" si="7"/>
        <v>0</v>
      </c>
      <c r="H26" s="478">
        <f t="shared" si="8"/>
        <v>0</v>
      </c>
      <c r="I26" s="478">
        <f t="shared" si="9"/>
        <v>0</v>
      </c>
      <c r="J26" s="478">
        <f t="shared" si="10"/>
        <v>4.2190045402227341</v>
      </c>
      <c r="K26" s="478">
        <f t="shared" si="11"/>
        <v>0</v>
      </c>
      <c r="L26" s="478">
        <f t="shared" si="12"/>
        <v>0</v>
      </c>
      <c r="M26" s="478">
        <f t="shared" si="13"/>
        <v>0</v>
      </c>
      <c r="N26" s="478">
        <f t="shared" si="14"/>
        <v>0</v>
      </c>
      <c r="O26" s="478">
        <f t="shared" si="15"/>
        <v>0</v>
      </c>
      <c r="P26" s="479">
        <f t="shared" si="16"/>
        <v>0</v>
      </c>
      <c r="Q26" s="477">
        <f t="shared" ca="1" si="17"/>
        <v>987.00582056733936</v>
      </c>
    </row>
    <row r="27" spans="1:17" s="483" customFormat="1">
      <c r="A27" s="481" t="s">
        <v>571</v>
      </c>
      <c r="B27" s="781">
        <f t="shared" ca="1" si="2"/>
        <v>1.2043026317870951</v>
      </c>
      <c r="C27" s="482">
        <f t="shared" ca="1" si="3"/>
        <v>0</v>
      </c>
      <c r="D27" s="482">
        <f t="shared" si="4"/>
        <v>6.409663525911256</v>
      </c>
      <c r="E27" s="482">
        <f t="shared" si="5"/>
        <v>50.092461242975347</v>
      </c>
      <c r="F27" s="482">
        <f t="shared" si="6"/>
        <v>0</v>
      </c>
      <c r="G27" s="482">
        <f t="shared" si="7"/>
        <v>18167.866538698938</v>
      </c>
      <c r="H27" s="482">
        <f t="shared" si="8"/>
        <v>3041.0100072846958</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21266.582973384306</v>
      </c>
    </row>
    <row r="28" spans="1:17">
      <c r="A28" s="477" t="s">
        <v>561</v>
      </c>
      <c r="B28" s="478">
        <f t="shared" ca="1" si="2"/>
        <v>0</v>
      </c>
      <c r="C28" s="478">
        <f t="shared" ca="1" si="3"/>
        <v>0</v>
      </c>
      <c r="D28" s="478">
        <f t="shared" si="4"/>
        <v>0</v>
      </c>
      <c r="E28" s="478">
        <f t="shared" si="5"/>
        <v>0</v>
      </c>
      <c r="F28" s="478">
        <f t="shared" si="6"/>
        <v>0</v>
      </c>
      <c r="G28" s="478">
        <f t="shared" si="7"/>
        <v>164.66119991946678</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164.66119991946678</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96.288755515441721</v>
      </c>
      <c r="C32" s="478">
        <f t="shared" ca="1" si="3"/>
        <v>0</v>
      </c>
      <c r="D32" s="478">
        <f t="shared" si="4"/>
        <v>223.30006640430935</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319.58882191975107</v>
      </c>
    </row>
    <row r="33" spans="1:17" s="487" customFormat="1">
      <c r="A33" s="1051" t="s">
        <v>565</v>
      </c>
      <c r="B33" s="991">
        <f ca="1">SUM(B22:B32)</f>
        <v>4938.8374004154557</v>
      </c>
      <c r="C33" s="991">
        <f t="shared" ref="C33:Q33" ca="1" si="18">SUM(C22:C32)</f>
        <v>0</v>
      </c>
      <c r="D33" s="991">
        <f t="shared" ca="1" si="18"/>
        <v>8683.3121343220337</v>
      </c>
      <c r="E33" s="991">
        <f t="shared" si="18"/>
        <v>685.72584296552373</v>
      </c>
      <c r="F33" s="991">
        <f t="shared" ca="1" si="18"/>
        <v>10096.845730617553</v>
      </c>
      <c r="G33" s="991">
        <f t="shared" si="18"/>
        <v>18332.527738618406</v>
      </c>
      <c r="H33" s="991">
        <f t="shared" si="18"/>
        <v>3041.0100072846958</v>
      </c>
      <c r="I33" s="991">
        <f t="shared" si="18"/>
        <v>0</v>
      </c>
      <c r="J33" s="991">
        <f t="shared" si="18"/>
        <v>371.26540295948831</v>
      </c>
      <c r="K33" s="991">
        <f t="shared" si="18"/>
        <v>0</v>
      </c>
      <c r="L33" s="991">
        <f t="shared" ca="1" si="18"/>
        <v>0</v>
      </c>
      <c r="M33" s="991">
        <f t="shared" si="18"/>
        <v>0</v>
      </c>
      <c r="N33" s="991">
        <f t="shared" ca="1" si="18"/>
        <v>0</v>
      </c>
      <c r="O33" s="991">
        <f t="shared" si="18"/>
        <v>0</v>
      </c>
      <c r="P33" s="991">
        <f t="shared" si="18"/>
        <v>0</v>
      </c>
      <c r="Q33" s="991">
        <f t="shared" ca="1" si="18"/>
        <v>46149.524257183148</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60">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c r="A4" s="1067" t="s">
        <v>249</v>
      </c>
      <c r="B4" s="1068">
        <f>'SEAP template'!B72</f>
        <v>15767.465651714323</v>
      </c>
      <c r="C4" s="1068"/>
      <c r="D4" s="1068"/>
      <c r="E4" s="1068"/>
      <c r="F4" s="1068"/>
      <c r="G4" s="1068"/>
      <c r="H4" s="1068"/>
      <c r="I4" s="1068"/>
      <c r="J4" s="1068"/>
      <c r="K4" s="1068"/>
      <c r="L4" s="1068"/>
      <c r="M4" s="1068"/>
      <c r="N4" s="1068"/>
      <c r="O4" s="1068"/>
      <c r="P4" s="1069">
        <f>'SEAP template'!Q72</f>
        <v>0</v>
      </c>
    </row>
    <row r="5" spans="1:16">
      <c r="A5" s="1070" t="s">
        <v>250</v>
      </c>
      <c r="B5" s="1068">
        <f>'SEAP template'!B73</f>
        <v>0</v>
      </c>
      <c r="C5" s="1068"/>
      <c r="D5" s="1068"/>
      <c r="E5" s="1068"/>
      <c r="F5" s="1068"/>
      <c r="G5" s="1068"/>
      <c r="H5" s="1068"/>
      <c r="I5" s="1068"/>
      <c r="J5" s="1068"/>
      <c r="K5" s="1068"/>
      <c r="L5" s="1068"/>
      <c r="M5" s="1068"/>
      <c r="N5" s="1068"/>
      <c r="O5" s="1068"/>
      <c r="P5" s="1069">
        <f>'SEAP template'!Q73</f>
        <v>0</v>
      </c>
    </row>
    <row r="6" spans="1:16">
      <c r="A6" s="1070" t="s">
        <v>251</v>
      </c>
      <c r="B6" s="1068">
        <f>'SEAP template'!B74</f>
        <v>5083.6981995342012</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8736.2999999999993</v>
      </c>
      <c r="C8" s="1068">
        <f>'SEAP template'!C76</f>
        <v>0</v>
      </c>
      <c r="D8" s="1068">
        <f>'SEAP template'!D76</f>
        <v>0</v>
      </c>
      <c r="E8" s="1068">
        <f>'SEAP template'!E76</f>
        <v>0</v>
      </c>
      <c r="F8" s="1068">
        <f>'SEAP template'!F76</f>
        <v>0</v>
      </c>
      <c r="G8" s="1068">
        <f>'SEAP template'!G76</f>
        <v>0</v>
      </c>
      <c r="H8" s="1068">
        <f>'SEAP template'!H76</f>
        <v>0</v>
      </c>
      <c r="I8" s="1068">
        <f>'SEAP template'!I76</f>
        <v>0</v>
      </c>
      <c r="J8" s="1068">
        <f>'SEAP template'!J76</f>
        <v>10278</v>
      </c>
      <c r="K8" s="1068">
        <f>'SEAP template'!K76</f>
        <v>0</v>
      </c>
      <c r="L8" s="1068">
        <f>'SEAP template'!L76</f>
        <v>0</v>
      </c>
      <c r="M8" s="1068">
        <f>'SEAP template'!M76</f>
        <v>0</v>
      </c>
      <c r="N8" s="1068">
        <f>'SEAP template'!N76</f>
        <v>0</v>
      </c>
      <c r="O8" s="1068">
        <f>'SEAP template'!O76</f>
        <v>0</v>
      </c>
      <c r="P8" s="1069">
        <f>'SEAP template'!Q76</f>
        <v>0</v>
      </c>
    </row>
    <row r="9" spans="1:16">
      <c r="A9" s="1071" t="s">
        <v>880</v>
      </c>
      <c r="B9" s="1068">
        <f>'SEAP template'!B77</f>
        <v>0</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0</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29587.463851248522</v>
      </c>
      <c r="C10" s="1072">
        <f>SUM(C4:C9)</f>
        <v>0</v>
      </c>
      <c r="D10" s="1072">
        <f t="shared" ref="D10:H10" si="0">SUM(D8:D9)</f>
        <v>0</v>
      </c>
      <c r="E10" s="1072">
        <f t="shared" si="0"/>
        <v>0</v>
      </c>
      <c r="F10" s="1072">
        <f t="shared" si="0"/>
        <v>0</v>
      </c>
      <c r="G10" s="1072">
        <f t="shared" si="0"/>
        <v>0</v>
      </c>
      <c r="H10" s="1072">
        <f t="shared" si="0"/>
        <v>0</v>
      </c>
      <c r="I10" s="1072">
        <f>SUM(I8:I9)</f>
        <v>0</v>
      </c>
      <c r="J10" s="1072">
        <f>SUM(J8:J9)</f>
        <v>10278</v>
      </c>
      <c r="K10" s="1072">
        <f t="shared" ref="K10:L10" si="1">SUM(K8:K9)</f>
        <v>0</v>
      </c>
      <c r="L10" s="1072">
        <f t="shared" si="1"/>
        <v>0</v>
      </c>
      <c r="M10" s="1072">
        <f>SUM(M8:M9)</f>
        <v>0</v>
      </c>
      <c r="N10" s="1072">
        <f>SUM(N8:N9)</f>
        <v>0</v>
      </c>
      <c r="O10" s="1072">
        <f>SUM(O8:O9)</f>
        <v>0</v>
      </c>
      <c r="P10" s="1072">
        <f>SUM(P8:P9)</f>
        <v>0</v>
      </c>
    </row>
    <row r="11" spans="1:16">
      <c r="A11" s="897"/>
      <c r="B11" s="897"/>
      <c r="C11" s="897"/>
      <c r="D11" s="897"/>
      <c r="E11" s="897"/>
      <c r="F11" s="897"/>
      <c r="G11" s="897"/>
      <c r="H11" s="897"/>
      <c r="I11" s="897"/>
      <c r="J11" s="897"/>
      <c r="K11" s="897"/>
      <c r="L11" s="897"/>
      <c r="M11" s="897"/>
      <c r="N11" s="897"/>
      <c r="O11" s="897"/>
      <c r="P11" s="897"/>
    </row>
    <row r="12" spans="1:16">
      <c r="A12" s="488" t="s">
        <v>881</v>
      </c>
      <c r="B12" s="787" t="s">
        <v>882</v>
      </c>
      <c r="C12" s="787">
        <f ca="1">'EF ele_warmte'!B12</f>
        <v>9.5096248558517907E-2</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c r="A17" s="1073" t="s">
        <v>252</v>
      </c>
      <c r="B17" s="1074">
        <f>'SEAP template'!B87</f>
        <v>12480.428571428572</v>
      </c>
      <c r="C17" s="1074">
        <f>'SEAP template'!C87</f>
        <v>0</v>
      </c>
      <c r="D17" s="1069">
        <f>'SEAP template'!D87</f>
        <v>0</v>
      </c>
      <c r="E17" s="1069">
        <f>'SEAP template'!E87</f>
        <v>0</v>
      </c>
      <c r="F17" s="1069">
        <f>'SEAP template'!F87</f>
        <v>0</v>
      </c>
      <c r="G17" s="1069">
        <f>'SEAP template'!G87</f>
        <v>0</v>
      </c>
      <c r="H17" s="1069">
        <f>'SEAP template'!H87</f>
        <v>0</v>
      </c>
      <c r="I17" s="1069">
        <f>'SEAP template'!I87</f>
        <v>0</v>
      </c>
      <c r="J17" s="1069">
        <f>'SEAP template'!J87</f>
        <v>14682.857142857145</v>
      </c>
      <c r="K17" s="1069">
        <f>'SEAP template'!K87</f>
        <v>0</v>
      </c>
      <c r="L17" s="1069">
        <f>'SEAP template'!L87</f>
        <v>0</v>
      </c>
      <c r="M17" s="1069">
        <f>'SEAP template'!M87</f>
        <v>0</v>
      </c>
      <c r="N17" s="1069">
        <f>'SEAP template'!N87</f>
        <v>0</v>
      </c>
      <c r="O17" s="1069">
        <f>'SEAP template'!O87</f>
        <v>0</v>
      </c>
      <c r="P17" s="1069">
        <f>'SEAP template'!Q87</f>
        <v>0</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887</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12480.428571428572</v>
      </c>
      <c r="C20" s="1072">
        <f>SUM(C17:C19)</f>
        <v>0</v>
      </c>
      <c r="D20" s="1072">
        <f t="shared" ref="D20:H20" si="2">SUM(D17:D19)</f>
        <v>0</v>
      </c>
      <c r="E20" s="1072">
        <f t="shared" si="2"/>
        <v>0</v>
      </c>
      <c r="F20" s="1072">
        <f t="shared" si="2"/>
        <v>0</v>
      </c>
      <c r="G20" s="1072">
        <f t="shared" si="2"/>
        <v>0</v>
      </c>
      <c r="H20" s="1072">
        <f t="shared" si="2"/>
        <v>0</v>
      </c>
      <c r="I20" s="1072">
        <f>SUM(I17:I19)</f>
        <v>0</v>
      </c>
      <c r="J20" s="1072">
        <f>SUM(J17:J19)</f>
        <v>14682.857142857145</v>
      </c>
      <c r="K20" s="1072">
        <f t="shared" ref="K20:L20" si="3">SUM(K17:K19)</f>
        <v>0</v>
      </c>
      <c r="L20" s="1072">
        <f t="shared" si="3"/>
        <v>0</v>
      </c>
      <c r="M20" s="1072">
        <f>SUM(M17:M19)</f>
        <v>0</v>
      </c>
      <c r="N20" s="1072">
        <f>SUM(N17:N19)</f>
        <v>0</v>
      </c>
      <c r="O20" s="1072">
        <f>SUM(O17:O19)</f>
        <v>0</v>
      </c>
      <c r="P20" s="1072">
        <f>SUM(P17:P19)</f>
        <v>0</v>
      </c>
    </row>
    <row r="22" spans="1:16">
      <c r="A22" s="488" t="s">
        <v>888</v>
      </c>
      <c r="B22" s="787" t="s">
        <v>882</v>
      </c>
      <c r="C22" s="78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ColWidth="9.140625"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15.75">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ht="135">
      <c r="A4" s="1077" t="s">
        <v>249</v>
      </c>
      <c r="B4" s="1078" t="s">
        <v>889</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890</v>
      </c>
    </row>
    <row r="5" spans="1:16" ht="135">
      <c r="A5" s="1081" t="s">
        <v>250</v>
      </c>
      <c r="B5" s="1078" t="s">
        <v>889</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890</v>
      </c>
    </row>
    <row r="6" spans="1:16" ht="135">
      <c r="A6" s="1081" t="s">
        <v>251</v>
      </c>
      <c r="B6" s="1078" t="s">
        <v>889</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890</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890</v>
      </c>
    </row>
    <row r="8" spans="1:16" ht="210">
      <c r="A8" s="1077" t="s">
        <v>252</v>
      </c>
      <c r="B8" s="1078" t="s">
        <v>891</v>
      </c>
      <c r="C8" s="1078" t="s">
        <v>891</v>
      </c>
      <c r="D8" s="1078" t="s">
        <v>891</v>
      </c>
      <c r="E8" s="1078" t="s">
        <v>891</v>
      </c>
      <c r="F8" s="1078" t="s">
        <v>891</v>
      </c>
      <c r="G8" s="1078" t="s">
        <v>891</v>
      </c>
      <c r="H8" s="1078" t="s">
        <v>891</v>
      </c>
      <c r="I8" s="1078" t="s">
        <v>891</v>
      </c>
      <c r="J8" s="1078" t="s">
        <v>891</v>
      </c>
      <c r="K8" s="1079" t="s">
        <v>833</v>
      </c>
      <c r="L8" s="1079" t="s">
        <v>833</v>
      </c>
      <c r="M8" s="1079" t="s">
        <v>833</v>
      </c>
      <c r="N8" s="1078" t="s">
        <v>892</v>
      </c>
      <c r="O8" s="1078" t="s">
        <v>892</v>
      </c>
      <c r="P8" s="1082"/>
    </row>
    <row r="9" spans="1:16" ht="210">
      <c r="A9" s="1083" t="s">
        <v>880</v>
      </c>
      <c r="B9" s="1078" t="s">
        <v>892</v>
      </c>
      <c r="C9" s="1078" t="s">
        <v>892</v>
      </c>
      <c r="D9" s="1078" t="s">
        <v>892</v>
      </c>
      <c r="E9" s="1078" t="s">
        <v>892</v>
      </c>
      <c r="F9" s="1078" t="s">
        <v>892</v>
      </c>
      <c r="G9" s="1078" t="s">
        <v>892</v>
      </c>
      <c r="H9" s="1078" t="s">
        <v>892</v>
      </c>
      <c r="I9" s="1078" t="s">
        <v>892</v>
      </c>
      <c r="J9" s="1078" t="s">
        <v>892</v>
      </c>
      <c r="K9" s="1079" t="s">
        <v>833</v>
      </c>
      <c r="L9" s="1078" t="s">
        <v>892</v>
      </c>
      <c r="M9" s="1078" t="s">
        <v>892</v>
      </c>
      <c r="N9" s="1078" t="s">
        <v>892</v>
      </c>
      <c r="O9" s="1078" t="s">
        <v>892</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881</v>
      </c>
      <c r="B12" s="787" t="s">
        <v>882</v>
      </c>
      <c r="C12" s="1085" t="s">
        <v>893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ht="210">
      <c r="A17" s="1073" t="s">
        <v>252</v>
      </c>
      <c r="B17" s="1078" t="s">
        <v>892</v>
      </c>
      <c r="C17" s="1078" t="s">
        <v>892</v>
      </c>
      <c r="D17" s="1078" t="s">
        <v>892</v>
      </c>
      <c r="E17" s="1078" t="s">
        <v>892</v>
      </c>
      <c r="F17" s="1078" t="s">
        <v>892</v>
      </c>
      <c r="G17" s="1078" t="s">
        <v>892</v>
      </c>
      <c r="H17" s="1078" t="s">
        <v>892</v>
      </c>
      <c r="I17" s="1078" t="s">
        <v>892</v>
      </c>
      <c r="J17" s="1078" t="s">
        <v>892</v>
      </c>
      <c r="K17" s="1079" t="s">
        <v>833</v>
      </c>
      <c r="L17" s="1079" t="s">
        <v>833</v>
      </c>
      <c r="M17" s="1079" t="s">
        <v>833</v>
      </c>
      <c r="N17" s="1078" t="s">
        <v>892</v>
      </c>
      <c r="O17" s="1078" t="s">
        <v>892</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887</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888</v>
      </c>
      <c r="B22" s="787" t="s">
        <v>882</v>
      </c>
      <c r="C22" s="1085" t="s">
        <v>894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9.5096248558517907E-2</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0</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0</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0</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0</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2019-08-12T08:07:05Z</dcterms:modified>
</cp:coreProperties>
</file>