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J15" i="16"/>
  <c r="G24" i="1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P15"/>
  <c r="P22"/>
  <c r="P33" s="1"/>
  <c r="E9"/>
  <c r="E27" s="1"/>
  <c r="F20" i="14"/>
  <c r="F22" s="1"/>
  <c r="D9" i="48"/>
  <c r="D27" s="1"/>
  <c r="E20" i="14"/>
  <c r="E22" s="1"/>
  <c r="P10"/>
  <c r="O5" i="48"/>
  <c r="O23" s="1"/>
  <c r="J7"/>
  <c r="J25" s="1"/>
  <c r="K24" i="14"/>
  <c r="K26" s="1"/>
  <c r="C20"/>
  <c r="B9" i="48"/>
  <c r="O22"/>
  <c r="G11" i="14"/>
  <c r="F4" i="48"/>
  <c r="F22" s="1"/>
  <c r="K23"/>
  <c r="K33" s="1"/>
  <c r="K15"/>
  <c r="M12" i="22"/>
  <c r="M13" i="48"/>
  <c r="M31" s="1"/>
  <c r="N18" i="14"/>
  <c r="G13" i="48"/>
  <c r="H18" i="14"/>
  <c r="R18" s="1"/>
  <c r="H13" i="48"/>
  <c r="H31" s="1"/>
  <c r="I18" i="14"/>
  <c r="P22" i="16"/>
  <c r="Q43" i="14" s="1"/>
  <c r="Q13"/>
  <c r="Q16" s="1"/>
  <c r="Q27" s="1"/>
  <c r="Q63" s="1"/>
  <c r="P8" i="48"/>
  <c r="P26" s="1"/>
  <c r="J63" i="14"/>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E12" l="1"/>
  <c r="F41" i="14" s="1"/>
  <c r="F11"/>
  <c r="E4" i="48"/>
  <c r="O11" i="14"/>
  <c r="N4" i="48"/>
  <c r="N22" s="1"/>
  <c r="K11" i="14"/>
  <c r="J4" i="48"/>
  <c r="E7"/>
  <c r="E25" s="1"/>
  <c r="F24" i="14"/>
  <c r="F26" s="1"/>
  <c r="M9" i="48"/>
  <c r="N20" i="14"/>
  <c r="M10" i="48"/>
  <c r="M28" s="1"/>
  <c r="N19" i="14"/>
  <c r="N22" s="1"/>
  <c r="N27" s="1"/>
  <c r="O22" i="16"/>
  <c r="P43" i="14" s="1"/>
  <c r="P46" s="1"/>
  <c r="P61" s="1"/>
  <c r="P13"/>
  <c r="P16" s="1"/>
  <c r="P27" s="1"/>
  <c r="O8" i="48"/>
  <c r="H19" i="14"/>
  <c r="G10" i="48"/>
  <c r="G31"/>
  <c r="Q13"/>
  <c r="I23"/>
  <c r="I33" s="1"/>
  <c r="I15"/>
  <c r="G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K10"/>
  <c r="J5" i="48"/>
  <c r="J23" s="1"/>
  <c r="E5"/>
  <c r="E23" s="1"/>
  <c r="F10" i="14"/>
  <c r="J22" i="48"/>
  <c r="I20" i="14"/>
  <c r="I22" s="1"/>
  <c r="I27" s="1"/>
  <c r="H9" i="48"/>
  <c r="O26"/>
  <c r="O33" s="1"/>
  <c r="O15"/>
  <c r="H20" i="14"/>
  <c r="G9" i="48"/>
  <c r="G28"/>
  <c r="Q10"/>
  <c r="M27"/>
  <c r="M33" s="1"/>
  <c r="M15"/>
  <c r="E22"/>
  <c r="Q4"/>
  <c r="R19" i="14"/>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J22" i="16"/>
  <c r="K43" i="14" s="1"/>
  <c r="K13"/>
  <c r="K16" s="1"/>
  <c r="K27" s="1"/>
  <c r="J8" i="48"/>
  <c r="J26" s="1"/>
  <c r="G27"/>
  <c r="G33" s="1"/>
  <c r="G15"/>
  <c r="Q9"/>
  <c r="F13" i="14"/>
  <c r="E8" i="48"/>
  <c r="H27"/>
  <c r="H33" s="1"/>
  <c r="H15"/>
  <c r="F46" i="14"/>
  <c r="F61" s="1"/>
  <c r="F63" s="1"/>
  <c r="R22"/>
  <c r="F16"/>
  <c r="F27" s="1"/>
  <c r="K46"/>
  <c r="K61" s="1"/>
  <c r="J33" i="48"/>
  <c r="I63" i="14"/>
  <c r="O13"/>
  <c r="N8" i="48"/>
  <c r="N26" s="1"/>
  <c r="F8"/>
  <c r="G13" i="14"/>
  <c r="E26" i="48" l="1"/>
  <c r="E33" s="1"/>
  <c r="E15"/>
  <c r="R13" i="14"/>
  <c r="J15" i="48"/>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<sst xmlns="http://schemas.openxmlformats.org/spreadsheetml/2006/main" count="2437" uniqueCount="917">
  <si>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</si>
  <si>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</si>
  <si>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</si>
  <si>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</si>
  <si>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</si>
  <si>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</si>
  <si>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</si>
  <si>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</si>
  <si>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</si>
  <si>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</si>
  <si>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</si>
  <si>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</si>
  <si>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</si>
  <si>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</si>
  <si>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</si>
  <si>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</si>
  <si>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</si>
  <si>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</si>
  <si>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</si>
  <si>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</si>
  <si>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</si>
  <si>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</si>
  <si>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</si>
  <si>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</si>
  <si>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</si>
  <si>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</si>
  <si>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</si>
  <si>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</si>
  <si>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</si>
  <si>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</si>
  <si>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</si>
  <si>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</si>
  <si>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</si>
  <si>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</si>
  <si>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</si>
  <si>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</si>
  <si>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</si>
  <si>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</si>
  <si>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</si>
  <si>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</si>
  <si>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</si>
  <si>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</si>
  <si>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</si>
  <si>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</si>
  <si>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</si>
  <si>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</si>
  <si>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</si>
  <si>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</si>
  <si>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</si>
  <si>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</si>
  <si>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</si>
  <si>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</si>
  <si>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</si>
  <si>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</si>
  <si>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</si>
  <si>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</si>
  <si>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</si>
  <si>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</si>
  <si>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</si>
  <si>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</si>
  <si>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</si>
  <si>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</si>
  <si>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</si>
  <si>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</si>
  <si>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</si>
  <si>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</si>
  <si>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</si>
  <si>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</si>
  <si>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</si>
  <si>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</si>
  <si>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</si>
  <si>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</si>
  <si>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</si>
  <si>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</si>
  <si>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</si>
  <si>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</si>
  <si>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</si>
  <si>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</si>
  <si>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</si>
  <si>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</si>
  <si>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</si>
  <si>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</si>
  <si>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</si>
  <si>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</si>
  <si>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</si>
  <si>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</si>
  <si>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</si>
  <si>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</si>
  <si>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</si>
  <si>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</si>
  <si>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</si>
  <si>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</si>
  <si>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</si>
  <si>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</si>
  <si>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</si>
  <si>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</si>
  <si>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</si>
  <si>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</si>
  <si>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</si>
  <si>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</si>
  <si>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</si>
  <si>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</si>
  <si>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</si>
  <si>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</si>
  <si>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</si>
  <si>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</si>
  <si>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</si>
  <si>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</si>
  <si>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</si>
  <si>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</si>
  <si>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</si>
  <si>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</si>
  <si>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</si>
  <si>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</si>
  <si>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</si>
  <si>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</si>
  <si>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</si>
  <si>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</si>
  <si>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</si>
  <si>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</si>
  <si>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</si>
  <si>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</si>
  <si>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</si>
  <si>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</si>
  <si>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</si>
  <si>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</si>
  <si>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</si>
  <si>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</si>
  <si>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</si>
  <si>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</si>
  <si>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</si>
  <si>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</si>
  <si>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</si>
  <si>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</si>
  <si>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</si>
  <si>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</si>
  <si>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</si>
  <si>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</si>
  <si>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</si>
  <si>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</si>
  <si>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</si>
  <si>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</si>
  <si>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</si>
  <si>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</si>
  <si>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</si>
  <si>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</si>
  <si>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</si>
  <si>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</si>
  <si>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</si>
  <si>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</si>
  <si>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</si>
  <si>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</si>
  <si>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</si>
  <si>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</si>
  <si>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</si>
  <si>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</si>
  <si>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</si>
  <si>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</si>
  <si>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</si>
  <si>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</si>
  <si>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</si>
  <si>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</si>
  <si>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</si>
  <si>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</si>
  <si>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</si>
  <si>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</si>
  <si>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</si>
  <si>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</si>
  <si>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</si>
  <si>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</si>
  <si>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</si>
  <si>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</si>
  <si>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</si>
  <si>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</si>
  <si>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</si>
  <si>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</si>
  <si>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</si>
  <si>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</si>
  <si>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</si>
  <si>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</si>
  <si>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</si>
  <si>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</si>
  <si>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</si>
  <si>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</si>
  <si>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</si>
  <si>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</si>
  <si>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</si>
  <si>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</si>
  <si>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</si>
  <si>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</si>
  <si>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</si>
  <si>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</si>
  <si>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</si>
  <si>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</si>
  <si>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</si>
  <si>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</si>
  <si>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</si>
  <si>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</si>
  <si>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</si>
  <si>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</si>
  <si>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</si>
  <si>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</si>
  <si>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</si>
  <si>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</si>
  <si>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</si>
  <si>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</si>
  <si>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</si>
  <si>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</si>
  <si>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</si>
  <si>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</si>
  <si>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</si>
  <si>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</si>
  <si>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</si>
  <si>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</si>
  <si>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</si>
  <si>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</si>
  <si>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</si>
  <si>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</si>
  <si>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</si>
  <si>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</si>
  <si>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</si>
  <si>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</si>
  <si>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</si>
  <si>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</si>
  <si>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</si>
  <si>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</si>
  <si>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</si>
  <si>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</si>
  <si>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</si>
  <si>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</si>
  <si>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</si>
  <si>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</si>
  <si>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</si>
  <si>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</si>
  <si>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</si>
  <si>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</si>
  <si>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</si>
  <si>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</si>
  <si>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</si>
  <si>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</si>
  <si>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</si>
  <si>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</si>
  <si>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</si>
  <si>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</si>
  <si>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</si>
  <si>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</si>
  <si>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</si>
  <si>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</si>
  <si>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</si>
  <si>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</si>
  <si>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</si>
  <si>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</si>
  <si>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</si>
  <si>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</si>
  <si>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</si>
  <si>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</si>
  <si>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</si>
  <si>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</si>
  <si>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</si>
  <si>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</si>
  <si>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</si>
  <si>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</si>
  <si>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</si>
  <si>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</si>
  <si>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</si>
  <si>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</si>
  <si>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</si>
  <si>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</si>
  <si>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</si>
  <si>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</si>
  <si>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</si>
  <si>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</si>
  <si>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</si>
  <si>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</si>
  <si>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</si>
  <si>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</si>
  <si>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</si>
  <si>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</si>
  <si>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</si>
  <si>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</si>
  <si>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</si>
  <si>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</si>
  <si>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</si>
  <si>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</si>
  <si>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</si>
  <si>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</si>
  <si>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</si>
  <si>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</si>
  <si>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</si>
  <si>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</si>
  <si>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</si>
  <si>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</si>
  <si>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</si>
  <si>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</si>
  <si>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</si>
  <si>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</si>
  <si>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</si>
  <si>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</si>
  <si>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</si>
  <si>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</si>
  <si>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</si>
  <si>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</si>
  <si>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</si>
  <si>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</si>
  <si>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</si>
  <si>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</si>
  <si>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</si>
  <si>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</si>
  <si>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</si>
  <si>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</si>
  <si>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</si>
  <si>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</si>
  <si>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</si>
  <si>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</si>
  <si>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</si>
  <si>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</si>
  <si>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</si>
  <si>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</si>
  <si>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</si>
  <si>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</si>
  <si>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</si>
  <si>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</si>
  <si>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</si>
  <si>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</si>
  <si>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</si>
  <si>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</si>
  <si>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</si>
  <si>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</si>
  <si>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</si>
  <si>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</si>
  <si>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</si>
  <si>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</si>
  <si>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</si>
  <si>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</si>
  <si>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</si>
  <si>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</si>
  <si>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</si>
  <si>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</si>
  <si>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</si>
  <si>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</si>
  <si>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</si>
  <si>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</si>
  <si>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</si>
  <si>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</si>
  <si>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</si>
  <si>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</si>
  <si>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</si>
  <si>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</si>
  <si>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</si>
  <si>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</si>
  <si>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</si>
  <si>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</si>
  <si>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</si>
  <si>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</si>
  <si>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</si>
  <si>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</si>
  <si>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</si>
  <si>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</si>
  <si>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</si>
  <si>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</si>
  <si>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</si>
  <si>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</si>
  <si>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</si>
  <si>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</si>
  <si>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</si>
  <si>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</si>
  <si>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</si>
  <si>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</si>
  <si>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</si>
  <si>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</si>
  <si>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</si>
  <si>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</si>
  <si>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</si>
  <si>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</si>
  <si>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</si>
  <si>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</si>
  <si>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</si>
  <si>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</si>
  <si>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</si>
  <si>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</si>
  <si>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</si>
  <si>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</si>
  <si>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</si>
  <si>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</si>
  <si>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</si>
  <si>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</si>
  <si>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</si>
  <si>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</si>
  <si>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</si>
  <si>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</si>
  <si>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</si>
  <si>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</si>
  <si>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</si>
  <si>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</si>
  <si>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</si>
  <si>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</si>
  <si>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</si>
  <si>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</si>
  <si>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</si>
  <si>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</si>
  <si>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</si>
  <si>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</si>
  <si>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</si>
  <si>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</si>
  <si>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</si>
  <si>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</si>
  <si>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</si>
  <si>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</si>
  <si>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</si>
  <si>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</si>
  <si>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</si>
  <si>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</si>
  <si>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</si>
  <si>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</si>
  <si>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</si>
  <si>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</si>
  <si>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</si>
  <si>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</si>
  <si>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</si>
  <si>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</si>
  <si>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</si>
  <si>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</si>
  <si>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</si>
  <si>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</si>
  <si>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</si>
  <si>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</si>
  <si>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</si>
  <si>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</si>
  <si>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</si>
  <si>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</si>
  <si>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</si>
  <si>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</si>
  <si>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</si>
  <si>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</si>
  <si>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</si>
  <si>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</si>
  <si>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</si>
  <si>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</si>
  <si>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</si>
  <si>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</si>
  <si>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</si>
  <si>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</si>
  <si>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</si>
  <si>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</si>
  <si>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</si>
  <si>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</si>
  <si>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</si>
  <si>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</si>
  <si>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</si>
  <si>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</si>
  <si>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</si>
  <si>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</si>
  <si>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</si>
  <si>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</si>
  <si>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</si>
  <si>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</si>
  <si>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</si>
  <si>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</si>
  <si>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</si>
  <si>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</si>
  <si>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</si>
  <si>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</si>
  <si>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</si>
  <si>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</si>
  <si>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</si>
  <si>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</si>
  <si>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</si>
  <si>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</si>
  <si>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</si>
  <si>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</si>
  <si>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</si>
  <si>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</si>
  <si>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</si>
  <si>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</si>
  <si>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</si>
  <si>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</si>
  <si>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</si>
  <si>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</si>
  <si>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</si>
  <si>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</si>
  <si>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</si>
  <si>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</si>
  <si>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</si>
  <si>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</si>
  <si>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</si>
  <si>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</si>
  <si>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</si>
  <si>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</si>
  <si>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</si>
  <si>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</si>
  <si>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</si>
  <si>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</si>
  <si>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</si>
  <si>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</si>
  <si>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</si>
  <si>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</si>
  <si>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</si>
  <si>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</si>
  <si>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</si>
  <si>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</si>
  <si>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</si>
  <si>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</si>
  <si>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</si>
  <si>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</si>
  <si>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</si>
  <si>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</si>
  <si>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</si>
  <si>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</si>
  <si>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</si>
  <si>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</si>
  <si>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</si>
  <si>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</si>
  <si>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</si>
  <si>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</si>
  <si>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</si>
  <si>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</si>
  <si>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</si>
  <si>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</si>
  <si>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</si>
  <si>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</si>
  <si>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</si>
  <si>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</si>
  <si>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</si>
  <si>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</si>
  <si>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</si>
  <si>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</si>
  <si>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</si>
  <si>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</si>
  <si>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</si>
  <si>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</si>
  <si>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</si>
  <si>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</si>
  <si>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</si>
  <si>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</si>
  <si>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</si>
  <si>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</si>
  <si>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</si>
  <si>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</si>
  <si>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</si>
  <si>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</si>
  <si>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</si>
  <si>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</si>
  <si>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</si>
  <si>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</si>
  <si>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</si>
  <si>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</si>
  <si>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</si>
  <si>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</si>
  <si>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</si>
  <si>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</si>
  <si>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</si>
  <si>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</si>
  <si>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</si>
  <si>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</si>
  <si>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</si>
  <si>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</si>
  <si>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</si>
  <si>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</si>
  <si>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</si>
  <si>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</si>
  <si>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</si>
  <si>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</si>
  <si>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</si>
  <si>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</si>
  <si>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</si>
  <si>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</si>
  <si>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</si>
  <si>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</si>
  <si>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</si>
  <si>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</si>
  <si>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</si>
  <si>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</si>
  <si>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</si>
  <si>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</si>
  <si>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</si>
  <si>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</si>
  <si>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</si>
  <si>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</si>
  <si>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</si>
  <si>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</si>
  <si>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</si>
  <si>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</si>
  <si>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</si>
  <si>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</si>
  <si>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</si>
  <si>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</si>
  <si>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</si>
  <si>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</si>
  <si>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</si>
  <si>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</si>
  <si>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</si>
  <si>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</si>
  <si>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</si>
  <si>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</si>
  <si>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</si>
  <si>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</si>
  <si>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</si>
  <si>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</si>
  <si>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</si>
  <si>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</si>
  <si>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</si>
  <si>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</si>
  <si>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</si>
  <si>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</si>
  <si>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</si>
  <si>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</si>
  <si>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</si>
  <si>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</si>
  <si>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</si>
  <si>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</si>
  <si>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</si>
  <si>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</si>
  <si>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</si>
  <si>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</si>
  <si>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</si>
  <si>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</si>
  <si>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</si>
  <si>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</si>
  <si>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</si>
  <si>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</si>
  <si>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</si>
  <si>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</si>
  <si>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</si>
  <si>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</si>
  <si>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</si>
  <si>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</si>
  <si>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</si>
  <si>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</si>
  <si>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</si>
  <si>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</si>
  <si>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</si>
  <si>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</si>
  <si>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</si>
  <si>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</si>
  <si>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</si>
  <si>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</si>
  <si>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</si>
  <si>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</si>
  <si>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</si>
  <si>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</si>
  <si>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</si>
  <si>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</si>
  <si>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</si>
  <si>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</si>
  <si>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</si>
  <si>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</si>
  <si>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</si>
  <si>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</si>
  <si>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</si>
  <si>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</si>
  <si>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</si>
  <si>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</si>
  <si>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</si>
  <si>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</si>
  <si>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</si>
  <si>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</si>
  <si>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</si>
  <si>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</si>
  <si>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</si>
  <si>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</si>
  <si>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</si>
  <si>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</si>
  <si>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</si>
  <si>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</si>
  <si>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</si>
  <si>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</si>
  <si>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</si>
  <si>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</si>
  <si>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</si>
  <si>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</si>
  <si>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</si>
  <si>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</si>
  <si>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</si>
  <si>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</si>
  <si>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</si>
  <si>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</si>
  <si>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</si>
  <si>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</si>
  <si>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</si>
  <si>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</si>
  <si>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</si>
  <si>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</si>
  <si>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</si>
  <si>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</si>
  <si>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</si>
  <si>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</si>
  <si>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</si>
  <si>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</si>
  <si>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</si>
  <si>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</si>
  <si>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</si>
  <si>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</si>
  <si>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</si>
  <si>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</si>
  <si>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</si>
  <si>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</si>
  <si>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</si>
  <si>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</si>
  <si>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</si>
  <si>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</si>
  <si>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</si>
  <si>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</si>
  <si>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</si>
  <si>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</si>
  <si>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</si>
  <si>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</si>
  <si>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</si>
  <si>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</si>
  <si>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</si>
  <si>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</si>
  <si>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</si>
  <si>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</si>
  <si>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</si>
  <si>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</si>
  <si>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</si>
  <si>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</si>
  <si>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</si>
  <si>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</si>
  <si>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</si>
  <si>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</si>
  <si>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</si>
  <si>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</si>
  <si>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</si>
  <si>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</si>
  <si>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</si>
  <si>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</si>
  <si>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</si>
  <si>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</si>
  <si>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</si>
  <si>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</si>
  <si>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</si>
  <si>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</si>
  <si>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</si>
  <si>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</si>
  <si>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</si>
  <si>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</si>
  <si>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</si>
  <si>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</si>
  <si>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</si>
  <si>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</si>
  <si>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</si>
  <si>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</si>
  <si>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</si>
  <si>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</si>
  <si>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</si>
  <si>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</si>
  <si>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</si>
  <si>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</si>
  <si>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</si>
  <si>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</si>
  <si>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</si>
  <si>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</si>
  <si>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</si>
  <si>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</si>
  <si>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</si>
  <si>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</si>
  <si>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</si>
  <si>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</si>
  <si>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</si>
  <si>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</si>
  <si>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</si>
  <si>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</si>
  <si>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</si>
  <si>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</si>
  <si>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</si>
  <si>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</si>
  <si>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</si>
  <si>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</si>
  <si>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</si>
  <si>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</si>
  <si>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</si>
  <si>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</si>
  <si>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</si>
  <si>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</si>
  <si>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</si>
  <si>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</si>
  <si>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</si>
  <si>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</si>
  <si>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</si>
  <si>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</si>
  <si>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</si>
  <si>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</si>
  <si>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</si>
  <si>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</si>
  <si>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</si>
  <si>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</si>
  <si>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</si>
  <si>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</si>
  <si>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</si>
  <si>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</si>
  <si>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</si>
  <si>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</si>
  <si>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</si>
  <si>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</si>
  <si>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</si>
  <si>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</si>
  <si>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</si>
  <si>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</si>
  <si>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</si>
  <si>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</si>
  <si>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</si>
  <si>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</si>
  <si>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</si>
  <si>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</si>
  <si>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</si>
  <si>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</si>
  <si>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</si>
  <si>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</si>
  <si>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</si>
  <si>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</si>
  <si>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</si>
  <si>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</si>
  <si>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</si>
  <si>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</si>
  <si>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</si>
  <si>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</si>
  <si>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</si>
  <si>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</si>
  <si>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</si>
  <si>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</si>
  <si>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</si>
  <si>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</si>
  <si>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</si>
  <si>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</si>
  <si>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</si>
  <si>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</si>
  <si>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</si>
  <si>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</si>
  <si>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</si>
  <si>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</si>
  <si>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</si>
  <si>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</si>
  <si>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</si>
  <si>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</si>
  <si>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</si>
  <si>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</si>
  <si>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</si>
  <si>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</si>
  <si>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</si>
  <si>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</si>
  <si>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</si>
  <si>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</si>
  <si>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</si>
  <si>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</si>
  <si>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</si>
  <si>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</si>
  <si>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</si>
  <si>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</si>
  <si>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</si>
  <si>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</si>
  <si>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</si>
  <si>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</si>
  <si>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</si>
  <si>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</si>
  <si>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</si>
  <si>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</si>
  <si>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</si>
  <si>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</si>
  <si>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</si>
  <si>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</si>
  <si>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</si>
  <si>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</si>
  <si>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</si>
  <si>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</si>
  <si>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</si>
  <si>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</si>
  <si>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</si>
  <si>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</si>
  <si>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</si>
  <si>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</si>
  <si>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</si>
  <si>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</si>
  <si>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</si>
  <si>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</si>
  <si>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</si>
  <si>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</si>
  <si>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</si>
  <si>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</si>
  <si>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</si>
  <si>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</si>
  <si>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</si>
  <si>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</si>
  <si>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</si>
  <si>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</si>
  <si>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</si>
  <si>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</si>
  <si>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</si>
  <si>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</si>
  <si>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</si>
  <si>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</si>
  <si>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</si>
  <si>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</si>
  <si>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</si>
  <si>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</si>
  <si>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</si>
  <si>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</si>
  <si>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</si>
  <si>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</si>
  <si>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</si>
  <si>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13012</t>
  </si>
  <si>
    <t>HERENTHOUT</t>
  </si>
  <si>
    <t>Paarden&amp;pony's 200 - 600 kg</t>
  </si>
  <si>
    <t>Paarden&amp;pony's &lt; 200 kg</t>
  </si>
  <si>
    <t>referentietaak LNE (2017); Jaarverslag De Lijn (2014)</t>
  </si>
  <si>
    <t>op basis van VEA (maart 2018) en Inventaris Hernieuwbare Energiebronnen (juni 2018)</t>
  </si>
  <si>
    <t>VEA (maart 2016)</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</si>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</sst>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68365.419688064256</c:v>
                </c:pt>
                <c:pt idx="1">
                  <c:v>21478.682711882797</c:v>
                </c:pt>
                <c:pt idx="2">
                  <c:v>439.327</c:v>
                </c:pt>
                <c:pt idx="3">
                  <c:v>17096.129469704691</c:v>
                </c:pt>
                <c:pt idx="4">
                  <c:v>9287.643856131117</c:v>
                </c:pt>
                <c:pt idx="5">
                  <c:v>40232.342013964131</c:v>
                </c:pt>
                <c:pt idx="6">
                  <c:v>471.1040680172589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68365.419688064256</c:v>
                </c:pt>
                <c:pt idx="1">
                  <c:v>21478.682711882797</c:v>
                </c:pt>
                <c:pt idx="2">
                  <c:v>439.327</c:v>
                </c:pt>
                <c:pt idx="3">
                  <c:v>17096.129469704691</c:v>
                </c:pt>
                <c:pt idx="4">
                  <c:v>9287.643856131117</c:v>
                </c:pt>
                <c:pt idx="5">
                  <c:v>40232.342013964131</c:v>
                </c:pt>
                <c:pt idx="6">
                  <c:v>471.1040680172589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12961.842303155478</c:v>
                </c:pt>
                <c:pt idx="2">
                  <c:v>4324.7495193735449</c:v>
                </c:pt>
                <c:pt idx="3">
                  <c:v>92.554622235366494</c:v>
                </c:pt>
                <c:pt idx="4">
                  <c:v>4107.2342729697684</c:v>
                </c:pt>
                <c:pt idx="5">
                  <c:v>1842.4892223212341</c:v>
                </c:pt>
                <c:pt idx="6">
                  <c:v>10071.22707041063</c:v>
                </c:pt>
                <c:pt idx="7">
                  <c:v>118.99864058767005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12961.842303155478</c:v>
                </c:pt>
                <c:pt idx="2">
                  <c:v>4324.7495193735449</c:v>
                </c:pt>
                <c:pt idx="3">
                  <c:v>92.554622235366494</c:v>
                </c:pt>
                <c:pt idx="4">
                  <c:v>4107.2342729697684</c:v>
                </c:pt>
                <c:pt idx="5">
                  <c:v>1842.4892223212341</c:v>
                </c:pt>
                <c:pt idx="6">
                  <c:v>10071.22707041063</c:v>
                </c:pt>
                <c:pt idx="7">
                  <c:v>118.99864058767005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13012</v>
      </c>
      <c r="B6" s="416"/>
      <c r="C6" s="417"/>
    </row>
    <row r="7" spans="1:7" s="414" customFormat="1" ht="15.75" customHeight="1">
      <c r="A7" s="418" t="str">
        <f>txtMunicipality</f>
        <v>HERENTHOUT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0.21067364909365119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0.21067364909365119</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3658</v>
      </c>
      <c r="C9" s="342">
        <v>3974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1203</v>
      </c>
    </row>
    <row r="15" spans="1:6">
      <c r="A15" s="348" t="s">
        <v>184</v>
      </c>
      <c r="B15" s="334">
        <v>17</v>
      </c>
    </row>
    <row r="16" spans="1:6">
      <c r="A16" s="348" t="s">
        <v>6</v>
      </c>
      <c r="B16" s="334">
        <v>970</v>
      </c>
    </row>
    <row r="17" spans="1:6">
      <c r="A17" s="348" t="s">
        <v>7</v>
      </c>
      <c r="B17" s="334">
        <v>57</v>
      </c>
    </row>
    <row r="18" spans="1:6">
      <c r="A18" s="348" t="s">
        <v>8</v>
      </c>
      <c r="B18" s="334">
        <v>551</v>
      </c>
    </row>
    <row r="19" spans="1:6">
      <c r="A19" s="348" t="s">
        <v>9</v>
      </c>
      <c r="B19" s="334">
        <v>555</v>
      </c>
    </row>
    <row r="20" spans="1:6">
      <c r="A20" s="348" t="s">
        <v>10</v>
      </c>
      <c r="B20" s="334">
        <v>287</v>
      </c>
    </row>
    <row r="21" spans="1:6">
      <c r="A21" s="348" t="s">
        <v>11</v>
      </c>
      <c r="B21" s="334">
        <v>2834</v>
      </c>
    </row>
    <row r="22" spans="1:6">
      <c r="A22" s="348" t="s">
        <v>12</v>
      </c>
      <c r="B22" s="334">
        <v>7270</v>
      </c>
    </row>
    <row r="23" spans="1:6">
      <c r="A23" s="348" t="s">
        <v>13</v>
      </c>
      <c r="B23" s="334">
        <v>159</v>
      </c>
    </row>
    <row r="24" spans="1:6">
      <c r="A24" s="348" t="s">
        <v>14</v>
      </c>
      <c r="B24" s="334">
        <v>10</v>
      </c>
    </row>
    <row r="25" spans="1:6">
      <c r="A25" s="348" t="s">
        <v>15</v>
      </c>
      <c r="B25" s="334">
        <v>884</v>
      </c>
    </row>
    <row r="26" spans="1:6">
      <c r="A26" s="348" t="s">
        <v>16</v>
      </c>
      <c r="B26" s="334">
        <v>50</v>
      </c>
    </row>
    <row r="27" spans="1:6">
      <c r="A27" s="348" t="s">
        <v>17</v>
      </c>
      <c r="B27" s="334">
        <v>10</v>
      </c>
    </row>
    <row r="28" spans="1:6" s="356" customFormat="1">
      <c r="A28" s="355" t="s">
        <v>18</v>
      </c>
      <c r="B28" s="355">
        <v>3</v>
      </c>
    </row>
    <row r="29" spans="1:6">
      <c r="A29" s="355" t="s">
        <v>901</v>
      </c>
      <c r="B29" s="355">
        <v>156</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115339.715355327</v>
      </c>
      <c r="E38" s="334">
        <v>2</v>
      </c>
      <c r="F38" s="334">
        <v>49139.26</v>
      </c>
    </row>
    <row r="39" spans="1:6">
      <c r="A39" s="348" t="s">
        <v>30</v>
      </c>
      <c r="B39" s="348" t="s">
        <v>31</v>
      </c>
      <c r="C39" s="334">
        <v>2791</v>
      </c>
      <c r="D39" s="334">
        <v>43980498.096240804</v>
      </c>
      <c r="E39" s="334">
        <v>3572</v>
      </c>
      <c r="F39" s="334">
        <v>13131046</v>
      </c>
    </row>
    <row r="40" spans="1:6">
      <c r="A40" s="348" t="s">
        <v>30</v>
      </c>
      <c r="B40" s="348" t="s">
        <v>29</v>
      </c>
      <c r="C40" s="334">
        <v>0</v>
      </c>
      <c r="D40" s="334">
        <v>0</v>
      </c>
      <c r="E40" s="334">
        <v>0</v>
      </c>
      <c r="F40" s="334">
        <v>0</v>
      </c>
    </row>
    <row r="41" spans="1:6">
      <c r="A41" s="348" t="s">
        <v>32</v>
      </c>
      <c r="B41" s="348" t="s">
        <v>33</v>
      </c>
      <c r="C41" s="334">
        <v>20</v>
      </c>
      <c r="D41" s="334">
        <v>476316.299975431</v>
      </c>
      <c r="E41" s="334">
        <v>56</v>
      </c>
      <c r="F41" s="334">
        <v>617188.80000000005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13057.94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1319610.7094600101</v>
      </c>
      <c r="E48" s="334">
        <v>25</v>
      </c>
      <c r="F48" s="334">
        <v>3449240</v>
      </c>
    </row>
    <row r="49" spans="1:6">
      <c r="A49" s="348" t="s">
        <v>32</v>
      </c>
      <c r="B49" s="348" t="s">
        <v>40</v>
      </c>
      <c r="C49" s="334">
        <v>0</v>
      </c>
      <c r="D49" s="334">
        <v>0</v>
      </c>
      <c r="E49" s="334">
        <v>0</v>
      </c>
      <c r="F49" s="334">
        <v>0</v>
      </c>
    </row>
    <row r="50" spans="1:6">
      <c r="A50" s="348" t="s">
        <v>32</v>
      </c>
      <c r="B50" s="348" t="s">
        <v>41</v>
      </c>
      <c r="C50" s="334">
        <v>5</v>
      </c>
      <c r="D50" s="334">
        <v>96044.881096466095</v>
      </c>
      <c r="E50" s="334">
        <v>5</v>
      </c>
      <c r="F50" s="334">
        <v>294671</v>
      </c>
    </row>
    <row r="51" spans="1:6">
      <c r="A51" s="348" t="s">
        <v>42</v>
      </c>
      <c r="B51" s="348" t="s">
        <v>43</v>
      </c>
      <c r="C51" s="334">
        <v>3</v>
      </c>
      <c r="D51" s="334">
        <v>80912.855861620803</v>
      </c>
      <c r="E51" s="334">
        <v>31</v>
      </c>
      <c r="F51" s="334">
        <v>798507.6</v>
      </c>
    </row>
    <row r="52" spans="1:6">
      <c r="A52" s="348" t="s">
        <v>42</v>
      </c>
      <c r="B52" s="348" t="s">
        <v>29</v>
      </c>
      <c r="C52" s="334">
        <v>3</v>
      </c>
      <c r="D52" s="334">
        <v>29225404.0718854</v>
      </c>
      <c r="E52" s="334">
        <v>9</v>
      </c>
      <c r="F52" s="334">
        <v>176953.1</v>
      </c>
    </row>
    <row r="53" spans="1:6">
      <c r="A53" s="348" t="s">
        <v>44</v>
      </c>
      <c r="B53" s="348" t="s">
        <v>45</v>
      </c>
      <c r="C53" s="334">
        <v>52</v>
      </c>
      <c r="D53" s="334">
        <v>889365.79366950504</v>
      </c>
      <c r="E53" s="334">
        <v>121</v>
      </c>
      <c r="F53" s="334">
        <v>464762.3</v>
      </c>
    </row>
    <row r="54" spans="1:6">
      <c r="A54" s="348" t="s">
        <v>46</v>
      </c>
      <c r="B54" s="348" t="s">
        <v>47</v>
      </c>
      <c r="C54" s="334">
        <v>0</v>
      </c>
      <c r="D54" s="334">
        <v>0</v>
      </c>
      <c r="E54" s="334">
        <v>1</v>
      </c>
      <c r="F54" s="334">
        <v>439327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2395437.1365575599</v>
      </c>
      <c r="E57" s="334">
        <v>56</v>
      </c>
      <c r="F57" s="334">
        <v>890640.8</v>
      </c>
    </row>
    <row r="58" spans="1:6">
      <c r="A58" s="348" t="s">
        <v>49</v>
      </c>
      <c r="B58" s="348" t="s">
        <v>51</v>
      </c>
      <c r="C58" s="334">
        <v>10</v>
      </c>
      <c r="D58" s="334">
        <v>363503.81010142103</v>
      </c>
      <c r="E58" s="334">
        <v>9</v>
      </c>
      <c r="F58" s="334">
        <v>51612.61</v>
      </c>
    </row>
    <row r="59" spans="1:6">
      <c r="A59" s="348" t="s">
        <v>49</v>
      </c>
      <c r="B59" s="348" t="s">
        <v>52</v>
      </c>
      <c r="C59" s="334">
        <v>35</v>
      </c>
      <c r="D59" s="334">
        <v>1305713.79194524</v>
      </c>
      <c r="E59" s="334">
        <v>73</v>
      </c>
      <c r="F59" s="334">
        <v>2985852</v>
      </c>
    </row>
    <row r="60" spans="1:6">
      <c r="A60" s="348" t="s">
        <v>49</v>
      </c>
      <c r="B60" s="348" t="s">
        <v>53</v>
      </c>
      <c r="C60" s="334">
        <v>27</v>
      </c>
      <c r="D60" s="334">
        <v>935640.42899716506</v>
      </c>
      <c r="E60" s="334">
        <v>36</v>
      </c>
      <c r="F60" s="334">
        <v>822663.7</v>
      </c>
    </row>
    <row r="61" spans="1:6">
      <c r="A61" s="348" t="s">
        <v>49</v>
      </c>
      <c r="B61" s="348" t="s">
        <v>54</v>
      </c>
      <c r="C61" s="334">
        <v>56</v>
      </c>
      <c r="D61" s="334">
        <v>4385291.4396190196</v>
      </c>
      <c r="E61" s="334">
        <v>105</v>
      </c>
      <c r="F61" s="334">
        <v>1786156</v>
      </c>
    </row>
    <row r="62" spans="1:6">
      <c r="A62" s="348" t="s">
        <v>49</v>
      </c>
      <c r="B62" s="348" t="s">
        <v>55</v>
      </c>
      <c r="C62" s="334">
        <v>0</v>
      </c>
      <c r="D62" s="334">
        <v>0</v>
      </c>
      <c r="E62" s="334">
        <v>0</v>
      </c>
      <c r="F62" s="334">
        <v>0</v>
      </c>
    </row>
    <row r="63" spans="1:6">
      <c r="A63" s="348" t="s">
        <v>49</v>
      </c>
      <c r="B63" s="348" t="s">
        <v>29</v>
      </c>
      <c r="C63" s="334">
        <v>70</v>
      </c>
      <c r="D63" s="334">
        <v>2233479.87855398</v>
      </c>
      <c r="E63" s="334">
        <v>94</v>
      </c>
      <c r="F63" s="334">
        <v>2201862</v>
      </c>
    </row>
    <row r="64" spans="1:6">
      <c r="A64" s="348" t="s">
        <v>56</v>
      </c>
      <c r="B64" s="348" t="s">
        <v>57</v>
      </c>
      <c r="C64" s="334">
        <v>0</v>
      </c>
      <c r="D64" s="334">
        <v>0</v>
      </c>
      <c r="E64" s="334">
        <v>0</v>
      </c>
      <c r="F64" s="334">
        <v>0</v>
      </c>
    </row>
    <row r="65" spans="1:6">
      <c r="A65" s="348" t="s">
        <v>56</v>
      </c>
      <c r="B65" s="348" t="s">
        <v>29</v>
      </c>
      <c r="C65" s="334">
        <v>0</v>
      </c>
      <c r="D65" s="334">
        <v>0</v>
      </c>
      <c r="E65" s="334">
        <v>2</v>
      </c>
      <c r="F65" s="334">
        <v>1794.921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657511.75293229497</v>
      </c>
      <c r="E68" s="334">
        <v>7</v>
      </c>
      <c r="F68" s="334">
        <v>367271.6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43837917</v>
      </c>
      <c r="E73" s="476">
        <v>44809720.753484502</v>
      </c>
    </row>
    <row r="74" spans="1:6">
      <c r="A74" s="348" t="s">
        <v>64</v>
      </c>
      <c r="B74" s="348" t="s">
        <v>714</v>
      </c>
      <c r="C74" s="1311" t="s">
        <v>716</v>
      </c>
      <c r="D74" s="476">
        <v>1973099.8728146635</v>
      </c>
      <c r="E74" s="476">
        <v>2003316.3907529132</v>
      </c>
    </row>
    <row r="75" spans="1:6">
      <c r="A75" s="348" t="s">
        <v>65</v>
      </c>
      <c r="B75" s="348" t="s">
        <v>713</v>
      </c>
      <c r="C75" s="1311" t="s">
        <v>717</v>
      </c>
      <c r="D75" s="476">
        <v>8498937</v>
      </c>
      <c r="E75" s="476">
        <v>8719000.0882670749</v>
      </c>
    </row>
    <row r="76" spans="1:6">
      <c r="A76" s="348" t="s">
        <v>65</v>
      </c>
      <c r="B76" s="348" t="s">
        <v>714</v>
      </c>
      <c r="C76" s="1311" t="s">
        <v>718</v>
      </c>
      <c r="D76" s="476">
        <v>392280.87281466345</v>
      </c>
      <c r="E76" s="476">
        <v>412118.52871241147</v>
      </c>
    </row>
    <row r="77" spans="1:6">
      <c r="A77" s="348" t="s">
        <v>66</v>
      </c>
      <c r="B77" s="348" t="s">
        <v>713</v>
      </c>
      <c r="C77" s="1311" t="s">
        <v>719</v>
      </c>
      <c r="D77" s="476">
        <v>194442</v>
      </c>
      <c r="E77" s="476">
        <v>221352.56034041336</v>
      </c>
    </row>
    <row r="78" spans="1:6">
      <c r="A78" s="341" t="s">
        <v>66</v>
      </c>
      <c r="B78" s="341" t="s">
        <v>714</v>
      </c>
      <c r="C78" s="341" t="s">
        <v>720</v>
      </c>
      <c r="D78" s="1307">
        <v>49972</v>
      </c>
      <c r="E78" s="1307">
        <v>56417.206490501681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125890.25437067312</v>
      </c>
      <c r="C83" s="476">
        <v>124463.9072773634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1668.9698746777465</v>
      </c>
    </row>
    <row r="92" spans="1:6">
      <c r="A92" s="341" t="s">
        <v>69</v>
      </c>
      <c r="B92" s="342">
        <v>409.13940911943115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2</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29824.46032376225</v>
      </c>
      <c r="C3" s="43" t="s">
        <v>170</v>
      </c>
      <c r="D3" s="43"/>
      <c r="E3" s="154"/>
      <c r="F3" s="43"/>
      <c r="G3" s="43"/>
      <c r="H3" s="43"/>
      <c r="I3" s="43"/>
      <c r="J3" s="43"/>
      <c r="K3" s="96"/>
    </row>
    <row r="4" spans="1:11">
      <c r="A4" s="384" t="s">
        <v>171</v>
      </c>
      <c r="B4" s="49">
        <f>IF(ISERROR('SEAP template'!B78+'SEAP template'!C78),0,'SEAP template'!B78+'SEAP template'!C78)</f>
        <v>11165.859283797176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2159.677058823529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0.21067364909365119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3085.2529411764704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12982.499999999998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439.327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439.327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0.21067364909365119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92.554622235366494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13131.046</v>
      </c>
      <c r="C5" s="17">
        <f>IF(ISERROR('Eigen informatie GS &amp; warmtenet'!B57),0,'Eigen informatie GS &amp; warmtenet'!B57)</f>
        <v>0</v>
      </c>
      <c r="D5" s="30">
        <f>(SUM(HH_hh_gas_kWh,HH_rest_gas_kWh)/1000)*0.902</f>
        <v>39670.409282809203</v>
      </c>
      <c r="E5" s="17">
        <f>B46*B57</f>
        <v>2107.9168050746002</v>
      </c>
      <c r="F5" s="17">
        <f>B51*B62</f>
        <v>4088.7983163288809</v>
      </c>
      <c r="G5" s="18"/>
      <c r="H5" s="17"/>
      <c r="I5" s="17"/>
      <c r="J5" s="17">
        <f>B50*B61+C50*C61</f>
        <v>735.14127642357062</v>
      </c>
      <c r="K5" s="17"/>
      <c r="L5" s="17"/>
      <c r="M5" s="17"/>
      <c r="N5" s="17">
        <f>B48*B59+C48*C59</f>
        <v>6554.8914660836008</v>
      </c>
      <c r="O5" s="17">
        <f>B69*B70*B71</f>
        <v>103.17999999999999</v>
      </c>
      <c r="P5" s="17">
        <f>B77*B78*B79/1000-B77*B78*B79/1000/B80</f>
        <v>305.06666666666666</v>
      </c>
    </row>
    <row r="6" spans="1:16">
      <c r="A6" s="16" t="s">
        <v>631</v>
      </c>
      <c r="B6" s="789">
        <f>kWh_PV_kleiner_dan_10kW</f>
        <v>1668.9698746777465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14800.015874677747</v>
      </c>
      <c r="C8" s="21">
        <f>C5</f>
        <v>0</v>
      </c>
      <c r="D8" s="21">
        <f>D5</f>
        <v>39670.409282809203</v>
      </c>
      <c r="E8" s="21">
        <f>E5</f>
        <v>2107.9168050746002</v>
      </c>
      <c r="F8" s="21">
        <f>F5</f>
        <v>4088.7983163288809</v>
      </c>
      <c r="G8" s="21"/>
      <c r="H8" s="21"/>
      <c r="I8" s="21"/>
      <c r="J8" s="21">
        <f>J5</f>
        <v>735.14127642357062</v>
      </c>
      <c r="K8" s="21"/>
      <c r="L8" s="21">
        <f>L5</f>
        <v>0</v>
      </c>
      <c r="M8" s="21">
        <f>M5</f>
        <v>0</v>
      </c>
      <c r="N8" s="21">
        <f>N5</f>
        <v>6554.8914660836008</v>
      </c>
      <c r="O8" s="21">
        <f>O5</f>
        <v>103.17999999999999</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0.21067364909365119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3117.9733509623265</v>
      </c>
      <c r="C12" s="23">
        <f ca="1">C10*C8</f>
        <v>0</v>
      </c>
      <c r="D12" s="23">
        <f>D8*D10</f>
        <v>8013.42267512746</v>
      </c>
      <c r="E12" s="23">
        <f>E10*E8</f>
        <v>478.49711475193425</v>
      </c>
      <c r="F12" s="23">
        <f>F10*F8</f>
        <v>1091.7091504598113</v>
      </c>
      <c r="G12" s="23"/>
      <c r="H12" s="23"/>
      <c r="I12" s="23"/>
      <c r="J12" s="23">
        <f>J10*J8</f>
        <v>260.240011853944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3658</v>
      </c>
      <c r="C28" s="36"/>
      <c r="D28" s="228"/>
    </row>
    <row r="29" spans="1:7" s="15" customFormat="1">
      <c r="A29" s="230" t="s">
        <v>741</v>
      </c>
      <c r="B29" s="37">
        <f>SUM(HH_hh_gas_aantal,HH_rest_gas_aantal)</f>
        <v>2791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2791</v>
      </c>
      <c r="C32" s="167">
        <f>IF(ISERROR(B32/SUM($B$32,$B$34,$B$35,$B$36,$B$38,$B$39)*100),0,B32/SUM($B$32,$B$34,$B$35,$B$36,$B$38,$B$39)*100)</f>
        <v>76.633717737506871</v>
      </c>
      <c r="D32" s="233"/>
      <c r="G32" s="15"/>
    </row>
    <row r="33" spans="1:7">
      <c r="A33" s="171" t="s">
        <v>72</v>
      </c>
      <c r="B33" s="34" t="s">
        <v>111</v>
      </c>
      <c r="C33" s="167"/>
      <c r="D33" s="233"/>
      <c r="G33" s="15"/>
    </row>
    <row r="34" spans="1:7">
      <c r="A34" s="171" t="s">
        <v>73</v>
      </c>
      <c r="B34" s="33">
        <f>IF((($B$28-$B$32-$B$39-$B$77-$B$38)*C20/100)&lt;0,0,($B$28-$B$32-$B$39-$B$77-$B$38)*C20/100)</f>
        <v>141.27659574468086</v>
      </c>
      <c r="C34" s="167">
        <f>IF(ISERROR(B34/SUM($B$32,$B$34,$B$35,$B$36,$B$38,$B$39)*100),0,B34/SUM($B$32,$B$34,$B$35,$B$36,$B$38,$B$39)*100)</f>
        <v>3.879093787607931</v>
      </c>
      <c r="D34" s="233"/>
      <c r="G34" s="15"/>
    </row>
    <row r="35" spans="1:7">
      <c r="A35" s="171" t="s">
        <v>74</v>
      </c>
      <c r="B35" s="33">
        <f>IF((($B$28-$B$32-$B$39-$B$77-$B$38)*C21/100)&lt;0,0,($B$28-$B$32-$B$39-$B$77-$B$38)*C21/100)</f>
        <v>406.8765957446808</v>
      </c>
      <c r="C35" s="167">
        <f>IF(ISERROR(B35/SUM($B$32,$B$34,$B$35,$B$36,$B$38,$B$39)*100),0,B35/SUM($B$32,$B$34,$B$35,$B$36,$B$38,$B$39)*100)</f>
        <v>11.171790108310841</v>
      </c>
      <c r="D35" s="233"/>
      <c r="G35" s="15"/>
    </row>
    <row r="36" spans="1:7">
      <c r="A36" s="171" t="s">
        <v>75</v>
      </c>
      <c r="B36" s="33">
        <f>IF((($B$28-$B$32-$B$39-$B$77-$B$38)*C22/100)&lt;0,0,($B$28-$B$32-$B$39-$B$77-$B$38)*C22/100)</f>
        <v>115.84680851063831</v>
      </c>
      <c r="C36" s="167">
        <f>IF(ISERROR(B36/SUM($B$32,$B$34,$B$35,$B$36,$B$38,$B$39)*100),0,B36/SUM($B$32,$B$34,$B$35,$B$36,$B$38,$B$39)*100)</f>
        <v>3.1808569058385041</v>
      </c>
      <c r="D36" s="233"/>
      <c r="G36" s="15"/>
    </row>
    <row r="37" spans="1:7">
      <c r="A37" s="171" t="s">
        <v>76</v>
      </c>
      <c r="B37" s="34" t="s">
        <v>111</v>
      </c>
      <c r="C37" s="167"/>
      <c r="D37" s="173"/>
      <c r="G37" s="15"/>
    </row>
    <row r="38" spans="1:7">
      <c r="A38" s="171" t="s">
        <v>77</v>
      </c>
      <c r="B38" s="33">
        <f>IF((B24-(B29-B18)*0.1)&lt;0,0,B24-(B29-B18)*0.1)</f>
        <v>20.899999999999991</v>
      </c>
      <c r="C38" s="167">
        <f>IF(ISERROR(B38/SUM($B$32,$B$34,$B$35,$B$36,$B$38,$B$39)*100),0,B38/SUM($B$32,$B$34,$B$35,$B$36,$B$38,$B$39)*100)</f>
        <v>0.57386051619988998</v>
      </c>
      <c r="D38" s="234"/>
      <c r="G38" s="15"/>
    </row>
    <row r="39" spans="1:7">
      <c r="A39" s="171" t="s">
        <v>78</v>
      </c>
      <c r="B39" s="33">
        <f>IF((B25-(B29-B18))&lt;0,0,B25-(B29-B18)*0.9)</f>
        <v>166.10000000000002</v>
      </c>
      <c r="C39" s="167">
        <f>IF(ISERROR(B39/SUM($B$32,$B$34,$B$35,$B$36,$B$38,$B$39)*100),0,B39/SUM($B$32,$B$34,$B$35,$B$36,$B$38,$B$39)*100)</f>
        <v>4.5606809445359699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2791</v>
      </c>
      <c r="C44" s="34" t="s">
        <v>111</v>
      </c>
      <c r="D44" s="174"/>
    </row>
    <row r="45" spans="1:7">
      <c r="A45" s="171" t="s">
        <v>72</v>
      </c>
      <c r="B45" s="33" t="str">
        <f t="shared" si="0"/>
        <v>-</v>
      </c>
      <c r="C45" s="34" t="s">
        <v>111</v>
      </c>
      <c r="D45" s="174"/>
    </row>
    <row r="46" spans="1:7">
      <c r="A46" s="171" t="s">
        <v>73</v>
      </c>
      <c r="B46" s="33">
        <f t="shared" si="0"/>
        <v>141.27659574468086</v>
      </c>
      <c r="C46" s="34" t="s">
        <v>111</v>
      </c>
      <c r="D46" s="174"/>
    </row>
    <row r="47" spans="1:7">
      <c r="A47" s="171" t="s">
        <v>74</v>
      </c>
      <c r="B47" s="33">
        <f t="shared" si="0"/>
        <v>406.8765957446808</v>
      </c>
      <c r="C47" s="34" t="s">
        <v>111</v>
      </c>
      <c r="D47" s="174"/>
    </row>
    <row r="48" spans="1:7">
      <c r="A48" s="171" t="s">
        <v>75</v>
      </c>
      <c r="B48" s="33">
        <f t="shared" si="0"/>
        <v>115.84680851063831</v>
      </c>
      <c r="C48" s="33">
        <f>B48*10</f>
        <v>1158.4680851063831</v>
      </c>
      <c r="D48" s="234"/>
    </row>
    <row r="49" spans="1:6">
      <c r="A49" s="171" t="s">
        <v>76</v>
      </c>
      <c r="B49" s="33" t="str">
        <f t="shared" si="0"/>
        <v>-</v>
      </c>
      <c r="C49" s="34" t="s">
        <v>111</v>
      </c>
      <c r="D49" s="234"/>
    </row>
    <row r="50" spans="1:6">
      <c r="A50" s="171" t="s">
        <v>77</v>
      </c>
      <c r="B50" s="33">
        <f t="shared" si="0"/>
        <v>20.899999999999991</v>
      </c>
      <c r="C50" s="33">
        <f>B50*2</f>
        <v>41.799999999999983</v>
      </c>
      <c r="D50" s="234"/>
    </row>
    <row r="51" spans="1:6">
      <c r="A51" s="171" t="s">
        <v>78</v>
      </c>
      <c r="B51" s="33">
        <f t="shared" si="0"/>
        <v>166.10000000000002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8738.7871100000011</v>
      </c>
      <c r="C5" s="17">
        <f>IF(ISERROR('Eigen informatie GS &amp; warmtenet'!B58),0,'Eigen informatie GS &amp; warmtenet'!B58)</f>
        <v>0</v>
      </c>
      <c r="D5" s="30">
        <f>SUM(D6:D12)</f>
        <v>10480.397970168495</v>
      </c>
      <c r="E5" s="17">
        <f>SUM(E6:E12)</f>
        <v>94.779140335527927</v>
      </c>
      <c r="F5" s="17">
        <f>SUM(F6:F12)</f>
        <v>1295.2422745988615</v>
      </c>
      <c r="G5" s="18"/>
      <c r="H5" s="17"/>
      <c r="I5" s="17"/>
      <c r="J5" s="17">
        <f>SUM(J6:J12)</f>
        <v>0</v>
      </c>
      <c r="K5" s="17"/>
      <c r="L5" s="17"/>
      <c r="M5" s="17"/>
      <c r="N5" s="17">
        <f>SUM(N6:N12)</f>
        <v>857.8900263037192</v>
      </c>
      <c r="O5" s="17">
        <f>B38*B39*B40</f>
        <v>3.1266666666666669</v>
      </c>
      <c r="P5" s="17">
        <f>B46*B47*B48/1000-B46*B47*B48/1000/B49</f>
        <v>19.066666666666666</v>
      </c>
      <c r="R5" s="32"/>
    </row>
    <row r="6" spans="1:18">
      <c r="A6" s="32" t="s">
        <v>54</v>
      </c>
      <c r="B6" s="37">
        <f>B26</f>
        <v>1786.1559999999999</v>
      </c>
      <c r="C6" s="33"/>
      <c r="D6" s="37">
        <f>IF(ISERROR(TER_kantoor_gas_kWh/1000),0,TER_kantoor_gas_kWh/1000)*0.902</f>
        <v>3955.5328785363558</v>
      </c>
      <c r="E6" s="33">
        <f>$C$26*'E Balans VL '!I12/100/3.6*1000000</f>
        <v>5.1747559982442546</v>
      </c>
      <c r="F6" s="33">
        <f>$C$26*('E Balans VL '!L12+'E Balans VL '!N12)/100/3.6*1000000</f>
        <v>202.15350713226195</v>
      </c>
      <c r="G6" s="34"/>
      <c r="H6" s="33"/>
      <c r="I6" s="33"/>
      <c r="J6" s="33">
        <f>$C$26*('E Balans VL '!D12+'E Balans VL '!E12)/100/3.6*1000000</f>
        <v>0</v>
      </c>
      <c r="K6" s="33"/>
      <c r="L6" s="33"/>
      <c r="M6" s="33"/>
      <c r="N6" s="33">
        <f>$C$26*'E Balans VL '!Y12/100/3.6*1000000</f>
        <v>17.878105461497025</v>
      </c>
      <c r="O6" s="33"/>
      <c r="P6" s="33"/>
      <c r="R6" s="32"/>
    </row>
    <row r="7" spans="1:18">
      <c r="A7" s="32" t="s">
        <v>53</v>
      </c>
      <c r="B7" s="37">
        <f t="shared" ref="B7:B12" si="0">B27</f>
        <v>822.66369999999995</v>
      </c>
      <c r="C7" s="33"/>
      <c r="D7" s="37">
        <f>IF(ISERROR(TER_horeca_gas_kWh/1000),0,TER_horeca_gas_kWh/1000)*0.902</f>
        <v>843.94766695544286</v>
      </c>
      <c r="E7" s="33">
        <f>$C$27*'E Balans VL '!I9/100/3.6*1000000</f>
        <v>34.533123649048918</v>
      </c>
      <c r="F7" s="33">
        <f>$C$27*('E Balans VL '!L9+'E Balans VL '!N9)/100/3.6*1000000</f>
        <v>176.76616625306389</v>
      </c>
      <c r="G7" s="34"/>
      <c r="H7" s="33"/>
      <c r="I7" s="33"/>
      <c r="J7" s="33">
        <f>$C$27*('E Balans VL '!D9+'E Balans VL '!E9)/100/3.6*1000000</f>
        <v>0</v>
      </c>
      <c r="K7" s="33"/>
      <c r="L7" s="33"/>
      <c r="M7" s="33"/>
      <c r="N7" s="33">
        <f>$C$27*'E Balans VL '!Y9/100/3.6*1000000</f>
        <v>0.21199324103494799</v>
      </c>
      <c r="O7" s="33"/>
      <c r="P7" s="33"/>
      <c r="R7" s="32"/>
    </row>
    <row r="8" spans="1:18">
      <c r="A8" s="6" t="s">
        <v>52</v>
      </c>
      <c r="B8" s="37">
        <f t="shared" si="0"/>
        <v>2985.8519999999999</v>
      </c>
      <c r="C8" s="33"/>
      <c r="D8" s="37">
        <f>IF(ISERROR(TER_handel_gas_kWh/1000),0,TER_handel_gas_kWh/1000)*0.902</f>
        <v>1177.7538403346066</v>
      </c>
      <c r="E8" s="33">
        <f>$C$28*'E Balans VL '!I13/100/3.6*1000000</f>
        <v>32.070535533977989</v>
      </c>
      <c r="F8" s="33">
        <f>$C$28*('E Balans VL '!L13+'E Balans VL '!N13)/100/3.6*1000000</f>
        <v>386.54319805752414</v>
      </c>
      <c r="G8" s="34"/>
      <c r="H8" s="33"/>
      <c r="I8" s="33"/>
      <c r="J8" s="33">
        <f>$C$28*('E Balans VL '!D13+'E Balans VL '!E13)/100/3.6*1000000</f>
        <v>0</v>
      </c>
      <c r="K8" s="33"/>
      <c r="L8" s="33"/>
      <c r="M8" s="33"/>
      <c r="N8" s="33">
        <f>$C$28*'E Balans VL '!Y13/100/3.6*1000000</f>
        <v>24.221394458607872</v>
      </c>
      <c r="O8" s="33"/>
      <c r="P8" s="33"/>
      <c r="R8" s="32"/>
    </row>
    <row r="9" spans="1:18">
      <c r="A9" s="32" t="s">
        <v>51</v>
      </c>
      <c r="B9" s="37">
        <f t="shared" si="0"/>
        <v>51.612610000000004</v>
      </c>
      <c r="C9" s="33"/>
      <c r="D9" s="37">
        <f>IF(ISERROR(TER_gezond_gas_kWh/1000),0,TER_gezond_gas_kWh/1000)*0.902</f>
        <v>327.88043671148176</v>
      </c>
      <c r="E9" s="33">
        <f>$C$29*'E Balans VL '!I10/100/3.6*1000000</f>
        <v>4.1086975774181397E-2</v>
      </c>
      <c r="F9" s="33">
        <f>$C$29*('E Balans VL '!L10+'E Balans VL '!N10)/100/3.6*1000000</f>
        <v>6.2742586148952588</v>
      </c>
      <c r="G9" s="34"/>
      <c r="H9" s="33"/>
      <c r="I9" s="33"/>
      <c r="J9" s="33">
        <f>$C$29*('E Balans VL '!D10+'E Balans VL '!E10)/100/3.6*1000000</f>
        <v>0</v>
      </c>
      <c r="K9" s="33"/>
      <c r="L9" s="33"/>
      <c r="M9" s="33"/>
      <c r="N9" s="33">
        <f>$C$29*'E Balans VL '!Y10/100/3.6*1000000</f>
        <v>0.41691298971740398</v>
      </c>
      <c r="O9" s="33"/>
      <c r="P9" s="33"/>
      <c r="R9" s="32"/>
    </row>
    <row r="10" spans="1:18">
      <c r="A10" s="32" t="s">
        <v>50</v>
      </c>
      <c r="B10" s="37">
        <f t="shared" si="0"/>
        <v>890.64080000000001</v>
      </c>
      <c r="C10" s="33"/>
      <c r="D10" s="37">
        <f>IF(ISERROR(TER_ander_gas_kWh/1000),0,TER_ander_gas_kWh/1000)*0.902</f>
        <v>2160.6842971749188</v>
      </c>
      <c r="E10" s="33">
        <f>$C$30*'E Balans VL '!I14/100/3.6*1000000</f>
        <v>3.0522728098700336</v>
      </c>
      <c r="F10" s="33">
        <f>$C$30*('E Balans VL '!L14+'E Balans VL '!N14)/100/3.6*1000000</f>
        <v>198.93296334110585</v>
      </c>
      <c r="G10" s="34"/>
      <c r="H10" s="33"/>
      <c r="I10" s="33"/>
      <c r="J10" s="33">
        <f>$C$30*('E Balans VL '!D14+'E Balans VL '!E14)/100/3.6*1000000</f>
        <v>0</v>
      </c>
      <c r="K10" s="33"/>
      <c r="L10" s="33"/>
      <c r="M10" s="33"/>
      <c r="N10" s="33">
        <f>$C$30*'E Balans VL '!Y14/100/3.6*1000000</f>
        <v>627.37224499558363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2201.8620000000001</v>
      </c>
      <c r="C12" s="33"/>
      <c r="D12" s="37">
        <f>IF(ISERROR(TER_rest_gas_kWh/1000),0,TER_rest_gas_kWh/1000)*0.902</f>
        <v>2014.5988504556901</v>
      </c>
      <c r="E12" s="33">
        <f>$C$32*'E Balans VL '!I8/100/3.6*1000000</f>
        <v>19.90736536861256</v>
      </c>
      <c r="F12" s="33">
        <f>$C$32*('E Balans VL '!L8+'E Balans VL '!N8)/100/3.6*1000000</f>
        <v>324.57218120001039</v>
      </c>
      <c r="G12" s="34"/>
      <c r="H12" s="33"/>
      <c r="I12" s="33"/>
      <c r="J12" s="33">
        <f>$C$32*('E Balans VL '!D8+'E Balans VL '!E8)/100/3.6*1000000</f>
        <v>0</v>
      </c>
      <c r="K12" s="33"/>
      <c r="L12" s="33"/>
      <c r="M12" s="33"/>
      <c r="N12" s="33">
        <f>$C$32*'E Balans VL '!Y8/100/3.6*1000000</f>
        <v>187.78937515727836</v>
      </c>
      <c r="O12" s="33"/>
      <c r="P12" s="33"/>
      <c r="R12" s="32"/>
    </row>
    <row r="13" spans="1:18">
      <c r="A13" s="16" t="s">
        <v>494</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8763.5371100000011</v>
      </c>
      <c r="C16" s="21">
        <f t="shared" ca="1" si="1"/>
        <v>35.357142857142861</v>
      </c>
      <c r="D16" s="21">
        <f t="shared" ca="1" si="1"/>
        <v>10409.683684454209</v>
      </c>
      <c r="E16" s="21">
        <f t="shared" si="1"/>
        <v>94.779140335527927</v>
      </c>
      <c r="F16" s="21">
        <f t="shared" ca="1" si="1"/>
        <v>1295.2422745988615</v>
      </c>
      <c r="G16" s="21">
        <f t="shared" si="1"/>
        <v>0</v>
      </c>
      <c r="H16" s="21">
        <f t="shared" si="1"/>
        <v>0</v>
      </c>
      <c r="I16" s="21">
        <f t="shared" si="1"/>
        <v>0</v>
      </c>
      <c r="J16" s="21">
        <f t="shared" si="1"/>
        <v>0</v>
      </c>
      <c r="K16" s="21">
        <f t="shared" si="1"/>
        <v>0</v>
      </c>
      <c r="L16" s="21">
        <f t="shared" ca="1" si="1"/>
        <v>0</v>
      </c>
      <c r="M16" s="21">
        <f t="shared" si="1"/>
        <v>0</v>
      </c>
      <c r="N16" s="21">
        <f t="shared" ca="1" si="1"/>
        <v>857.8900263037192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0.21067364909365119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1846.2463419313303</v>
      </c>
      <c r="C20" s="23">
        <f t="shared" ref="C20:P20" ca="1" si="2">C16*C18</f>
        <v>8.4025210084033635</v>
      </c>
      <c r="D20" s="23">
        <f t="shared" ca="1" si="2"/>
        <v>2102.7561042597504</v>
      </c>
      <c r="E20" s="23">
        <f t="shared" si="2"/>
        <v>21.514864856164841</v>
      </c>
      <c r="F20" s="23">
        <f t="shared" ca="1" si="2"/>
        <v>345.82968731789606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1786.1559999999999</v>
      </c>
      <c r="C26" s="39">
        <f>IF(ISERROR(B26*3.6/1000000/'E Balans VL '!Z12*100),0,B26*3.6/1000000/'E Balans VL '!Z12*100)</f>
        <v>3.9234981543119725E-2</v>
      </c>
      <c r="D26" s="237" t="s">
        <v>692</v>
      </c>
      <c r="F26" s="6"/>
    </row>
    <row r="27" spans="1:18">
      <c r="A27" s="231" t="s">
        <v>53</v>
      </c>
      <c r="B27" s="33">
        <f>IF(ISERROR(TER_horeca_ele_kWh/1000),0,TER_horeca_ele_kWh/1000)</f>
        <v>822.66369999999995</v>
      </c>
      <c r="C27" s="39">
        <f>IF(ISERROR(B27*3.6/1000000/'E Balans VL '!Z9*100),0,B27*3.6/1000000/'E Balans VL '!Z9*100)</f>
        <v>6.6109228703617282E-2</v>
      </c>
      <c r="D27" s="237" t="s">
        <v>692</v>
      </c>
      <c r="F27" s="6"/>
    </row>
    <row r="28" spans="1:18">
      <c r="A28" s="171" t="s">
        <v>52</v>
      </c>
      <c r="B28" s="33">
        <f>IF(ISERROR(TER_handel_ele_kWh/1000),0,TER_handel_ele_kWh/1000)</f>
        <v>2985.8519999999999</v>
      </c>
      <c r="C28" s="39">
        <f>IF(ISERROR(B28*3.6/1000000/'E Balans VL '!Z13*100),0,B28*3.6/1000000/'E Balans VL '!Z13*100)</f>
        <v>8.8289557679994801E-2</v>
      </c>
      <c r="D28" s="237" t="s">
        <v>692</v>
      </c>
      <c r="F28" s="6"/>
    </row>
    <row r="29" spans="1:18">
      <c r="A29" s="231" t="s">
        <v>51</v>
      </c>
      <c r="B29" s="33">
        <f>IF(ISERROR(TER_gezond_ele_kWh/1000),0,TER_gezond_ele_kWh/1000)</f>
        <v>51.612610000000004</v>
      </c>
      <c r="C29" s="39">
        <f>IF(ISERROR(B29*3.6/1000000/'E Balans VL '!Z10*100),0,B29*3.6/1000000/'E Balans VL '!Z10*100)</f>
        <v>5.8154086268717466E-3</v>
      </c>
      <c r="D29" s="237" t="s">
        <v>692</v>
      </c>
      <c r="F29" s="6"/>
    </row>
    <row r="30" spans="1:18">
      <c r="A30" s="231" t="s">
        <v>50</v>
      </c>
      <c r="B30" s="33">
        <f>IF(ISERROR(TER_ander_ele_kWh/1000),0,TER_ander_ele_kWh/1000)</f>
        <v>890.64080000000001</v>
      </c>
      <c r="C30" s="39">
        <f>IF(ISERROR(B30*3.6/1000000/'E Balans VL '!Z14*100),0,B30*3.6/1000000/'E Balans VL '!Z14*100)</f>
        <v>6.7357641222323003E-2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2201.8620000000001</v>
      </c>
      <c r="C32" s="39">
        <f>IF(ISERROR(B32*3.6/1000000/'E Balans VL '!Z8*100),0,B32*3.6/1000000/'E Balans VL '!Z8*100)</f>
        <v>1.8549392038450664E-2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4374.1577399999996</v>
      </c>
      <c r="C5" s="17">
        <f>IF(ISERROR('Eigen informatie GS &amp; warmtenet'!B59),0,'Eigen informatie GS &amp; warmtenet'!B59)</f>
        <v>0</v>
      </c>
      <c r="D5" s="30">
        <f>SUM(D6:D15)</f>
        <v>1706.5586452597802</v>
      </c>
      <c r="E5" s="17">
        <f>SUM(E6:E15)</f>
        <v>348.50597615198188</v>
      </c>
      <c r="F5" s="17">
        <f>SUM(F6:F15)</f>
        <v>1833.3878432701667</v>
      </c>
      <c r="G5" s="18"/>
      <c r="H5" s="17"/>
      <c r="I5" s="17"/>
      <c r="J5" s="17">
        <f>SUM(J6:J15)</f>
        <v>21.523142491767956</v>
      </c>
      <c r="K5" s="17"/>
      <c r="L5" s="17"/>
      <c r="M5" s="17"/>
      <c r="N5" s="17">
        <f>SUM(N6:N15)</f>
        <v>1003.5105089574213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13.05794</v>
      </c>
      <c r="C8" s="33"/>
      <c r="D8" s="37">
        <f>IF( ISERROR(IND_metaal_Gas_kWH/1000),0,IND_metaal_Gas_kWH/1000)*0.902</f>
        <v>0</v>
      </c>
      <c r="E8" s="33">
        <f>C30*'E Balans VL '!I18/100/3.6*1000000</f>
        <v>0.32679453638909739</v>
      </c>
      <c r="F8" s="33">
        <f>C30*'E Balans VL '!L18/100/3.6*1000000+C30*'E Balans VL '!N18/100/3.6*1000000</f>
        <v>4.0924233495339877</v>
      </c>
      <c r="G8" s="34"/>
      <c r="H8" s="33"/>
      <c r="I8" s="33"/>
      <c r="J8" s="40">
        <f>C30*'E Balans VL '!D18/100/3.6*1000000+C30*'E Balans VL '!E18/100/3.6*1000000</f>
        <v>0</v>
      </c>
      <c r="K8" s="33"/>
      <c r="L8" s="33"/>
      <c r="M8" s="33"/>
      <c r="N8" s="33">
        <f>C30*'E Balans VL '!Y18/100/3.6*1000000</f>
        <v>0.32804934110938339</v>
      </c>
      <c r="O8" s="33"/>
      <c r="P8" s="33"/>
      <c r="R8" s="32"/>
    </row>
    <row r="9" spans="1:18">
      <c r="A9" s="6" t="s">
        <v>33</v>
      </c>
      <c r="B9" s="37">
        <f t="shared" si="0"/>
        <v>617.18880000000001</v>
      </c>
      <c r="C9" s="33"/>
      <c r="D9" s="37">
        <f>IF( ISERROR(IND_andere_gas_kWh/1000),0,IND_andere_gas_kWh/1000)*0.902</f>
        <v>429.63730257783874</v>
      </c>
      <c r="E9" s="33">
        <f>C31*'E Balans VL '!I19/100/3.6*1000000</f>
        <v>169.70160596705588</v>
      </c>
      <c r="F9" s="33">
        <f>C31*'E Balans VL '!L19/100/3.6*1000000+C31*'E Balans VL '!N19/100/3.6*1000000</f>
        <v>486.45217296219766</v>
      </c>
      <c r="G9" s="34"/>
      <c r="H9" s="33"/>
      <c r="I9" s="33"/>
      <c r="J9" s="40">
        <f>C31*'E Balans VL '!D19/100/3.6*1000000+C31*'E Balans VL '!E19/100/3.6*1000000</f>
        <v>0</v>
      </c>
      <c r="K9" s="33"/>
      <c r="L9" s="33"/>
      <c r="M9" s="33"/>
      <c r="N9" s="33">
        <f>C31*'E Balans VL '!Y19/100/3.6*1000000</f>
        <v>199.80030561818822</v>
      </c>
      <c r="O9" s="33"/>
      <c r="P9" s="33"/>
      <c r="R9" s="32"/>
    </row>
    <row r="10" spans="1:18">
      <c r="A10" s="6" t="s">
        <v>41</v>
      </c>
      <c r="B10" s="37">
        <f t="shared" si="0"/>
        <v>294.67099999999999</v>
      </c>
      <c r="C10" s="33"/>
      <c r="D10" s="37">
        <f>IF( ISERROR(IND_voed_gas_kWh/1000),0,IND_voed_gas_kWh/1000)*0.902</f>
        <v>86.632482749012425</v>
      </c>
      <c r="E10" s="33">
        <f>C32*'E Balans VL '!I20/100/3.6*1000000</f>
        <v>3.004008509819811</v>
      </c>
      <c r="F10" s="33">
        <f>C32*'E Balans VL '!L20/100/3.6*1000000+C32*'E Balans VL '!N20/100/3.6*1000000</f>
        <v>556.63167601080056</v>
      </c>
      <c r="G10" s="34"/>
      <c r="H10" s="33"/>
      <c r="I10" s="33"/>
      <c r="J10" s="40">
        <f>C32*'E Balans VL '!D20/100/3.6*1000000+C32*'E Balans VL '!E20/100/3.6*1000000</f>
        <v>7.0524411978771706</v>
      </c>
      <c r="K10" s="33"/>
      <c r="L10" s="33"/>
      <c r="M10" s="33"/>
      <c r="N10" s="33">
        <f>C32*'E Balans VL '!Y20/100/3.6*1000000</f>
        <v>155.32555893711861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3449.24</v>
      </c>
      <c r="C15" s="33"/>
      <c r="D15" s="37">
        <f>IF( ISERROR(IND_rest_gas_kWh/1000),0,IND_rest_gas_kWh/1000)*0.902</f>
        <v>1190.288859932929</v>
      </c>
      <c r="E15" s="33">
        <f>C37*'E Balans VL '!I15/100/3.6*1000000</f>
        <v>175.4735671387171</v>
      </c>
      <c r="F15" s="33">
        <f>C37*'E Balans VL '!L15/100/3.6*1000000+C37*'E Balans VL '!N15/100/3.6*1000000</f>
        <v>786.21157094763453</v>
      </c>
      <c r="G15" s="34"/>
      <c r="H15" s="33"/>
      <c r="I15" s="33"/>
      <c r="J15" s="40">
        <f>C37*'E Balans VL '!D15/100/3.6*1000000+C37*'E Balans VL '!E15/100/3.6*1000000</f>
        <v>14.470701293890784</v>
      </c>
      <c r="K15" s="33"/>
      <c r="L15" s="33"/>
      <c r="M15" s="33"/>
      <c r="N15" s="33">
        <f>C37*'E Balans VL '!Y15/100/3.6*1000000</f>
        <v>648.05659506100505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4374.1577399999996</v>
      </c>
      <c r="C18" s="21">
        <f>C5+C16</f>
        <v>0</v>
      </c>
      <c r="D18" s="21">
        <f>MAX((D5+D16),0)</f>
        <v>1706.5586452597802</v>
      </c>
      <c r="E18" s="21">
        <f>MAX((E5+E16),0)</f>
        <v>348.50597615198188</v>
      </c>
      <c r="F18" s="21">
        <f>MAX((F5+F16),0)</f>
        <v>1833.3878432701667</v>
      </c>
      <c r="G18" s="21"/>
      <c r="H18" s="21"/>
      <c r="I18" s="21"/>
      <c r="J18" s="21">
        <f>MAX((J5+J16),0)</f>
        <v>21.523142491767956</v>
      </c>
      <c r="K18" s="21"/>
      <c r="L18" s="21">
        <f>MAX((L5+L16),0)</f>
        <v>0</v>
      </c>
      <c r="M18" s="21"/>
      <c r="N18" s="21">
        <f>MAX((N5+N16),0)</f>
        <v>1003.5105089574213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0.21067364909365119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921.51977279703829</v>
      </c>
      <c r="C22" s="23">
        <f ca="1">C18*C20</f>
        <v>0</v>
      </c>
      <c r="D22" s="23">
        <f>D18*D20</f>
        <v>344.72484634247564</v>
      </c>
      <c r="E22" s="23">
        <f>E18*E20</f>
        <v>79.110856586499892</v>
      </c>
      <c r="F22" s="23">
        <f>F18*F20</f>
        <v>489.51455415313455</v>
      </c>
      <c r="G22" s="23"/>
      <c r="H22" s="23"/>
      <c r="I22" s="23"/>
      <c r="J22" s="23">
        <f>J18*J20</f>
        <v>7.6191924420858559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13.05794</v>
      </c>
      <c r="C30" s="39">
        <f>IF(ISERROR(B30*3.6/1000000/'E Balans VL '!Z18*100),0,B30*3.6/1000000/'E Balans VL '!Z18*100)</f>
        <v>1.8276764393421474E-3</v>
      </c>
      <c r="D30" s="237" t="s">
        <v>692</v>
      </c>
    </row>
    <row r="31" spans="1:18">
      <c r="A31" s="6" t="s">
        <v>33</v>
      </c>
      <c r="B31" s="37">
        <f>IF( ISERROR(IND_ander_ele_kWh/1000),0,IND_ander_ele_kWh/1000)</f>
        <v>617.18880000000001</v>
      </c>
      <c r="C31" s="39">
        <f>IF(ISERROR(B31*3.6/1000000/'E Balans VL '!Z19*100),0,B31*3.6/1000000/'E Balans VL '!Z19*100)</f>
        <v>2.7014253653751836E-2</v>
      </c>
      <c r="D31" s="237" t="s">
        <v>692</v>
      </c>
    </row>
    <row r="32" spans="1:18">
      <c r="A32" s="171" t="s">
        <v>41</v>
      </c>
      <c r="B32" s="37">
        <f>IF( ISERROR(IND_voed_ele_kWh/1000),0,IND_voed_ele_kWh/1000)</f>
        <v>294.67099999999999</v>
      </c>
      <c r="C32" s="39">
        <f>IF(ISERROR(B32*3.6/1000000/'E Balans VL '!Z20*100),0,B32*3.6/1000000/'E Balans VL '!Z20*100)</f>
        <v>7.2950754058766512E-2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3449.24</v>
      </c>
      <c r="C37" s="39">
        <f>IF(ISERROR(B37*3.6/1000000/'E Balans VL '!Z15*100),0,B37*3.6/1000000/'E Balans VL '!Z15*100)</f>
        <v>2.5575524065122663E-2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975.46069999999997</v>
      </c>
      <c r="C5" s="17">
        <f>'Eigen informatie GS &amp; warmtenet'!B60</f>
        <v>0</v>
      </c>
      <c r="D5" s="30">
        <f>IF(ISERROR(SUM(LB_lb_gas_kWh,LB_rest_gas_kWh)/1000),0,SUM(LB_lb_gas_kWh,LB_rest_gas_kWh)/1000)*0.902</f>
        <v>26434.297868827813</v>
      </c>
      <c r="E5" s="17">
        <f>B17*'E Balans VL '!I25/3.6*1000000/100</f>
        <v>9.0351255638968251</v>
      </c>
      <c r="F5" s="17">
        <f>B17*('E Balans VL '!L25/3.6*1000000+'E Balans VL '!N25/3.6*1000000)/100</f>
        <v>2474.9296209726526</v>
      </c>
      <c r="G5" s="18"/>
      <c r="H5" s="17"/>
      <c r="I5" s="17"/>
      <c r="J5" s="17">
        <f>('E Balans VL '!D25+'E Balans VL '!E25)/3.6*1000000*landbouw!B17/100</f>
        <v>149.54901148318433</v>
      </c>
      <c r="K5" s="17"/>
      <c r="L5" s="17">
        <f>L6*(-1)</f>
        <v>0</v>
      </c>
      <c r="M5" s="17"/>
      <c r="N5" s="17">
        <f>N6*(-1)</f>
        <v>0</v>
      </c>
      <c r="O5" s="17"/>
      <c r="P5" s="17"/>
      <c r="R5" s="32"/>
    </row>
    <row r="6" spans="1:18">
      <c r="A6" s="16" t="s">
        <v>494</v>
      </c>
      <c r="B6" s="17" t="s">
        <v>211</v>
      </c>
      <c r="C6" s="17">
        <f>'lokale energieproductie'!O92+'lokale energieproductie'!O61</f>
        <v>12947.142857142855</v>
      </c>
      <c r="D6" s="310">
        <f>('lokale energieproductie'!P61+'lokale energieproductie'!P92)*(-1)</f>
        <v>-25894.28571428571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975.46069999999997</v>
      </c>
      <c r="C8" s="21">
        <f>C5+C6</f>
        <v>12947.142857142855</v>
      </c>
      <c r="D8" s="21">
        <f>MAX((D5+D6),0)</f>
        <v>540.01215454210251</v>
      </c>
      <c r="E8" s="21">
        <f>MAX((E5+E6),0)</f>
        <v>9.0351255638968251</v>
      </c>
      <c r="F8" s="21">
        <f>MAX((F5+F6),0)</f>
        <v>2474.9296209726526</v>
      </c>
      <c r="G8" s="21"/>
      <c r="H8" s="21"/>
      <c r="I8" s="21"/>
      <c r="J8" s="21">
        <f>MAX((J5+J6),0)</f>
        <v>149.54901148318433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0.21067364909365119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205.50386521644734</v>
      </c>
      <c r="C12" s="23">
        <f ca="1">C8*C10</f>
        <v>3076.8504201680671</v>
      </c>
      <c r="D12" s="23">
        <f>D8*D10</f>
        <v>109.08245521750472</v>
      </c>
      <c r="E12" s="23">
        <f>E8*E10</f>
        <v>2.0509735030045793</v>
      </c>
      <c r="F12" s="23">
        <f>F8*F10</f>
        <v>660.80620879969831</v>
      </c>
      <c r="G12" s="23"/>
      <c r="H12" s="23"/>
      <c r="I12" s="23"/>
      <c r="J12" s="23">
        <f>J8*J10</f>
        <v>52.940350065047248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0.13868982819806358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223.02912693895075</v>
      </c>
      <c r="C26" s="247">
        <f>B26*'GWP N2O_CH4'!B5</f>
        <v>4683.6116657179655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94.627090890634634</v>
      </c>
      <c r="C27" s="247">
        <f>B27*'GWP N2O_CH4'!B5</f>
        <v>1987.1689087033274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2.5853243063319655</v>
      </c>
      <c r="C28" s="247">
        <f>B28*'GWP N2O_CH4'!B4</f>
        <v>801.45053496290927</v>
      </c>
      <c r="D28" s="50"/>
    </row>
    <row r="29" spans="1:4">
      <c r="A29" s="41" t="s">
        <v>277</v>
      </c>
      <c r="B29" s="247">
        <f>B34*'ha_N2O bodem landbouw'!B4</f>
        <v>7.9636039385500217</v>
      </c>
      <c r="C29" s="247">
        <f>B29*'GWP N2O_CH4'!B4</f>
        <v>2468.7172209505065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1.7860960661345497E-3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2.5918556704216503E-5</v>
      </c>
      <c r="C5" s="464" t="s">
        <v>211</v>
      </c>
      <c r="D5" s="449">
        <f>SUM(D6:D11)</f>
        <v>6.7419392732598462E-5</v>
      </c>
      <c r="E5" s="449">
        <f>SUM(E6:E11)</f>
        <v>4.3075507061140166E-4</v>
      </c>
      <c r="F5" s="462" t="s">
        <v>211</v>
      </c>
      <c r="G5" s="449">
        <f>SUM(G6:G11)</f>
        <v>0.1115712505911514</v>
      </c>
      <c r="H5" s="449">
        <f>SUM(H6:H11)</f>
        <v>2.5502140844819079E-2</v>
      </c>
      <c r="I5" s="464" t="s">
        <v>211</v>
      </c>
      <c r="J5" s="464" t="s">
        <v>211</v>
      </c>
      <c r="K5" s="464" t="s">
        <v>211</v>
      </c>
      <c r="L5" s="464" t="s">
        <v>211</v>
      </c>
      <c r="M5" s="449">
        <f>SUM(M6:M11)</f>
        <v>7.2389467942521853E-3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2.1629307176416067E-5</v>
      </c>
      <c r="C6" s="450"/>
      <c r="D6" s="893">
        <f>vkm_2011_GW_PW*SUMIFS(TableVerdeelsleutelVkm[CNG],TableVerdeelsleutelVkm[Voertuigtype],"Lichte voertuigen")*SUMIFS(TableECFTransport[EnergieConsumptieFactor (PJ per km)],TableECFTransport[Index],CONCATENATE($A6,"_CNG_CNG"))</f>
        <v>5.0030968787126368E-5</v>
      </c>
      <c r="E6" s="893">
        <f>vkm_2011_GW_PW*SUMIFS(TableVerdeelsleutelVkm[LPG],TableVerdeelsleutelVkm[Voertuigtype],"Lichte voertuigen")*SUMIFS(TableECFTransport[EnergieConsumptieFactor (PJ per km)],TableECFTransport[Index],CONCATENATE($A6,"_LPG_LPG"))</f>
        <v>3.2577145588599923E-4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6.7676609815156177E-2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1.9076637727964921E-2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4.5020438245690006E-3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1.8406741836831404E-2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6.2947714261929615E-6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1.064934349408251E-3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4.193313269104644E-6</v>
      </c>
      <c r="C8" s="450"/>
      <c r="D8" s="452">
        <f>vkm_2011_NGW_PW*SUMIFS(TableVerdeelsleutelVkm[CNG],TableVerdeelsleutelVkm[Voertuigtype],"Lichte voertuigen")*SUMIFS(TableECFTransport[EnergieConsumptieFactor (PJ per km)],TableECFTransport[Index],CONCATENATE($A8,"_CNG_CNG"))</f>
        <v>1.7155749360064578E-5</v>
      </c>
      <c r="E8" s="452">
        <f>vkm_2011_NGW_PW*SUMIFS(TableVerdeelsleutelVkm[LPG],TableVerdeelsleutelVkm[Voertuigtype],"Lichte voertuigen")*SUMIFS(TableECFTransport[EnergieConsumptieFactor (PJ per km)],TableECFTransport[Index],CONCATENATE($A8,"_LPG_LPG"))</f>
        <v>1.0309475116649772E-4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2.0020849223692308E-2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6.3250999032867031E-3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1.3528292021553602E-3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4.6685947264044937E-3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1.5107028704764194E-6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2.7010202412732908E-4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9.5936258695792808E-8</v>
      </c>
      <c r="C10" s="450"/>
      <c r="D10" s="452">
        <f>vkm_2011_SW_PW*SUMIFS(TableVerdeelsleutelVkm[CNG],TableVerdeelsleutelVkm[Voertuigtype],"Lichte voertuigen")*SUMIFS(TableECFTransport[EnergieConsumptieFactor (PJ per km)],TableECFTransport[Index],CONCATENATE($A10,"_CNG_CNG"))</f>
        <v>2.3267458540751805E-7</v>
      </c>
      <c r="E10" s="452">
        <f>vkm_2011_SW_PW*SUMIFS(TableVerdeelsleutelVkm[LPG],TableVerdeelsleutelVkm[Voertuigtype],"Lichte voertuigen")*SUMIFS(TableECFTransport[EnergieConsumptieFactor (PJ per km)],TableECFTransport[Index],CONCATENATE($A10,"_LPG_LPG"))</f>
        <v>1.8888635589046873E-6</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3.5327171948160542E-4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9.2433661517643466E-5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2.3280654145553142E-5</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4.4518326958542845E-4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1.6407775314183643E-7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2.5756739846692013E-5</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7.1995990845045839</v>
      </c>
      <c r="C14" s="21"/>
      <c r="D14" s="21">
        <f t="shared" ref="D14:M14" si="0">((D5)*10^9/3600)+D12</f>
        <v>18.727609092388462</v>
      </c>
      <c r="E14" s="21">
        <f t="shared" si="0"/>
        <v>119.6541862809449</v>
      </c>
      <c r="F14" s="21"/>
      <c r="G14" s="21">
        <f t="shared" si="0"/>
        <v>30992.014053097613</v>
      </c>
      <c r="H14" s="21">
        <f t="shared" si="0"/>
        <v>7083.9280124497445</v>
      </c>
      <c r="I14" s="21"/>
      <c r="J14" s="21"/>
      <c r="K14" s="21"/>
      <c r="L14" s="21"/>
      <c r="M14" s="21">
        <f t="shared" si="0"/>
        <v>2010.8185539589404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0.21067364909365119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1.5167658111438911</v>
      </c>
      <c r="C18" s="23"/>
      <c r="D18" s="23">
        <f t="shared" ref="D18:M18" si="1">D14*D16</f>
        <v>3.7829770366624698</v>
      </c>
      <c r="E18" s="23">
        <f t="shared" si="1"/>
        <v>27.161500285774494</v>
      </c>
      <c r="F18" s="23"/>
      <c r="G18" s="23">
        <f t="shared" si="1"/>
        <v>8274.8677521770624</v>
      </c>
      <c r="H18" s="23">
        <f t="shared" si="1"/>
        <v>1763.8980750999863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1.6044760528674616E-3</v>
      </c>
      <c r="H50" s="321">
        <f t="shared" si="2"/>
        <v>0</v>
      </c>
      <c r="I50" s="321">
        <f t="shared" si="2"/>
        <v>0</v>
      </c>
      <c r="J50" s="321">
        <f t="shared" si="2"/>
        <v>0</v>
      </c>
      <c r="K50" s="321">
        <f t="shared" si="2"/>
        <v>0</v>
      </c>
      <c r="L50" s="321">
        <f t="shared" si="2"/>
        <v>0</v>
      </c>
      <c r="M50" s="321">
        <f t="shared" si="2"/>
        <v>9.1498591994670635E-5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1.6044760528674616E-3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9.1498591994670635E-5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445.68779246318371</v>
      </c>
      <c r="H54" s="21">
        <f t="shared" si="3"/>
        <v>0</v>
      </c>
      <c r="I54" s="21">
        <f t="shared" si="3"/>
        <v>0</v>
      </c>
      <c r="J54" s="21">
        <f t="shared" si="3"/>
        <v>0</v>
      </c>
      <c r="K54" s="21">
        <f t="shared" si="3"/>
        <v>0</v>
      </c>
      <c r="L54" s="21">
        <f t="shared" si="3"/>
        <v>0</v>
      </c>
      <c r="M54" s="21">
        <f t="shared" si="3"/>
        <v>25.416275554075177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0.21067364909365119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118.99864058767005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9202.8641100000004</v>
      </c>
      <c r="D10" s="1025">
        <f ca="1">tertiair!C16</f>
        <v>35.357142857142861</v>
      </c>
      <c r="E10" s="1025">
        <f ca="1">tertiair!D16</f>
        <v>10409.683684454209</v>
      </c>
      <c r="F10" s="1025">
        <f>tertiair!E16</f>
        <v>94.779140335527927</v>
      </c>
      <c r="G10" s="1025">
        <f ca="1">tertiair!F16</f>
        <v>1295.2422745988615</v>
      </c>
      <c r="H10" s="1025">
        <f>tertiair!G16</f>
        <v>0</v>
      </c>
      <c r="I10" s="1025">
        <f>tertiair!H16</f>
        <v>0</v>
      </c>
      <c r="J10" s="1025">
        <f>tertiair!I16</f>
        <v>0</v>
      </c>
      <c r="K10" s="1025">
        <f>tertiair!J16</f>
        <v>0</v>
      </c>
      <c r="L10" s="1025">
        <f>tertiair!K16</f>
        <v>0</v>
      </c>
      <c r="M10" s="1025">
        <f ca="1">tertiair!L16</f>
        <v>0</v>
      </c>
      <c r="N10" s="1025">
        <f>tertiair!M16</f>
        <v>0</v>
      </c>
      <c r="O10" s="1025">
        <f ca="1">tertiair!N16</f>
        <v>857.8900263037192</v>
      </c>
      <c r="P10" s="1025">
        <f>tertiair!O16</f>
        <v>3.1266666666666669</v>
      </c>
      <c r="Q10" s="1026">
        <f>tertiair!P16</f>
        <v>19.066666666666666</v>
      </c>
      <c r="R10" s="701">
        <f ca="1">SUM(C10:Q10)</f>
        <v>21918.009711882794</v>
      </c>
      <c r="S10" s="67"/>
    </row>
    <row r="11" spans="1:19" s="474" customFormat="1">
      <c r="A11" s="810" t="s">
        <v>225</v>
      </c>
      <c r="B11" s="815"/>
      <c r="C11" s="1025">
        <f>huishoudens!B8</f>
        <v>14800.015874677747</v>
      </c>
      <c r="D11" s="1025">
        <f>huishoudens!C8</f>
        <v>0</v>
      </c>
      <c r="E11" s="1025">
        <f>huishoudens!D8</f>
        <v>39670.409282809203</v>
      </c>
      <c r="F11" s="1025">
        <f>huishoudens!E8</f>
        <v>2107.9168050746002</v>
      </c>
      <c r="G11" s="1025">
        <f>huishoudens!F8</f>
        <v>4088.7983163288809</v>
      </c>
      <c r="H11" s="1025">
        <f>huishoudens!G8</f>
        <v>0</v>
      </c>
      <c r="I11" s="1025">
        <f>huishoudens!H8</f>
        <v>0</v>
      </c>
      <c r="J11" s="1025">
        <f>huishoudens!I8</f>
        <v>0</v>
      </c>
      <c r="K11" s="1025">
        <f>huishoudens!J8</f>
        <v>735.14127642357062</v>
      </c>
      <c r="L11" s="1025">
        <f>huishoudens!K8</f>
        <v>0</v>
      </c>
      <c r="M11" s="1025">
        <f>huishoudens!L8</f>
        <v>0</v>
      </c>
      <c r="N11" s="1025">
        <f>huishoudens!M8</f>
        <v>0</v>
      </c>
      <c r="O11" s="1025">
        <f>huishoudens!N8</f>
        <v>6554.8914660836008</v>
      </c>
      <c r="P11" s="1025">
        <f>huishoudens!O8</f>
        <v>103.17999999999999</v>
      </c>
      <c r="Q11" s="1026">
        <f>huishoudens!P8</f>
        <v>305.06666666666666</v>
      </c>
      <c r="R11" s="701">
        <f>SUM(C11:Q11)</f>
        <v>68365.419688064256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4374.1577399999996</v>
      </c>
      <c r="D13" s="1025">
        <f>industrie!C18</f>
        <v>0</v>
      </c>
      <c r="E13" s="1025">
        <f>industrie!D18</f>
        <v>1706.5586452597802</v>
      </c>
      <c r="F13" s="1025">
        <f>industrie!E18</f>
        <v>348.50597615198188</v>
      </c>
      <c r="G13" s="1025">
        <f>industrie!F18</f>
        <v>1833.3878432701667</v>
      </c>
      <c r="H13" s="1025">
        <f>industrie!G18</f>
        <v>0</v>
      </c>
      <c r="I13" s="1025">
        <f>industrie!H18</f>
        <v>0</v>
      </c>
      <c r="J13" s="1025">
        <f>industrie!I18</f>
        <v>0</v>
      </c>
      <c r="K13" s="1025">
        <f>industrie!J18</f>
        <v>21.523142491767956</v>
      </c>
      <c r="L13" s="1025">
        <f>industrie!K18</f>
        <v>0</v>
      </c>
      <c r="M13" s="1025">
        <f>industrie!L18</f>
        <v>0</v>
      </c>
      <c r="N13" s="1025">
        <f>industrie!M18</f>
        <v>0</v>
      </c>
      <c r="O13" s="1025">
        <f>industrie!N18</f>
        <v>1003.5105089574213</v>
      </c>
      <c r="P13" s="1025">
        <f>industrie!O18</f>
        <v>0</v>
      </c>
      <c r="Q13" s="1026">
        <f>industrie!P18</f>
        <v>0</v>
      </c>
      <c r="R13" s="701">
        <f>SUM(C13:Q13)</f>
        <v>9287.643856131117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28377.037724677746</v>
      </c>
      <c r="D16" s="733">
        <f t="shared" ref="D16:R16" ca="1" si="0">SUM(D9:D15)</f>
        <v>35.357142857142861</v>
      </c>
      <c r="E16" s="733">
        <f t="shared" ca="1" si="0"/>
        <v>51786.651612523186</v>
      </c>
      <c r="F16" s="733">
        <f t="shared" si="0"/>
        <v>2551.2019215621099</v>
      </c>
      <c r="G16" s="733">
        <f t="shared" ca="1" si="0"/>
        <v>7217.4284341979092</v>
      </c>
      <c r="H16" s="733">
        <f t="shared" si="0"/>
        <v>0</v>
      </c>
      <c r="I16" s="733">
        <f t="shared" si="0"/>
        <v>0</v>
      </c>
      <c r="J16" s="733">
        <f t="shared" si="0"/>
        <v>0</v>
      </c>
      <c r="K16" s="733">
        <f t="shared" si="0"/>
        <v>756.66441891533862</v>
      </c>
      <c r="L16" s="733">
        <f t="shared" si="0"/>
        <v>0</v>
      </c>
      <c r="M16" s="733">
        <f t="shared" ca="1" si="0"/>
        <v>0</v>
      </c>
      <c r="N16" s="733">
        <f t="shared" si="0"/>
        <v>0</v>
      </c>
      <c r="O16" s="733">
        <f t="shared" ca="1" si="0"/>
        <v>8416.2920013447419</v>
      </c>
      <c r="P16" s="733">
        <f t="shared" si="0"/>
        <v>106.30666666666666</v>
      </c>
      <c r="Q16" s="733">
        <f t="shared" si="0"/>
        <v>324.13333333333333</v>
      </c>
      <c r="R16" s="733">
        <f t="shared" ca="1" si="0"/>
        <v>99571.073256078176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445.68779246318371</v>
      </c>
      <c r="I19" s="1025">
        <f>transport!H54</f>
        <v>0</v>
      </c>
      <c r="J19" s="1025">
        <f>transport!I54</f>
        <v>0</v>
      </c>
      <c r="K19" s="1025">
        <f>transport!J54</f>
        <v>0</v>
      </c>
      <c r="L19" s="1025">
        <f>transport!K54</f>
        <v>0</v>
      </c>
      <c r="M19" s="1025">
        <f>transport!L54</f>
        <v>0</v>
      </c>
      <c r="N19" s="1025">
        <f>transport!M54</f>
        <v>25.416275554075177</v>
      </c>
      <c r="O19" s="1025">
        <f>transport!N54</f>
        <v>0</v>
      </c>
      <c r="P19" s="1025">
        <f>transport!O54</f>
        <v>0</v>
      </c>
      <c r="Q19" s="1026">
        <f>transport!P54</f>
        <v>0</v>
      </c>
      <c r="R19" s="701">
        <f>SUM(C19:Q19)</f>
        <v>471.1040680172589</v>
      </c>
      <c r="S19" s="67"/>
    </row>
    <row r="20" spans="1:19" s="474" customFormat="1">
      <c r="A20" s="810" t="s">
        <v>307</v>
      </c>
      <c r="B20" s="815"/>
      <c r="C20" s="1025">
        <f>transport!B14</f>
        <v>7.1995990845045839</v>
      </c>
      <c r="D20" s="1025">
        <f>transport!C14</f>
        <v>0</v>
      </c>
      <c r="E20" s="1025">
        <f>transport!D14</f>
        <v>18.727609092388462</v>
      </c>
      <c r="F20" s="1025">
        <f>transport!E14</f>
        <v>119.6541862809449</v>
      </c>
      <c r="G20" s="1025">
        <f>transport!F14</f>
        <v>0</v>
      </c>
      <c r="H20" s="1025">
        <f>transport!G14</f>
        <v>30992.014053097613</v>
      </c>
      <c r="I20" s="1025">
        <f>transport!H14</f>
        <v>7083.9280124497445</v>
      </c>
      <c r="J20" s="1025">
        <f>transport!I14</f>
        <v>0</v>
      </c>
      <c r="K20" s="1025">
        <f>transport!J14</f>
        <v>0</v>
      </c>
      <c r="L20" s="1025">
        <f>transport!K14</f>
        <v>0</v>
      </c>
      <c r="M20" s="1025">
        <f>transport!L14</f>
        <v>0</v>
      </c>
      <c r="N20" s="1025">
        <f>transport!M14</f>
        <v>2010.8185539589404</v>
      </c>
      <c r="O20" s="1025">
        <f>transport!N14</f>
        <v>0</v>
      </c>
      <c r="P20" s="1025">
        <f>transport!O14</f>
        <v>0</v>
      </c>
      <c r="Q20" s="1026">
        <f>transport!P14</f>
        <v>0</v>
      </c>
      <c r="R20" s="701">
        <f>SUM(C20:Q20)</f>
        <v>40232.342013964131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7.1995990845045839</v>
      </c>
      <c r="D22" s="813">
        <f t="shared" ref="D22:R22" si="1">SUM(D18:D21)</f>
        <v>0</v>
      </c>
      <c r="E22" s="813">
        <f t="shared" si="1"/>
        <v>18.727609092388462</v>
      </c>
      <c r="F22" s="813">
        <f t="shared" si="1"/>
        <v>119.6541862809449</v>
      </c>
      <c r="G22" s="813">
        <f t="shared" si="1"/>
        <v>0</v>
      </c>
      <c r="H22" s="813">
        <f t="shared" si="1"/>
        <v>31437.701845560798</v>
      </c>
      <c r="I22" s="813">
        <f t="shared" si="1"/>
        <v>7083.9280124497445</v>
      </c>
      <c r="J22" s="813">
        <f t="shared" si="1"/>
        <v>0</v>
      </c>
      <c r="K22" s="813">
        <f t="shared" si="1"/>
        <v>0</v>
      </c>
      <c r="L22" s="813">
        <f t="shared" si="1"/>
        <v>0</v>
      </c>
      <c r="M22" s="813">
        <f t="shared" si="1"/>
        <v>0</v>
      </c>
      <c r="N22" s="813">
        <f t="shared" si="1"/>
        <v>2036.2348295130155</v>
      </c>
      <c r="O22" s="813">
        <f t="shared" si="1"/>
        <v>0</v>
      </c>
      <c r="P22" s="813">
        <f t="shared" si="1"/>
        <v>0</v>
      </c>
      <c r="Q22" s="813">
        <f t="shared" si="1"/>
        <v>0</v>
      </c>
      <c r="R22" s="813">
        <f t="shared" si="1"/>
        <v>40703.44608198139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975.46069999999997</v>
      </c>
      <c r="D24" s="1025">
        <f>+landbouw!C8</f>
        <v>12947.142857142855</v>
      </c>
      <c r="E24" s="1025">
        <f>+landbouw!D8</f>
        <v>540.01215454210251</v>
      </c>
      <c r="F24" s="1025">
        <f>+landbouw!E8</f>
        <v>9.0351255638968251</v>
      </c>
      <c r="G24" s="1025">
        <f>+landbouw!F8</f>
        <v>2474.9296209726526</v>
      </c>
      <c r="H24" s="1025">
        <f>+landbouw!G8</f>
        <v>0</v>
      </c>
      <c r="I24" s="1025">
        <f>+landbouw!H8</f>
        <v>0</v>
      </c>
      <c r="J24" s="1025">
        <f>+landbouw!I8</f>
        <v>0</v>
      </c>
      <c r="K24" s="1025">
        <f>+landbouw!J8</f>
        <v>149.54901148318433</v>
      </c>
      <c r="L24" s="1025">
        <f>+landbouw!K8</f>
        <v>0</v>
      </c>
      <c r="M24" s="1025">
        <f>+landbouw!L8</f>
        <v>0</v>
      </c>
      <c r="N24" s="1025">
        <f>+landbouw!M8</f>
        <v>0</v>
      </c>
      <c r="O24" s="1025">
        <f>+landbouw!N8</f>
        <v>0</v>
      </c>
      <c r="P24" s="1025">
        <f>+landbouw!O8</f>
        <v>0</v>
      </c>
      <c r="Q24" s="1026">
        <f>+landbouw!P8</f>
        <v>0</v>
      </c>
      <c r="R24" s="701">
        <f>SUM(C24:Q24)</f>
        <v>17096.129469704691</v>
      </c>
      <c r="S24" s="67"/>
    </row>
    <row r="25" spans="1:19" s="474" customFormat="1" ht="15" thickBot="1">
      <c r="A25" s="832" t="s">
        <v>864</v>
      </c>
      <c r="B25" s="1028"/>
      <c r="C25" s="1029">
        <f>IF(Onbekend_ele_kWh="---",0,Onbekend_ele_kWh)/1000+IF(REST_rest_ele_kWh="---",0,REST_rest_ele_kWh)/1000</f>
        <v>464.76229999999998</v>
      </c>
      <c r="D25" s="1029"/>
      <c r="E25" s="1029">
        <f>IF(onbekend_gas_kWh="---",0,onbekend_gas_kWh)/1000+IF(REST_rest_gas_kWh="---",0,REST_rest_gas_kWh)/1000</f>
        <v>889.36579366950502</v>
      </c>
      <c r="F25" s="1029"/>
      <c r="G25" s="1029"/>
      <c r="H25" s="1029"/>
      <c r="I25" s="1029"/>
      <c r="J25" s="1029"/>
      <c r="K25" s="1029"/>
      <c r="L25" s="1029"/>
      <c r="M25" s="1029"/>
      <c r="N25" s="1029"/>
      <c r="O25" s="1029"/>
      <c r="P25" s="1029"/>
      <c r="Q25" s="1030"/>
      <c r="R25" s="701">
        <f>SUM(C25:Q25)</f>
        <v>1354.128093669505</v>
      </c>
      <c r="S25" s="67"/>
    </row>
    <row r="26" spans="1:19" s="474" customFormat="1" ht="15.75" thickBot="1">
      <c r="A26" s="706" t="s">
        <v>865</v>
      </c>
      <c r="B26" s="818"/>
      <c r="C26" s="813">
        <f>SUM(C24:C25)</f>
        <v>1440.223</v>
      </c>
      <c r="D26" s="813">
        <f t="shared" ref="D26:R26" si="2">SUM(D24:D25)</f>
        <v>12947.142857142855</v>
      </c>
      <c r="E26" s="813">
        <f t="shared" si="2"/>
        <v>1429.3779482116074</v>
      </c>
      <c r="F26" s="813">
        <f t="shared" si="2"/>
        <v>9.0351255638968251</v>
      </c>
      <c r="G26" s="813">
        <f t="shared" si="2"/>
        <v>2474.9296209726526</v>
      </c>
      <c r="H26" s="813">
        <f t="shared" si="2"/>
        <v>0</v>
      </c>
      <c r="I26" s="813">
        <f t="shared" si="2"/>
        <v>0</v>
      </c>
      <c r="J26" s="813">
        <f t="shared" si="2"/>
        <v>0</v>
      </c>
      <c r="K26" s="813">
        <f t="shared" si="2"/>
        <v>149.54901148318433</v>
      </c>
      <c r="L26" s="813">
        <f t="shared" si="2"/>
        <v>0</v>
      </c>
      <c r="M26" s="813">
        <f t="shared" si="2"/>
        <v>0</v>
      </c>
      <c r="N26" s="813">
        <f t="shared" si="2"/>
        <v>0</v>
      </c>
      <c r="O26" s="813">
        <f t="shared" si="2"/>
        <v>0</v>
      </c>
      <c r="P26" s="813">
        <f t="shared" si="2"/>
        <v>0</v>
      </c>
      <c r="Q26" s="813">
        <f t="shared" si="2"/>
        <v>0</v>
      </c>
      <c r="R26" s="813">
        <f t="shared" si="2"/>
        <v>18450.257563374194</v>
      </c>
      <c r="S26" s="67"/>
    </row>
    <row r="27" spans="1:19" s="474" customFormat="1" ht="17.25" thickTop="1" thickBot="1">
      <c r="A27" s="707" t="s">
        <v>116</v>
      </c>
      <c r="B27" s="806"/>
      <c r="C27" s="708">
        <f ca="1">C22+C16+C26</f>
        <v>29824.46032376225</v>
      </c>
      <c r="D27" s="708">
        <f t="shared" ref="D27:R27" ca="1" si="3">D22+D16+D26</f>
        <v>12982.499999999998</v>
      </c>
      <c r="E27" s="708">
        <f t="shared" ca="1" si="3"/>
        <v>53234.757169827186</v>
      </c>
      <c r="F27" s="708">
        <f t="shared" si="3"/>
        <v>2679.8912334069514</v>
      </c>
      <c r="G27" s="708">
        <f t="shared" ca="1" si="3"/>
        <v>9692.3580551705618</v>
      </c>
      <c r="H27" s="708">
        <f t="shared" si="3"/>
        <v>31437.701845560798</v>
      </c>
      <c r="I27" s="708">
        <f t="shared" si="3"/>
        <v>7083.9280124497445</v>
      </c>
      <c r="J27" s="708">
        <f t="shared" si="3"/>
        <v>0</v>
      </c>
      <c r="K27" s="708">
        <f t="shared" si="3"/>
        <v>906.21343039852297</v>
      </c>
      <c r="L27" s="708">
        <f t="shared" si="3"/>
        <v>0</v>
      </c>
      <c r="M27" s="708">
        <f t="shared" ca="1" si="3"/>
        <v>0</v>
      </c>
      <c r="N27" s="708">
        <f t="shared" si="3"/>
        <v>2036.2348295130155</v>
      </c>
      <c r="O27" s="708">
        <f t="shared" ca="1" si="3"/>
        <v>8416.2920013447419</v>
      </c>
      <c r="P27" s="708">
        <f t="shared" si="3"/>
        <v>106.30666666666666</v>
      </c>
      <c r="Q27" s="708">
        <f t="shared" si="3"/>
        <v>324.13333333333333</v>
      </c>
      <c r="R27" s="708">
        <f t="shared" ca="1" si="3"/>
        <v>158724.77690143377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1938.8009641666968</v>
      </c>
      <c r="D40" s="1025">
        <f ca="1">tertiair!C20</f>
        <v>8.4025210084033635</v>
      </c>
      <c r="E40" s="1025">
        <f ca="1">tertiair!D20</f>
        <v>2102.7561042597504</v>
      </c>
      <c r="F40" s="1025">
        <f>tertiair!E20</f>
        <v>21.514864856164841</v>
      </c>
      <c r="G40" s="1025">
        <f ca="1">tertiair!F20</f>
        <v>345.82968731789606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4417.3041416089109</v>
      </c>
    </row>
    <row r="41" spans="1:18">
      <c r="A41" s="823" t="s">
        <v>225</v>
      </c>
      <c r="B41" s="830"/>
      <c r="C41" s="1025">
        <f ca="1">huishoudens!B12</f>
        <v>3117.9733509623265</v>
      </c>
      <c r="D41" s="1025">
        <f ca="1">huishoudens!C12</f>
        <v>0</v>
      </c>
      <c r="E41" s="1025">
        <f>huishoudens!D12</f>
        <v>8013.42267512746</v>
      </c>
      <c r="F41" s="1025">
        <f>huishoudens!E12</f>
        <v>478.49711475193425</v>
      </c>
      <c r="G41" s="1025">
        <f>huishoudens!F12</f>
        <v>1091.7091504598113</v>
      </c>
      <c r="H41" s="1025">
        <f>huishoudens!G12</f>
        <v>0</v>
      </c>
      <c r="I41" s="1025">
        <f>huishoudens!H12</f>
        <v>0</v>
      </c>
      <c r="J41" s="1025">
        <f>huishoudens!I12</f>
        <v>0</v>
      </c>
      <c r="K41" s="1025">
        <f>huishoudens!J12</f>
        <v>260.240011853944</v>
      </c>
      <c r="L41" s="1025">
        <f>huishoudens!K12</f>
        <v>0</v>
      </c>
      <c r="M41" s="1025">
        <f>huishoudens!L12</f>
        <v>0</v>
      </c>
      <c r="N41" s="1025">
        <f>huishoudens!M12</f>
        <v>0</v>
      </c>
      <c r="O41" s="1025">
        <f>huishoudens!N12</f>
        <v>0</v>
      </c>
      <c r="P41" s="1025">
        <f>huishoudens!O12</f>
        <v>0</v>
      </c>
      <c r="Q41" s="775">
        <f>huishoudens!P12</f>
        <v>0</v>
      </c>
      <c r="R41" s="851">
        <f t="shared" ca="1" si="4"/>
        <v>12961.842303155478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921.51977279703829</v>
      </c>
      <c r="D43" s="1025">
        <f ca="1">industrie!C22</f>
        <v>0</v>
      </c>
      <c r="E43" s="1025">
        <f>industrie!D22</f>
        <v>344.72484634247564</v>
      </c>
      <c r="F43" s="1025">
        <f>industrie!E22</f>
        <v>79.110856586499892</v>
      </c>
      <c r="G43" s="1025">
        <f>industrie!F22</f>
        <v>489.51455415313455</v>
      </c>
      <c r="H43" s="1025">
        <f>industrie!G22</f>
        <v>0</v>
      </c>
      <c r="I43" s="1025">
        <f>industrie!H22</f>
        <v>0</v>
      </c>
      <c r="J43" s="1025">
        <f>industrie!I22</f>
        <v>0</v>
      </c>
      <c r="K43" s="1025">
        <f>industrie!J22</f>
        <v>7.6191924420858559</v>
      </c>
      <c r="L43" s="1025">
        <f>industrie!K22</f>
        <v>0</v>
      </c>
      <c r="M43" s="1025">
        <f>industrie!L22</f>
        <v>0</v>
      </c>
      <c r="N43" s="1025">
        <f>industrie!M22</f>
        <v>0</v>
      </c>
      <c r="O43" s="1025">
        <f>industrie!N22</f>
        <v>0</v>
      </c>
      <c r="P43" s="1025">
        <f>industrie!O22</f>
        <v>0</v>
      </c>
      <c r="Q43" s="775">
        <f>industrie!P22</f>
        <v>0</v>
      </c>
      <c r="R43" s="850">
        <f t="shared" ca="1" si="4"/>
        <v>1842.4892223212341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5978.2940879260614</v>
      </c>
      <c r="D46" s="733">
        <f t="shared" ref="D46:Q46" ca="1" si="5">SUM(D39:D45)</f>
        <v>8.4025210084033635</v>
      </c>
      <c r="E46" s="733">
        <f t="shared" ca="1" si="5"/>
        <v>10460.903625729685</v>
      </c>
      <c r="F46" s="733">
        <f t="shared" si="5"/>
        <v>579.1228361945989</v>
      </c>
      <c r="G46" s="733">
        <f t="shared" ca="1" si="5"/>
        <v>1927.0533919308418</v>
      </c>
      <c r="H46" s="733">
        <f t="shared" si="5"/>
        <v>0</v>
      </c>
      <c r="I46" s="733">
        <f t="shared" si="5"/>
        <v>0</v>
      </c>
      <c r="J46" s="733">
        <f t="shared" si="5"/>
        <v>0</v>
      </c>
      <c r="K46" s="733">
        <f t="shared" si="5"/>
        <v>267.85920429602987</v>
      </c>
      <c r="L46" s="733">
        <f t="shared" si="5"/>
        <v>0</v>
      </c>
      <c r="M46" s="733">
        <f t="shared" ca="1" si="5"/>
        <v>0</v>
      </c>
      <c r="N46" s="733">
        <f t="shared" si="5"/>
        <v>0</v>
      </c>
      <c r="O46" s="733">
        <f t="shared" ca="1" si="5"/>
        <v>0</v>
      </c>
      <c r="P46" s="733">
        <f t="shared" si="5"/>
        <v>0</v>
      </c>
      <c r="Q46" s="733">
        <f t="shared" si="5"/>
        <v>0</v>
      </c>
      <c r="R46" s="733">
        <f ca="1">SUM(R39:R45)</f>
        <v>19221.635667085622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118.99864058767005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118.99864058767005</v>
      </c>
    </row>
    <row r="50" spans="1:18">
      <c r="A50" s="826" t="s">
        <v>307</v>
      </c>
      <c r="B50" s="836"/>
      <c r="C50" s="704">
        <f ca="1">transport!B18</f>
        <v>1.5167658111438911</v>
      </c>
      <c r="D50" s="704">
        <f>transport!C18</f>
        <v>0</v>
      </c>
      <c r="E50" s="704">
        <f>transport!D18</f>
        <v>3.7829770366624698</v>
      </c>
      <c r="F50" s="704">
        <f>transport!E18</f>
        <v>27.161500285774494</v>
      </c>
      <c r="G50" s="704">
        <f>transport!F18</f>
        <v>0</v>
      </c>
      <c r="H50" s="704">
        <f>transport!G18</f>
        <v>8274.8677521770624</v>
      </c>
      <c r="I50" s="704">
        <f>transport!H18</f>
        <v>1763.8980750999863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10071.22707041063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1.5167658111438911</v>
      </c>
      <c r="D52" s="733">
        <f t="shared" ref="D52:Q52" ca="1" si="6">SUM(D48:D51)</f>
        <v>0</v>
      </c>
      <c r="E52" s="733">
        <f t="shared" si="6"/>
        <v>3.7829770366624698</v>
      </c>
      <c r="F52" s="733">
        <f t="shared" si="6"/>
        <v>27.161500285774494</v>
      </c>
      <c r="G52" s="733">
        <f t="shared" si="6"/>
        <v>0</v>
      </c>
      <c r="H52" s="733">
        <f t="shared" si="6"/>
        <v>8393.8663927647322</v>
      </c>
      <c r="I52" s="733">
        <f t="shared" si="6"/>
        <v>1763.8980750999863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10190.2257109983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205.50386521644734</v>
      </c>
      <c r="D54" s="704">
        <f ca="1">+landbouw!C12</f>
        <v>3076.8504201680671</v>
      </c>
      <c r="E54" s="704">
        <f>+landbouw!D12</f>
        <v>109.08245521750472</v>
      </c>
      <c r="F54" s="704">
        <f>+landbouw!E12</f>
        <v>2.0509735030045793</v>
      </c>
      <c r="G54" s="704">
        <f>+landbouw!F12</f>
        <v>660.80620879969831</v>
      </c>
      <c r="H54" s="704">
        <f>+landbouw!G12</f>
        <v>0</v>
      </c>
      <c r="I54" s="704">
        <f>+landbouw!H12</f>
        <v>0</v>
      </c>
      <c r="J54" s="704">
        <f>+landbouw!I12</f>
        <v>0</v>
      </c>
      <c r="K54" s="704">
        <f>+landbouw!J12</f>
        <v>52.940350065047248</v>
      </c>
      <c r="L54" s="704">
        <f>+landbouw!K12</f>
        <v>0</v>
      </c>
      <c r="M54" s="704">
        <f>+landbouw!L12</f>
        <v>0</v>
      </c>
      <c r="N54" s="704">
        <f>+landbouw!M12</f>
        <v>0</v>
      </c>
      <c r="O54" s="704">
        <f>+landbouw!N12</f>
        <v>0</v>
      </c>
      <c r="P54" s="704">
        <f>+landbouw!O12</f>
        <v>0</v>
      </c>
      <c r="Q54" s="705">
        <f>+landbouw!P12</f>
        <v>0</v>
      </c>
      <c r="R54" s="732">
        <f ca="1">SUM(C54:Q54)</f>
        <v>4107.2342729697684</v>
      </c>
    </row>
    <row r="55" spans="1:18" ht="15" thickBot="1">
      <c r="A55" s="826" t="s">
        <v>864</v>
      </c>
      <c r="B55" s="836"/>
      <c r="C55" s="704">
        <f ca="1">C25*'EF ele_warmte'!B12</f>
        <v>97.913169702158243</v>
      </c>
      <c r="D55" s="704"/>
      <c r="E55" s="704">
        <f>E25*EF_CO2_aardgas</f>
        <v>179.65189032124002</v>
      </c>
      <c r="F55" s="704"/>
      <c r="G55" s="704"/>
      <c r="H55" s="704"/>
      <c r="I55" s="704"/>
      <c r="J55" s="704"/>
      <c r="K55" s="704"/>
      <c r="L55" s="704"/>
      <c r="M55" s="704"/>
      <c r="N55" s="704"/>
      <c r="O55" s="704"/>
      <c r="P55" s="704"/>
      <c r="Q55" s="705"/>
      <c r="R55" s="732">
        <f ca="1">SUM(C55:Q55)</f>
        <v>277.56506002339825</v>
      </c>
    </row>
    <row r="56" spans="1:18" ht="15.75" thickBot="1">
      <c r="A56" s="824" t="s">
        <v>865</v>
      </c>
      <c r="B56" s="837"/>
      <c r="C56" s="733">
        <f ca="1">SUM(C54:C55)</f>
        <v>303.41703491860557</v>
      </c>
      <c r="D56" s="733">
        <f t="shared" ref="D56:Q56" ca="1" si="7">SUM(D54:D55)</f>
        <v>3076.8504201680671</v>
      </c>
      <c r="E56" s="733">
        <f t="shared" si="7"/>
        <v>288.73434553874472</v>
      </c>
      <c r="F56" s="733">
        <f t="shared" si="7"/>
        <v>2.0509735030045793</v>
      </c>
      <c r="G56" s="733">
        <f t="shared" si="7"/>
        <v>660.80620879969831</v>
      </c>
      <c r="H56" s="733">
        <f t="shared" si="7"/>
        <v>0</v>
      </c>
      <c r="I56" s="733">
        <f t="shared" si="7"/>
        <v>0</v>
      </c>
      <c r="J56" s="733">
        <f t="shared" si="7"/>
        <v>0</v>
      </c>
      <c r="K56" s="733">
        <f t="shared" si="7"/>
        <v>52.940350065047248</v>
      </c>
      <c r="L56" s="733">
        <f t="shared" si="7"/>
        <v>0</v>
      </c>
      <c r="M56" s="733">
        <f t="shared" si="7"/>
        <v>0</v>
      </c>
      <c r="N56" s="733">
        <f t="shared" si="7"/>
        <v>0</v>
      </c>
      <c r="O56" s="733">
        <f t="shared" si="7"/>
        <v>0</v>
      </c>
      <c r="P56" s="733">
        <f t="shared" si="7"/>
        <v>0</v>
      </c>
      <c r="Q56" s="734">
        <f t="shared" si="7"/>
        <v>0</v>
      </c>
      <c r="R56" s="735">
        <f ca="1">SUM(R54:R55)</f>
        <v>4384.7993329931669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6283.2278886558106</v>
      </c>
      <c r="D61" s="741">
        <f t="shared" ref="D61:Q61" ca="1" si="8">D46+D52+D56</f>
        <v>3085.2529411764704</v>
      </c>
      <c r="E61" s="741">
        <f t="shared" ca="1" si="8"/>
        <v>10753.420948305093</v>
      </c>
      <c r="F61" s="741">
        <f t="shared" si="8"/>
        <v>608.33530998337801</v>
      </c>
      <c r="G61" s="741">
        <f t="shared" ca="1" si="8"/>
        <v>2587.85960073054</v>
      </c>
      <c r="H61" s="741">
        <f t="shared" si="8"/>
        <v>8393.8663927647322</v>
      </c>
      <c r="I61" s="741">
        <f t="shared" si="8"/>
        <v>1763.8980750999863</v>
      </c>
      <c r="J61" s="741">
        <f t="shared" si="8"/>
        <v>0</v>
      </c>
      <c r="K61" s="741">
        <f t="shared" si="8"/>
        <v>320.79955436107713</v>
      </c>
      <c r="L61" s="741">
        <f t="shared" si="8"/>
        <v>0</v>
      </c>
      <c r="M61" s="741">
        <f t="shared" ca="1" si="8"/>
        <v>0</v>
      </c>
      <c r="N61" s="741">
        <f t="shared" si="8"/>
        <v>0</v>
      </c>
      <c r="O61" s="741">
        <f t="shared" ca="1" si="8"/>
        <v>0</v>
      </c>
      <c r="P61" s="741">
        <f t="shared" si="8"/>
        <v>0</v>
      </c>
      <c r="Q61" s="741">
        <f t="shared" si="8"/>
        <v>0</v>
      </c>
      <c r="R61" s="741">
        <f ca="1">R46+R52+R56</f>
        <v>33796.660711077086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0.21067364909365119</v>
      </c>
      <c r="D63" s="782">
        <f t="shared" ca="1" si="9"/>
        <v>0.23764705882352943</v>
      </c>
      <c r="E63" s="1036">
        <f t="shared" ca="1" si="9"/>
        <v>0.20200000000000001</v>
      </c>
      <c r="F63" s="782">
        <f t="shared" si="9"/>
        <v>0.22700000000000001</v>
      </c>
      <c r="G63" s="782">
        <f t="shared" ca="1" si="9"/>
        <v>0.26700000000000002</v>
      </c>
      <c r="H63" s="782">
        <f t="shared" si="9"/>
        <v>0.26699999999999996</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2078.1092837971778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9087.7499999999982</v>
      </c>
      <c r="D76" s="1046">
        <f>'lokale energieproductie'!C8</f>
        <v>10691.470588235292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2159.677058823529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2078.1092837971778</v>
      </c>
      <c r="C78" s="756">
        <f>SUM(C72:C77)</f>
        <v>9087.7499999999982</v>
      </c>
      <c r="D78" s="757">
        <f t="shared" ref="D78:H78" si="10">SUM(D76:D77)</f>
        <v>10691.470588235292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2159.677058823529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12982.499999999998</v>
      </c>
      <c r="D87" s="778">
        <f>'lokale energieproductie'!C17</f>
        <v>15273.529411764704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3085.2529411764704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12982.499999999998</v>
      </c>
      <c r="D90" s="756">
        <f t="shared" ref="D90:H90" si="12">SUM(D87:D89)</f>
        <v>15273.529411764704</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3085.2529411764704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2078.1092837971778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9087.7499999999982</v>
      </c>
      <c r="C8" s="571">
        <f>B101</f>
        <v>10691.470588235292</v>
      </c>
      <c r="D8" s="1056"/>
      <c r="E8" s="1056">
        <f>E101</f>
        <v>0</v>
      </c>
      <c r="F8" s="1057"/>
      <c r="G8" s="572"/>
      <c r="H8" s="1056">
        <f>I101</f>
        <v>0</v>
      </c>
      <c r="I8" s="1056">
        <f>G101+F101</f>
        <v>0</v>
      </c>
      <c r="J8" s="1056">
        <f>H101+D101+C101</f>
        <v>0</v>
      </c>
      <c r="K8" s="1056"/>
      <c r="L8" s="1056"/>
      <c r="M8" s="1056"/>
      <c r="N8" s="573"/>
      <c r="O8" s="574">
        <f>C8*$C$12+D8*$D$12+E8*$E$12+F8*$F$12+G8*$G$12+H8*$H$12+I8*$I$12+J8*$J$12</f>
        <v>2159.677058823529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11165.859283797176</v>
      </c>
      <c r="C10" s="584">
        <f t="shared" ref="C10:L10" si="0">SUM(C8:C9)</f>
        <v>10691.470588235292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2159.677058823529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12982.499999999998</v>
      </c>
      <c r="C17" s="596">
        <f>B102</f>
        <v>15273.529411764704</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3085.2529411764704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12982.499999999998</v>
      </c>
      <c r="C20" s="583">
        <f>SUM(C17:C19)</f>
        <v>15273.529411764704</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3085.2529411764704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13012</v>
      </c>
      <c r="C28" s="797">
        <v>2270</v>
      </c>
      <c r="D28" s="654" t="s">
        <v>907</v>
      </c>
      <c r="E28" s="653" t="s">
        <v>908</v>
      </c>
      <c r="F28" s="653" t="s">
        <v>909</v>
      </c>
      <c r="G28" s="653" t="s">
        <v>910</v>
      </c>
      <c r="H28" s="653" t="s">
        <v>911</v>
      </c>
      <c r="I28" s="653" t="s">
        <v>912</v>
      </c>
      <c r="J28" s="796">
        <v>36797</v>
      </c>
      <c r="K28" s="796">
        <v>39356</v>
      </c>
      <c r="L28" s="653" t="s">
        <v>913</v>
      </c>
      <c r="M28" s="653">
        <v>5.5</v>
      </c>
      <c r="N28" s="653">
        <v>24.75</v>
      </c>
      <c r="O28" s="653">
        <v>35.357142857142861</v>
      </c>
      <c r="P28" s="653">
        <v>70.714285714285722</v>
      </c>
      <c r="Q28" s="653">
        <v>0</v>
      </c>
      <c r="R28" s="653">
        <v>0</v>
      </c>
      <c r="S28" s="653">
        <v>0</v>
      </c>
      <c r="T28" s="653">
        <v>0</v>
      </c>
      <c r="U28" s="653">
        <v>0</v>
      </c>
      <c r="V28" s="653">
        <v>0</v>
      </c>
      <c r="W28" s="653">
        <v>0</v>
      </c>
      <c r="X28" s="653">
        <v>1600</v>
      </c>
      <c r="Y28" s="653" t="s">
        <v>50</v>
      </c>
      <c r="Z28" s="655" t="s">
        <v>156</v>
      </c>
    </row>
    <row r="29" spans="1:26" s="607" customFormat="1" ht="25.5">
      <c r="A29" s="606"/>
      <c r="B29" s="797">
        <v>13012</v>
      </c>
      <c r="C29" s="797">
        <v>2270</v>
      </c>
      <c r="D29" s="654" t="s">
        <v>914</v>
      </c>
      <c r="E29" s="653" t="s">
        <v>915</v>
      </c>
      <c r="F29" s="653" t="s">
        <v>916</v>
      </c>
      <c r="G29" s="653" t="s">
        <v>910</v>
      </c>
      <c r="H29" s="653" t="s">
        <v>911</v>
      </c>
      <c r="I29" s="653" t="s">
        <v>915</v>
      </c>
      <c r="J29" s="796">
        <v>39989</v>
      </c>
      <c r="K29" s="796">
        <v>40014</v>
      </c>
      <c r="L29" s="653" t="s">
        <v>913</v>
      </c>
      <c r="M29" s="653">
        <v>2014</v>
      </c>
      <c r="N29" s="653">
        <v>9062.9999999999982</v>
      </c>
      <c r="O29" s="653">
        <v>12947.142857142855</v>
      </c>
      <c r="P29" s="653">
        <v>25894.28571428571</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2019.5</v>
      </c>
      <c r="N58" s="611">
        <f>SUM(N28:N57)</f>
        <v>9087.7499999999982</v>
      </c>
      <c r="O58" s="611">
        <f t="shared" ref="O58:W58" si="2">SUM(O28:O57)</f>
        <v>12982.499999999998</v>
      </c>
      <c r="P58" s="611">
        <f t="shared" si="2"/>
        <v>25964.999999999996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5.5</v>
      </c>
      <c r="N60" s="611">
        <f ca="1">SUMIF($Z$28:AD57,"tertiair",N28:N57)</f>
        <v>24.75</v>
      </c>
      <c r="O60" s="611">
        <f ca="1">SUMIF($Z$28:AE57,"tertiair",O28:O57)</f>
        <v>35.357142857142861</v>
      </c>
      <c r="P60" s="611">
        <f ca="1">SUMIF($Z$28:AF57,"tertiair",P28:P57)</f>
        <v>70.714285714285722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2014</v>
      </c>
      <c r="N61" s="616">
        <f t="shared" si="4"/>
        <v>9062.9999999999982</v>
      </c>
      <c r="O61" s="616">
        <f t="shared" si="4"/>
        <v>12947.142857142855</v>
      </c>
      <c r="P61" s="616">
        <f t="shared" si="4"/>
        <v>25894.28571428571</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10691.470588235292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15273.529411764704</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14800.015874677747</v>
      </c>
      <c r="C4" s="478">
        <f>huishoudens!C8</f>
        <v>0</v>
      </c>
      <c r="D4" s="478">
        <f>huishoudens!D8</f>
        <v>39670.409282809203</v>
      </c>
      <c r="E4" s="478">
        <f>huishoudens!E8</f>
        <v>2107.9168050746002</v>
      </c>
      <c r="F4" s="478">
        <f>huishoudens!F8</f>
        <v>4088.7983163288809</v>
      </c>
      <c r="G4" s="478">
        <f>huishoudens!G8</f>
        <v>0</v>
      </c>
      <c r="H4" s="478">
        <f>huishoudens!H8</f>
        <v>0</v>
      </c>
      <c r="I4" s="478">
        <f>huishoudens!I8</f>
        <v>0</v>
      </c>
      <c r="J4" s="478">
        <f>huishoudens!J8</f>
        <v>735.14127642357062</v>
      </c>
      <c r="K4" s="478">
        <f>huishoudens!K8</f>
        <v>0</v>
      </c>
      <c r="L4" s="478">
        <f>huishoudens!L8</f>
        <v>0</v>
      </c>
      <c r="M4" s="478">
        <f>huishoudens!M8</f>
        <v>0</v>
      </c>
      <c r="N4" s="478">
        <f>huishoudens!N8</f>
        <v>6554.8914660836008</v>
      </c>
      <c r="O4" s="478">
        <f>huishoudens!O8</f>
        <v>103.17999999999999</v>
      </c>
      <c r="P4" s="479">
        <f>huishoudens!P8</f>
        <v>305.06666666666666</v>
      </c>
      <c r="Q4" s="480">
        <f>SUM(B4:P4)</f>
        <v>68365.419688064256</v>
      </c>
    </row>
    <row r="5" spans="1:17">
      <c r="A5" s="477" t="s">
        <v>156</v>
      </c>
      <c r="B5" s="478">
        <f ca="1">tertiair!B16</f>
        <v>8763.5371100000011</v>
      </c>
      <c r="C5" s="478">
        <f ca="1">tertiair!C16</f>
        <v>35.357142857142861</v>
      </c>
      <c r="D5" s="478">
        <f ca="1">tertiair!D16</f>
        <v>10409.683684454209</v>
      </c>
      <c r="E5" s="478">
        <f>tertiair!E16</f>
        <v>94.779140335527927</v>
      </c>
      <c r="F5" s="478">
        <f ca="1">tertiair!F16</f>
        <v>1295.2422745988615</v>
      </c>
      <c r="G5" s="478">
        <f>tertiair!G16</f>
        <v>0</v>
      </c>
      <c r="H5" s="478">
        <f>tertiair!H16</f>
        <v>0</v>
      </c>
      <c r="I5" s="478">
        <f>tertiair!I16</f>
        <v>0</v>
      </c>
      <c r="J5" s="478">
        <f>tertiair!J16</f>
        <v>0</v>
      </c>
      <c r="K5" s="478">
        <f>tertiair!K16</f>
        <v>0</v>
      </c>
      <c r="L5" s="478">
        <f ca="1">tertiair!L16</f>
        <v>0</v>
      </c>
      <c r="M5" s="478">
        <f>tertiair!M16</f>
        <v>0</v>
      </c>
      <c r="N5" s="478">
        <f ca="1">tertiair!N16</f>
        <v>857.8900263037192</v>
      </c>
      <c r="O5" s="478">
        <f>tertiair!O16</f>
        <v>3.1266666666666669</v>
      </c>
      <c r="P5" s="479">
        <f>tertiair!P16</f>
        <v>19.066666666666666</v>
      </c>
      <c r="Q5" s="477">
        <f t="shared" ref="Q5:Q14" ca="1" si="0">SUM(B5:P5)</f>
        <v>21478.682711882797</v>
      </c>
    </row>
    <row r="6" spans="1:17">
      <c r="A6" s="477" t="s">
        <v>194</v>
      </c>
      <c r="B6" s="478">
        <f>'openbare verlichting'!B8</f>
        <v>439.327</v>
      </c>
      <c r="C6" s="478"/>
      <c r="D6" s="478"/>
      <c r="E6" s="478"/>
      <c r="F6" s="478"/>
      <c r="G6" s="478"/>
      <c r="H6" s="478"/>
      <c r="I6" s="478"/>
      <c r="J6" s="478"/>
      <c r="K6" s="478"/>
      <c r="L6" s="478"/>
      <c r="M6" s="478"/>
      <c r="N6" s="478"/>
      <c r="O6" s="478"/>
      <c r="P6" s="479"/>
      <c r="Q6" s="477">
        <f t="shared" si="0"/>
        <v>439.327</v>
      </c>
    </row>
    <row r="7" spans="1:17">
      <c r="A7" s="477" t="s">
        <v>112</v>
      </c>
      <c r="B7" s="478">
        <f>landbouw!B8</f>
        <v>975.46069999999997</v>
      </c>
      <c r="C7" s="478">
        <f>landbouw!C8</f>
        <v>12947.142857142855</v>
      </c>
      <c r="D7" s="478">
        <f>landbouw!D8</f>
        <v>540.01215454210251</v>
      </c>
      <c r="E7" s="478">
        <f>landbouw!E8</f>
        <v>9.0351255638968251</v>
      </c>
      <c r="F7" s="478">
        <f>landbouw!F8</f>
        <v>2474.9296209726526</v>
      </c>
      <c r="G7" s="478">
        <f>landbouw!G8</f>
        <v>0</v>
      </c>
      <c r="H7" s="478">
        <f>landbouw!H8</f>
        <v>0</v>
      </c>
      <c r="I7" s="478">
        <f>landbouw!I8</f>
        <v>0</v>
      </c>
      <c r="J7" s="478">
        <f>landbouw!J8</f>
        <v>149.54901148318433</v>
      </c>
      <c r="K7" s="478">
        <f>landbouw!K8</f>
        <v>0</v>
      </c>
      <c r="L7" s="478">
        <f>landbouw!L8</f>
        <v>0</v>
      </c>
      <c r="M7" s="478">
        <f>landbouw!M8</f>
        <v>0</v>
      </c>
      <c r="N7" s="478">
        <f>landbouw!N8</f>
        <v>0</v>
      </c>
      <c r="O7" s="478">
        <f>landbouw!O8</f>
        <v>0</v>
      </c>
      <c r="P7" s="479">
        <f>landbouw!P8</f>
        <v>0</v>
      </c>
      <c r="Q7" s="477">
        <f t="shared" si="0"/>
        <v>17096.129469704691</v>
      </c>
    </row>
    <row r="8" spans="1:17">
      <c r="A8" s="477" t="s">
        <v>650</v>
      </c>
      <c r="B8" s="478">
        <f>industrie!B18</f>
        <v>4374.1577399999996</v>
      </c>
      <c r="C8" s="478">
        <f>industrie!C18</f>
        <v>0</v>
      </c>
      <c r="D8" s="478">
        <f>industrie!D18</f>
        <v>1706.5586452597802</v>
      </c>
      <c r="E8" s="478">
        <f>industrie!E18</f>
        <v>348.50597615198188</v>
      </c>
      <c r="F8" s="478">
        <f>industrie!F18</f>
        <v>1833.3878432701667</v>
      </c>
      <c r="G8" s="478">
        <f>industrie!G18</f>
        <v>0</v>
      </c>
      <c r="H8" s="478">
        <f>industrie!H18</f>
        <v>0</v>
      </c>
      <c r="I8" s="478">
        <f>industrie!I18</f>
        <v>0</v>
      </c>
      <c r="J8" s="478">
        <f>industrie!J18</f>
        <v>21.523142491767956</v>
      </c>
      <c r="K8" s="478">
        <f>industrie!K18</f>
        <v>0</v>
      </c>
      <c r="L8" s="478">
        <f>industrie!L18</f>
        <v>0</v>
      </c>
      <c r="M8" s="478">
        <f>industrie!M18</f>
        <v>0</v>
      </c>
      <c r="N8" s="478">
        <f>industrie!N18</f>
        <v>1003.5105089574213</v>
      </c>
      <c r="O8" s="478">
        <f>industrie!O18</f>
        <v>0</v>
      </c>
      <c r="P8" s="479">
        <f>industrie!P18</f>
        <v>0</v>
      </c>
      <c r="Q8" s="477">
        <f t="shared" si="0"/>
        <v>9287.643856131117</v>
      </c>
    </row>
    <row r="9" spans="1:17" s="483" customFormat="1">
      <c r="A9" s="481" t="s">
        <v>571</v>
      </c>
      <c r="B9" s="482">
        <f>transport!B14</f>
        <v>7.1995990845045839</v>
      </c>
      <c r="C9" s="482">
        <f>transport!C14</f>
        <v>0</v>
      </c>
      <c r="D9" s="482">
        <f>transport!D14</f>
        <v>18.727609092388462</v>
      </c>
      <c r="E9" s="482">
        <f>transport!E14</f>
        <v>119.6541862809449</v>
      </c>
      <c r="F9" s="482">
        <f>transport!F14</f>
        <v>0</v>
      </c>
      <c r="G9" s="482">
        <f>transport!G14</f>
        <v>30992.014053097613</v>
      </c>
      <c r="H9" s="482">
        <f>transport!H14</f>
        <v>7083.9280124497445</v>
      </c>
      <c r="I9" s="482">
        <f>transport!I14</f>
        <v>0</v>
      </c>
      <c r="J9" s="482">
        <f>transport!J14</f>
        <v>0</v>
      </c>
      <c r="K9" s="482">
        <f>transport!K14</f>
        <v>0</v>
      </c>
      <c r="L9" s="482">
        <f>transport!L14</f>
        <v>0</v>
      </c>
      <c r="M9" s="482">
        <f>transport!M14</f>
        <v>2010.8185539589404</v>
      </c>
      <c r="N9" s="482">
        <f>transport!N14</f>
        <v>0</v>
      </c>
      <c r="O9" s="482">
        <f>transport!O14</f>
        <v>0</v>
      </c>
      <c r="P9" s="482">
        <f>transport!P14</f>
        <v>0</v>
      </c>
      <c r="Q9" s="481">
        <f>SUM(B9:P9)</f>
        <v>40232.342013964131</v>
      </c>
    </row>
    <row r="10" spans="1:17">
      <c r="A10" s="477" t="s">
        <v>561</v>
      </c>
      <c r="B10" s="478">
        <f>transport!B54</f>
        <v>0</v>
      </c>
      <c r="C10" s="478">
        <f>transport!C54</f>
        <v>0</v>
      </c>
      <c r="D10" s="478">
        <f>transport!D54</f>
        <v>0</v>
      </c>
      <c r="E10" s="478">
        <f>transport!E54</f>
        <v>0</v>
      </c>
      <c r="F10" s="478">
        <f>transport!F54</f>
        <v>0</v>
      </c>
      <c r="G10" s="478">
        <f>transport!G54</f>
        <v>445.68779246318371</v>
      </c>
      <c r="H10" s="478">
        <f>transport!H54</f>
        <v>0</v>
      </c>
      <c r="I10" s="478">
        <f>transport!I54</f>
        <v>0</v>
      </c>
      <c r="J10" s="478">
        <f>transport!J54</f>
        <v>0</v>
      </c>
      <c r="K10" s="478">
        <f>transport!K54</f>
        <v>0</v>
      </c>
      <c r="L10" s="478">
        <f>transport!L54</f>
        <v>0</v>
      </c>
      <c r="M10" s="478">
        <f>transport!M54</f>
        <v>25.416275554075177</v>
      </c>
      <c r="N10" s="478">
        <f>transport!N54</f>
        <v>0</v>
      </c>
      <c r="O10" s="478">
        <f>transport!O54</f>
        <v>0</v>
      </c>
      <c r="P10" s="479">
        <f>transport!P54</f>
        <v>0</v>
      </c>
      <c r="Q10" s="477">
        <f t="shared" si="0"/>
        <v>471.1040680172589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464.76229999999998</v>
      </c>
      <c r="C14" s="485"/>
      <c r="D14" s="485">
        <f>'SEAP template'!E25</f>
        <v>889.36579366950502</v>
      </c>
      <c r="E14" s="485"/>
      <c r="F14" s="485"/>
      <c r="G14" s="485"/>
      <c r="H14" s="485"/>
      <c r="I14" s="485"/>
      <c r="J14" s="485"/>
      <c r="K14" s="485"/>
      <c r="L14" s="485"/>
      <c r="M14" s="485"/>
      <c r="N14" s="485"/>
      <c r="O14" s="485"/>
      <c r="P14" s="486"/>
      <c r="Q14" s="477">
        <f t="shared" si="0"/>
        <v>1354.128093669505</v>
      </c>
    </row>
    <row r="15" spans="1:17" s="487" customFormat="1">
      <c r="A15" s="1051" t="s">
        <v>565</v>
      </c>
      <c r="B15" s="991">
        <f ca="1">SUM(B4:B14)</f>
        <v>29824.460323762254</v>
      </c>
      <c r="C15" s="991">
        <f t="shared" ref="C15:Q15" ca="1" si="1">SUM(C4:C14)</f>
        <v>12982.499999999998</v>
      </c>
      <c r="D15" s="991">
        <f t="shared" ca="1" si="1"/>
        <v>53234.757169827179</v>
      </c>
      <c r="E15" s="991">
        <f t="shared" si="1"/>
        <v>2679.8912334069514</v>
      </c>
      <c r="F15" s="991">
        <f t="shared" ca="1" si="1"/>
        <v>9692.3580551705618</v>
      </c>
      <c r="G15" s="991">
        <f t="shared" si="1"/>
        <v>31437.701845560798</v>
      </c>
      <c r="H15" s="991">
        <f t="shared" si="1"/>
        <v>7083.9280124497445</v>
      </c>
      <c r="I15" s="991">
        <f t="shared" si="1"/>
        <v>0</v>
      </c>
      <c r="J15" s="991">
        <f t="shared" si="1"/>
        <v>906.21343039852297</v>
      </c>
      <c r="K15" s="991">
        <f t="shared" si="1"/>
        <v>0</v>
      </c>
      <c r="L15" s="991">
        <f t="shared" ca="1" si="1"/>
        <v>0</v>
      </c>
      <c r="M15" s="991">
        <f t="shared" si="1"/>
        <v>2036.2348295130155</v>
      </c>
      <c r="N15" s="991">
        <f t="shared" ca="1" si="1"/>
        <v>8416.2920013447419</v>
      </c>
      <c r="O15" s="991">
        <f t="shared" si="1"/>
        <v>106.30666666666666</v>
      </c>
      <c r="P15" s="991">
        <f t="shared" si="1"/>
        <v>324.13333333333333</v>
      </c>
      <c r="Q15" s="991">
        <f t="shared" ca="1" si="1"/>
        <v>158724.77690143377</v>
      </c>
    </row>
    <row r="17" spans="1:17">
      <c r="A17" s="488" t="s">
        <v>566</v>
      </c>
      <c r="B17" s="787">
        <f ca="1">huishoudens!B10</f>
        <v>0.21067364909365119</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3117.9733509623265</v>
      </c>
      <c r="C22" s="478">
        <f t="shared" ref="C22:C32" ca="1" si="3">C4*$C$17</f>
        <v>0</v>
      </c>
      <c r="D22" s="478">
        <f t="shared" ref="D22:D32" si="4">D4*$D$17</f>
        <v>8013.42267512746</v>
      </c>
      <c r="E22" s="478">
        <f t="shared" ref="E22:E32" si="5">E4*$E$17</f>
        <v>478.49711475193425</v>
      </c>
      <c r="F22" s="478">
        <f t="shared" ref="F22:F32" si="6">F4*$F$17</f>
        <v>1091.7091504598113</v>
      </c>
      <c r="G22" s="478">
        <f t="shared" ref="G22:G32" si="7">G4*$G$17</f>
        <v>0</v>
      </c>
      <c r="H22" s="478">
        <f t="shared" ref="H22:H32" si="8">H4*$H$17</f>
        <v>0</v>
      </c>
      <c r="I22" s="478">
        <f t="shared" ref="I22:I32" si="9">I4*$I$17</f>
        <v>0</v>
      </c>
      <c r="J22" s="478">
        <f t="shared" ref="J22:J32" si="10">J4*$J$17</f>
        <v>260.240011853944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12961.842303155478</v>
      </c>
    </row>
    <row r="23" spans="1:17">
      <c r="A23" s="477" t="s">
        <v>156</v>
      </c>
      <c r="B23" s="478">
        <f t="shared" ca="1" si="2"/>
        <v>1846.2463419313303</v>
      </c>
      <c r="C23" s="478">
        <f t="shared" ca="1" si="3"/>
        <v>8.4025210084033635</v>
      </c>
      <c r="D23" s="478">
        <f t="shared" ca="1" si="4"/>
        <v>2102.7561042597504</v>
      </c>
      <c r="E23" s="478">
        <f t="shared" si="5"/>
        <v>21.514864856164841</v>
      </c>
      <c r="F23" s="478">
        <f t="shared" ca="1" si="6"/>
        <v>345.82968731789606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4324.7495193735449</v>
      </c>
    </row>
    <row r="24" spans="1:17">
      <c r="A24" s="477" t="s">
        <v>194</v>
      </c>
      <c r="B24" s="478">
        <f t="shared" ca="1" si="2"/>
        <v>92.554622235366494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92.554622235366494</v>
      </c>
    </row>
    <row r="25" spans="1:17">
      <c r="A25" s="477" t="s">
        <v>112</v>
      </c>
      <c r="B25" s="478">
        <f t="shared" ca="1" si="2"/>
        <v>205.50386521644734</v>
      </c>
      <c r="C25" s="478">
        <f t="shared" ca="1" si="3"/>
        <v>3076.8504201680671</v>
      </c>
      <c r="D25" s="478">
        <f t="shared" si="4"/>
        <v>109.08245521750472</v>
      </c>
      <c r="E25" s="478">
        <f t="shared" si="5"/>
        <v>2.0509735030045793</v>
      </c>
      <c r="F25" s="478">
        <f t="shared" si="6"/>
        <v>660.80620879969831</v>
      </c>
      <c r="G25" s="478">
        <f t="shared" si="7"/>
        <v>0</v>
      </c>
      <c r="H25" s="478">
        <f t="shared" si="8"/>
        <v>0</v>
      </c>
      <c r="I25" s="478">
        <f t="shared" si="9"/>
        <v>0</v>
      </c>
      <c r="J25" s="478">
        <f t="shared" si="10"/>
        <v>52.940350065047248</v>
      </c>
      <c r="K25" s="478">
        <f t="shared" si="11"/>
        <v>0</v>
      </c>
      <c r="L25" s="478">
        <f t="shared" si="12"/>
        <v>0</v>
      </c>
      <c r="M25" s="478">
        <f t="shared" si="13"/>
        <v>0</v>
      </c>
      <c r="N25" s="478">
        <f t="shared" si="14"/>
        <v>0</v>
      </c>
      <c r="O25" s="478">
        <f t="shared" si="15"/>
        <v>0</v>
      </c>
      <c r="P25" s="479">
        <f t="shared" si="16"/>
        <v>0</v>
      </c>
      <c r="Q25" s="477">
        <f t="shared" ca="1" si="17"/>
        <v>4107.2342729697684</v>
      </c>
    </row>
    <row r="26" spans="1:17">
      <c r="A26" s="477" t="s">
        <v>650</v>
      </c>
      <c r="B26" s="478">
        <f t="shared" ca="1" si="2"/>
        <v>921.51977279703829</v>
      </c>
      <c r="C26" s="478">
        <f t="shared" ca="1" si="3"/>
        <v>0</v>
      </c>
      <c r="D26" s="478">
        <f t="shared" si="4"/>
        <v>344.72484634247564</v>
      </c>
      <c r="E26" s="478">
        <f t="shared" si="5"/>
        <v>79.110856586499892</v>
      </c>
      <c r="F26" s="478">
        <f t="shared" si="6"/>
        <v>489.51455415313455</v>
      </c>
      <c r="G26" s="478">
        <f t="shared" si="7"/>
        <v>0</v>
      </c>
      <c r="H26" s="478">
        <f t="shared" si="8"/>
        <v>0</v>
      </c>
      <c r="I26" s="478">
        <f t="shared" si="9"/>
        <v>0</v>
      </c>
      <c r="J26" s="478">
        <f t="shared" si="10"/>
        <v>7.6191924420858559</v>
      </c>
      <c r="K26" s="478">
        <f t="shared" si="11"/>
        <v>0</v>
      </c>
      <c r="L26" s="478">
        <f t="shared" si="12"/>
        <v>0</v>
      </c>
      <c r="M26" s="478">
        <f t="shared" si="13"/>
        <v>0</v>
      </c>
      <c r="N26" s="478">
        <f t="shared" si="14"/>
        <v>0</v>
      </c>
      <c r="O26" s="478">
        <f t="shared" si="15"/>
        <v>0</v>
      </c>
      <c r="P26" s="479">
        <f t="shared" si="16"/>
        <v>0</v>
      </c>
      <c r="Q26" s="477">
        <f t="shared" ca="1" si="17"/>
        <v>1842.4892223212341</v>
      </c>
    </row>
    <row r="27" spans="1:17" s="483" customFormat="1">
      <c r="A27" s="481" t="s">
        <v>571</v>
      </c>
      <c r="B27" s="781">
        <f t="shared" ca="1" si="2"/>
        <v>1.5167658111438911</v>
      </c>
      <c r="C27" s="482">
        <f t="shared" ca="1" si="3"/>
        <v>0</v>
      </c>
      <c r="D27" s="482">
        <f t="shared" si="4"/>
        <v>3.7829770366624698</v>
      </c>
      <c r="E27" s="482">
        <f t="shared" si="5"/>
        <v>27.161500285774494</v>
      </c>
      <c r="F27" s="482">
        <f t="shared" si="6"/>
        <v>0</v>
      </c>
      <c r="G27" s="482">
        <f t="shared" si="7"/>
        <v>8274.8677521770624</v>
      </c>
      <c r="H27" s="482">
        <f t="shared" si="8"/>
        <v>1763.8980750999863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10071.22707041063</v>
      </c>
    </row>
    <row r="28" spans="1:17">
      <c r="A28" s="477" t="s">
        <v>561</v>
      </c>
      <c r="B28" s="478">
        <f t="shared" ca="1" si="2"/>
        <v>0</v>
      </c>
      <c r="C28" s="478">
        <f t="shared" ca="1" si="3"/>
        <v>0</v>
      </c>
      <c r="D28" s="478">
        <f t="shared" si="4"/>
        <v>0</v>
      </c>
      <c r="E28" s="478">
        <f t="shared" si="5"/>
        <v>0</v>
      </c>
      <c r="F28" s="478">
        <f t="shared" si="6"/>
        <v>0</v>
      </c>
      <c r="G28" s="478">
        <f t="shared" si="7"/>
        <v>118.99864058767005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118.99864058767005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97.913169702158243</v>
      </c>
      <c r="C32" s="478">
        <f t="shared" ca="1" si="3"/>
        <v>0</v>
      </c>
      <c r="D32" s="478">
        <f t="shared" si="4"/>
        <v>179.65189032124002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277.56506002339825</v>
      </c>
    </row>
    <row r="33" spans="1:17" s="487" customFormat="1">
      <c r="A33" s="1051" t="s">
        <v>565</v>
      </c>
      <c r="B33" s="991">
        <f ca="1">SUM(B22:B32)</f>
        <v>6283.2278886558124</v>
      </c>
      <c r="C33" s="991">
        <f t="shared" ref="C33:Q33" ca="1" si="18">SUM(C22:C32)</f>
        <v>3085.2529411764704</v>
      </c>
      <c r="D33" s="991">
        <f t="shared" ca="1" si="18"/>
        <v>10753.420948305093</v>
      </c>
      <c r="E33" s="991">
        <f t="shared" si="18"/>
        <v>608.33530998337801</v>
      </c>
      <c r="F33" s="991">
        <f t="shared" ca="1" si="18"/>
        <v>2587.8596007305405</v>
      </c>
      <c r="G33" s="991">
        <f t="shared" si="18"/>
        <v>8393.8663927647322</v>
      </c>
      <c r="H33" s="991">
        <f t="shared" si="18"/>
        <v>1763.8980750999863</v>
      </c>
      <c r="I33" s="991">
        <f t="shared" si="18"/>
        <v>0</v>
      </c>
      <c r="J33" s="991">
        <f t="shared" si="18"/>
        <v>320.79955436107713</v>
      </c>
      <c r="K33" s="991">
        <f t="shared" si="18"/>
        <v>0</v>
      </c>
      <c r="L33" s="991">
        <f t="shared" ca="1" si="18"/>
        <v>0</v>
      </c>
      <c r="M33" s="991">
        <f t="shared" si="18"/>
        <v>0</v>
      </c>
      <c r="N33" s="991">
        <f t="shared" ca="1" si="18"/>
        <v>0</v>
      </c>
      <c r="O33" s="991">
        <f t="shared" si="18"/>
        <v>0</v>
      </c>
      <c r="P33" s="991">
        <f t="shared" si="18"/>
        <v>0</v>
      </c>
      <c r="Q33" s="991">
        <f t="shared" ca="1" si="18"/>
        <v>33796.660711077093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2078.1092837971778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9087.7499999999982</v>
      </c>
      <c r="D8" s="1068">
        <f>'SEAP template'!D76</f>
        <v>10691.470588235292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2159.677058823529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2078.1092837971778</v>
      </c>
      <c r="C10" s="1072">
        <f>SUM(C4:C9)</f>
        <v>9087.7499999999982</v>
      </c>
      <c r="D10" s="1072">
        <f t="shared" ref="D10:H10" si="0">SUM(D8:D9)</f>
        <v>10691.470588235292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2159.677058823529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0.21067364909365119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12982.499999999998</v>
      </c>
      <c r="D17" s="1069">
        <f>'SEAP template'!D87</f>
        <v>15273.529411764704</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3085.2529411764704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12982.499999999998</v>
      </c>
      <c r="D20" s="1072">
        <f t="shared" ref="D20:H20" si="2">SUM(D17:D19)</f>
        <v>15273.529411764704</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3085.2529411764704</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0.21067364909365119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2019-08-12T08:07:00Z</dcterms:modified>
</cp:coreProperties>
</file>