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P26" s="1"/>
  <c r="N24"/>
  <c r="N26" s="1"/>
  <c r="L24"/>
  <c r="L26" s="1"/>
  <c r="J24"/>
  <c r="I24"/>
  <c r="H24"/>
  <c r="Q50"/>
  <c r="P50"/>
  <c r="O50"/>
  <c r="M50"/>
  <c r="L50"/>
  <c r="K50"/>
  <c r="J50"/>
  <c r="G50"/>
  <c r="D50"/>
  <c r="Q49"/>
  <c r="P49"/>
  <c r="P52" s="1"/>
  <c r="Q20"/>
  <c r="P20"/>
  <c r="O20"/>
  <c r="M20"/>
  <c r="L20"/>
  <c r="L22" s="1"/>
  <c r="K20"/>
  <c r="J20"/>
  <c r="G20"/>
  <c r="D20"/>
  <c r="D22" s="1"/>
  <c r="Q19"/>
  <c r="P19"/>
  <c r="O19"/>
  <c r="M19"/>
  <c r="L19"/>
  <c r="K19"/>
  <c r="K22" s="1"/>
  <c r="J19"/>
  <c r="J22" s="1"/>
  <c r="I19"/>
  <c r="G19"/>
  <c r="F19"/>
  <c r="E19"/>
  <c r="D19"/>
  <c r="Q48"/>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J26"/>
  <c r="I26"/>
  <c r="H26"/>
  <c r="O22"/>
  <c r="N78" l="1"/>
  <c r="N9" i="59"/>
  <c r="L90" i="14"/>
  <c r="L18" i="59"/>
  <c r="L20" s="1"/>
  <c r="E88" i="14"/>
  <c r="E18" i="59" s="1"/>
  <c r="D20" i="18"/>
  <c r="P32" i="48"/>
  <c r="P29"/>
  <c r="P28"/>
  <c r="Q14"/>
  <c r="N6" i="17"/>
  <c r="L6"/>
  <c r="Q52" i="14"/>
  <c r="P27" i="48"/>
  <c r="H90" i="14"/>
  <c r="H18" i="59"/>
  <c r="H20" s="1"/>
  <c r="G77" i="14"/>
  <c r="G9" i="59" s="1"/>
  <c r="G10" s="1"/>
  <c r="I77" i="14"/>
  <c r="I9" i="59" s="1"/>
  <c r="O10"/>
  <c r="M22" i="14"/>
  <c r="N10" i="59"/>
  <c r="G20"/>
  <c r="K20"/>
  <c r="C98" i="18"/>
  <c r="D101" s="1"/>
  <c r="D13" i="15"/>
  <c r="C16" i="16"/>
  <c r="P22" i="14"/>
  <c r="E20" i="59"/>
  <c r="L10" i="18"/>
  <c r="C13" i="15"/>
  <c r="B16" i="16"/>
  <c r="L78" i="14"/>
  <c r="K10" i="59"/>
  <c r="D14" i="48"/>
  <c r="K10" i="18"/>
  <c r="I9"/>
  <c r="F20"/>
  <c r="K78" i="14"/>
  <c r="B17" i="18"/>
  <c r="B20" s="1"/>
  <c r="M77" i="14"/>
  <c r="M9" i="59" s="1"/>
  <c r="H9" i="18"/>
  <c r="B13" i="15"/>
  <c r="B10" i="18"/>
  <c r="N13" i="15"/>
  <c r="L13"/>
  <c r="F77" i="14"/>
  <c r="F9" i="59" s="1"/>
  <c r="G101" i="18"/>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R9" i="14"/>
  <c r="R25"/>
  <c r="K90"/>
  <c r="H78" l="1"/>
  <c r="H9" i="59"/>
  <c r="H10" s="1"/>
  <c r="O90" i="14"/>
  <c r="O18" i="59"/>
  <c r="O20" s="1"/>
  <c r="N90" i="14"/>
  <c r="N18" i="59"/>
  <c r="N20" s="1"/>
  <c r="C101" i="18"/>
  <c r="B101"/>
  <c r="C8" s="1"/>
  <c r="C10" s="1"/>
  <c r="I101"/>
  <c r="H8" s="1"/>
  <c r="M76" i="14" s="1"/>
  <c r="E101" i="18"/>
  <c r="E8" s="1"/>
  <c r="E10" s="1"/>
  <c r="Q77" i="14"/>
  <c r="P9" i="59" s="1"/>
  <c r="F101" i="18"/>
  <c r="I8" s="1"/>
  <c r="E90" i="14"/>
  <c r="H101" i="18"/>
  <c r="C77" i="14"/>
  <c r="C9" i="59" s="1"/>
  <c r="J87" i="14"/>
  <c r="J20" i="18"/>
  <c r="H20"/>
  <c r="M87" i="14"/>
  <c r="C20" i="18"/>
  <c r="O17"/>
  <c r="O20" s="1"/>
  <c r="D87" i="14"/>
  <c r="D17" i="59" s="1"/>
  <c r="D20" s="1"/>
  <c r="B88" i="14"/>
  <c r="B18" i="59" s="1"/>
  <c r="I17" i="18"/>
  <c r="J8"/>
  <c r="C88" i="14"/>
  <c r="C18" i="59" s="1"/>
  <c r="B77" i="14"/>
  <c r="B9" i="59" s="1"/>
  <c r="E20" i="18"/>
  <c r="F87" i="14"/>
  <c r="Q88"/>
  <c r="P18" i="59" s="1"/>
  <c r="H14" i="15"/>
  <c r="H16" s="1"/>
  <c r="G14"/>
  <c r="G16" s="1"/>
  <c r="M78" i="14" l="1"/>
  <c r="M8" i="59"/>
  <c r="M10" s="1"/>
  <c r="I76" i="14"/>
  <c r="I8" i="59" s="1"/>
  <c r="I10" s="1"/>
  <c r="I10" i="18"/>
  <c r="J90" i="14"/>
  <c r="J17" i="59"/>
  <c r="J20" s="1"/>
  <c r="M90" i="14"/>
  <c r="M17" i="59"/>
  <c r="M20" s="1"/>
  <c r="I10" i="14"/>
  <c r="I16" s="1"/>
  <c r="H5" i="48"/>
  <c r="F90" i="14"/>
  <c r="F17" i="59"/>
  <c r="F20" s="1"/>
  <c r="H10" i="14"/>
  <c r="H16" s="1"/>
  <c r="G5" i="48"/>
  <c r="O8" i="18"/>
  <c r="O10" s="1"/>
  <c r="H10"/>
  <c r="F76" i="14"/>
  <c r="D76"/>
  <c r="D8" i="59" s="1"/>
  <c r="D10" s="1"/>
  <c r="J10" i="18"/>
  <c r="J76" i="14"/>
  <c r="I87"/>
  <c r="I17" i="59" s="1"/>
  <c r="I20" s="1"/>
  <c r="I20" i="18"/>
  <c r="Q87" i="14"/>
  <c r="D90"/>
  <c r="A31" i="23"/>
  <c r="A32"/>
  <c r="A33"/>
  <c r="F78" i="14" l="1"/>
  <c r="F8" i="59"/>
  <c r="F10" s="1"/>
  <c r="Q90" i="14"/>
  <c r="B17" i="6" s="1"/>
  <c r="P17" i="59"/>
  <c r="P20" s="1"/>
  <c r="J78" i="14"/>
  <c r="J8" i="59"/>
  <c r="J10" s="1"/>
  <c r="Q76" i="14"/>
  <c r="D78"/>
  <c r="C87"/>
  <c r="I78"/>
  <c r="B76"/>
  <c r="B87"/>
  <c r="I90"/>
  <c r="C76"/>
  <c r="B11" i="44"/>
  <c r="B25"/>
  <c r="B24"/>
  <c r="C78" i="14" l="1"/>
  <c r="C8" i="59"/>
  <c r="C10" s="1"/>
  <c r="Q78" i="14"/>
  <c r="B9" i="6" s="1"/>
  <c r="P8" i="59"/>
  <c r="P10" s="1"/>
  <c r="C90" i="14"/>
  <c r="C17" i="59"/>
  <c r="C20" s="1"/>
  <c r="B78" i="14"/>
  <c r="B4" i="6" s="1"/>
  <c r="B8" i="59"/>
  <c r="B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5"/>
  <c r="K24"/>
  <c r="K29"/>
  <c r="K22"/>
  <c r="K27"/>
  <c r="K30"/>
  <c r="K26"/>
  <c r="B7"/>
  <c r="C24" i="14"/>
  <c r="C26" s="1"/>
  <c r="J32" i="48"/>
  <c r="J30"/>
  <c r="J27"/>
  <c r="J31"/>
  <c r="J24"/>
  <c r="J29"/>
  <c r="J28"/>
  <c r="Q11" i="14"/>
  <c r="P4" i="48"/>
  <c r="O4"/>
  <c r="P11" i="14"/>
  <c r="I32" i="48"/>
  <c r="I22"/>
  <c r="I26"/>
  <c r="I25"/>
  <c r="I31"/>
  <c r="I24"/>
  <c r="I28"/>
  <c r="I27"/>
  <c r="I29"/>
  <c r="I30"/>
  <c r="E11" i="14"/>
  <c r="D4" i="48"/>
  <c r="D22" s="1"/>
  <c r="H29"/>
  <c r="H26"/>
  <c r="H25"/>
  <c r="H32"/>
  <c r="H22"/>
  <c r="H30"/>
  <c r="H28"/>
  <c r="H24"/>
  <c r="H23"/>
  <c r="D11" i="14"/>
  <c r="C4" i="48"/>
  <c r="G24"/>
  <c r="G29"/>
  <c r="G26"/>
  <c r="G25"/>
  <c r="G32"/>
  <c r="G22"/>
  <c r="G30"/>
  <c r="G23"/>
  <c r="C11" i="14"/>
  <c r="B4" i="48"/>
  <c r="F30"/>
  <c r="F24"/>
  <c r="F32"/>
  <c r="F29"/>
  <c r="F28"/>
  <c r="F31"/>
  <c r="F27"/>
  <c r="N24"/>
  <c r="N32"/>
  <c r="N30"/>
  <c r="N27"/>
  <c r="N31"/>
  <c r="N28"/>
  <c r="N29"/>
  <c r="B10"/>
  <c r="C19" i="14"/>
  <c r="E31" i="48"/>
  <c r="E32"/>
  <c r="E29"/>
  <c r="E24"/>
  <c r="E28"/>
  <c r="E30"/>
  <c r="M32"/>
  <c r="M26"/>
  <c r="M29"/>
  <c r="M22"/>
  <c r="M25"/>
  <c r="M30"/>
  <c r="M24"/>
  <c r="M23"/>
  <c r="L10" i="14"/>
  <c r="L16" s="1"/>
  <c r="L27" s="1"/>
  <c r="K5" i="48"/>
  <c r="D30"/>
  <c r="D31"/>
  <c r="D28"/>
  <c r="D29"/>
  <c r="D24"/>
  <c r="D32"/>
  <c r="L32"/>
  <c r="L28"/>
  <c r="L27"/>
  <c r="L31"/>
  <c r="L22"/>
  <c r="L30"/>
  <c r="L29"/>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R18" s="1"/>
  <c r="I18"/>
  <c r="H13" i="48"/>
  <c r="H31" s="1"/>
  <c r="P22" i="16"/>
  <c r="Q43" i="14" s="1"/>
  <c r="P8" i="48"/>
  <c r="P26" s="1"/>
  <c r="Q13" i="14"/>
  <c r="J10"/>
  <c r="J16" s="1"/>
  <c r="J27" s="1"/>
  <c r="I5" i="48"/>
  <c r="F20" i="14"/>
  <c r="F22" s="1"/>
  <c r="E9" i="48"/>
  <c r="E27" s="1"/>
  <c r="P22"/>
  <c r="P33" s="1"/>
  <c r="P15"/>
  <c r="D9"/>
  <c r="D27" s="1"/>
  <c r="E20" i="14"/>
  <c r="E22" s="1"/>
  <c r="O5" i="48"/>
  <c r="O23" s="1"/>
  <c r="P10" i="14"/>
  <c r="J7" i="48"/>
  <c r="J25" s="1"/>
  <c r="K24" i="14"/>
  <c r="K26" s="1"/>
  <c r="O22" i="48"/>
  <c r="B9"/>
  <c r="C20" i="14"/>
  <c r="G11"/>
  <c r="F4" i="48"/>
  <c r="F22" s="1"/>
  <c r="J63" i="14"/>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H20" i="14"/>
  <c r="G9" i="48"/>
  <c r="N19" i="14"/>
  <c r="M10" i="48"/>
  <c r="M28" s="1"/>
  <c r="O22" i="16"/>
  <c r="P43" i="14" s="1"/>
  <c r="P46" s="1"/>
  <c r="P61" s="1"/>
  <c r="O8" i="48"/>
  <c r="P13" i="14"/>
  <c r="P16" s="1"/>
  <c r="P27" s="1"/>
  <c r="P63" s="1"/>
  <c r="H19"/>
  <c r="R19" s="1"/>
  <c r="G10" i="48"/>
  <c r="E12" i="13"/>
  <c r="F41" i="14" s="1"/>
  <c r="F11"/>
  <c r="E4" i="48"/>
  <c r="K11" i="14"/>
  <c r="J4" i="48"/>
  <c r="F24" i="14"/>
  <c r="F26" s="1"/>
  <c r="E7" i="48"/>
  <c r="E25" s="1"/>
  <c r="I23"/>
  <c r="I33" s="1"/>
  <c r="I15"/>
  <c r="Q13"/>
  <c r="G31"/>
  <c r="Q63" i="14"/>
  <c r="Q46"/>
  <c r="Q61"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J22"/>
  <c r="O26"/>
  <c r="O33" s="1"/>
  <c r="O15"/>
  <c r="I20" i="14"/>
  <c r="H9" i="48"/>
  <c r="M27"/>
  <c r="M33" s="1"/>
  <c r="M15"/>
  <c r="G28"/>
  <c r="Q10"/>
  <c r="G27"/>
  <c r="G33" s="1"/>
  <c r="G15"/>
  <c r="E22"/>
  <c r="Q4"/>
  <c r="H22" i="14"/>
  <c r="H27" s="1"/>
  <c r="R1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H27" i="48"/>
  <c r="H33" s="1"/>
  <c r="H15"/>
  <c r="Q9"/>
  <c r="J22" i="16"/>
  <c r="K43" i="14" s="1"/>
  <c r="K13"/>
  <c r="J8" i="48"/>
  <c r="J26" s="1"/>
  <c r="E8"/>
  <c r="F13" i="14"/>
  <c r="F16" s="1"/>
  <c r="F27" s="1"/>
  <c r="K16"/>
  <c r="K27" s="1"/>
  <c r="F46"/>
  <c r="F61" s="1"/>
  <c r="H63"/>
  <c r="J15" i="48"/>
  <c r="K46" i="14"/>
  <c r="K61" s="1"/>
  <c r="K63" s="1"/>
  <c r="J33" i="48"/>
  <c r="O13" i="14"/>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<sst xmlns="http://schemas.openxmlformats.org/spreadsheetml/2006/main" count="2419" uniqueCount="907">
  <si>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</si>
  <si>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</si>
  <si>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</si>
  <si>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</si>
  <si>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</si>
  <si>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</si>
  <si>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</si>
  <si>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</si>
  <si>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</si>
  <si>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</si>
  <si>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</si>
  <si>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</si>
  <si>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</si>
  <si>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</si>
  <si>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</si>
  <si>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</si>
  <si>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</si>
  <si>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</si>
  <si>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</si>
  <si>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</si>
  <si>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</si>
  <si>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</si>
  <si>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</si>
  <si>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</si>
  <si>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</si>
  <si>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</si>
  <si>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</si>
  <si>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</si>
  <si>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</si>
  <si>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</si>
  <si>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</si>
  <si>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</si>
  <si>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</si>
  <si>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</si>
  <si>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</si>
  <si>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</si>
  <si>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</si>
  <si>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</si>
  <si>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</si>
  <si>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</si>
  <si>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</si>
  <si>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</si>
  <si>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</si>
  <si>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</si>
  <si>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</si>
  <si>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</si>
  <si>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</si>
  <si>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</si>
  <si>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</si>
  <si>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</si>
  <si>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</si>
  <si>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</si>
  <si>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</si>
  <si>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</si>
  <si>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</si>
  <si>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</si>
  <si>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</si>
  <si>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</si>
  <si>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</si>
  <si>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</si>
  <si>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</si>
  <si>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</si>
  <si>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</si>
  <si>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</si>
  <si>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</si>
  <si>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</si>
  <si>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</si>
  <si>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</si>
  <si>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</si>
  <si>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</si>
  <si>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</si>
  <si>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</si>
  <si>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</si>
  <si>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</si>
  <si>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</si>
  <si>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</si>
  <si>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</si>
  <si>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</si>
  <si>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</si>
  <si>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</si>
  <si>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</si>
  <si>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</si>
  <si>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</si>
  <si>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</si>
  <si>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</si>
  <si>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</si>
  <si>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</si>
  <si>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</si>
  <si>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</si>
  <si>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</si>
  <si>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</si>
  <si>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</si>
  <si>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</si>
  <si>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</si>
  <si>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</si>
  <si>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</si>
  <si>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</si>
  <si>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</si>
  <si>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</si>
  <si>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</si>
  <si>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</si>
  <si>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</si>
  <si>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</si>
  <si>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</si>
  <si>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</si>
  <si>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</si>
  <si>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</si>
  <si>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</si>
  <si>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</si>
  <si>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</si>
  <si>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</si>
  <si>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</si>
  <si>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</si>
  <si>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</si>
  <si>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</si>
  <si>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</si>
  <si>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</si>
  <si>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</si>
  <si>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</si>
  <si>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</si>
  <si>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</si>
  <si>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</si>
  <si>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</si>
  <si>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</si>
  <si>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</si>
  <si>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</si>
  <si>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</si>
  <si>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</si>
  <si>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</si>
  <si>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</si>
  <si>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</si>
  <si>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</si>
  <si>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</si>
  <si>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</si>
  <si>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</si>
  <si>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</si>
  <si>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</si>
  <si>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</si>
  <si>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</si>
  <si>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</si>
  <si>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</si>
  <si>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</si>
  <si>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</si>
  <si>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</si>
  <si>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</si>
  <si>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</si>
  <si>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</si>
  <si>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</si>
  <si>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</si>
  <si>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</si>
  <si>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</si>
  <si>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</si>
  <si>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</si>
  <si>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</si>
  <si>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</si>
  <si>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</si>
  <si>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</si>
  <si>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</si>
  <si>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</si>
  <si>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</si>
  <si>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</si>
  <si>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</si>
  <si>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</si>
  <si>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</si>
  <si>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</si>
  <si>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</si>
  <si>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</si>
  <si>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</si>
  <si>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</si>
  <si>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</si>
  <si>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</si>
  <si>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</si>
  <si>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</si>
  <si>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</si>
  <si>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</si>
  <si>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</si>
  <si>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</si>
  <si>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</si>
  <si>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</si>
  <si>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</si>
  <si>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</si>
  <si>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</si>
  <si>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</si>
  <si>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</si>
  <si>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</si>
  <si>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</si>
  <si>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</si>
  <si>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</si>
  <si>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</si>
  <si>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</si>
  <si>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</si>
  <si>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</si>
  <si>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</si>
  <si>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</si>
  <si>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</si>
  <si>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</si>
  <si>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</si>
  <si>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</si>
  <si>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</si>
  <si>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</si>
  <si>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</si>
  <si>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</si>
  <si>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</si>
  <si>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</si>
  <si>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</si>
  <si>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</si>
  <si>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</si>
  <si>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</si>
  <si>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</si>
  <si>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</si>
  <si>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</si>
  <si>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</si>
  <si>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</si>
  <si>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</si>
  <si>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</si>
  <si>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</si>
  <si>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</si>
  <si>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</si>
  <si>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</si>
  <si>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</si>
  <si>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</si>
  <si>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</si>
  <si>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</si>
  <si>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</si>
  <si>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</si>
  <si>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</si>
  <si>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</si>
  <si>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</si>
  <si>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</si>
  <si>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</si>
  <si>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</si>
  <si>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</si>
  <si>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</si>
  <si>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</si>
  <si>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</si>
  <si>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</si>
  <si>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</si>
  <si>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</si>
  <si>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</si>
  <si>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</si>
  <si>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</si>
  <si>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</si>
  <si>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</si>
  <si>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</si>
  <si>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</si>
  <si>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</si>
  <si>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</si>
  <si>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</si>
  <si>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</si>
  <si>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</si>
  <si>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</si>
  <si>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</si>
  <si>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</si>
  <si>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</si>
  <si>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</si>
  <si>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</si>
  <si>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</si>
  <si>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</si>
  <si>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</si>
  <si>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</si>
  <si>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</si>
  <si>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</si>
  <si>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</si>
  <si>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</si>
  <si>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</si>
  <si>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</si>
  <si>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</si>
  <si>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</si>
  <si>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</si>
  <si>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</si>
  <si>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</si>
  <si>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</si>
  <si>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</si>
  <si>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</si>
  <si>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</si>
  <si>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</si>
  <si>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</si>
  <si>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</si>
  <si>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</si>
  <si>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</si>
  <si>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</si>
  <si>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</si>
  <si>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</si>
  <si>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</si>
  <si>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</si>
  <si>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</si>
  <si>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</si>
  <si>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</si>
  <si>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</si>
  <si>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</si>
  <si>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</si>
  <si>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</si>
  <si>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</si>
  <si>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</si>
  <si>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</si>
  <si>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</si>
  <si>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</si>
  <si>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</si>
  <si>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</si>
  <si>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</si>
  <si>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</si>
  <si>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</si>
  <si>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</si>
  <si>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</si>
  <si>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</si>
  <si>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</si>
  <si>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</si>
  <si>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</si>
  <si>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</si>
  <si>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</si>
  <si>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</si>
  <si>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</si>
  <si>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</si>
  <si>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</si>
  <si>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</si>
  <si>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</si>
  <si>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</si>
  <si>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</si>
  <si>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</si>
  <si>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</si>
  <si>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</si>
  <si>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</si>
  <si>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</si>
  <si>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</si>
  <si>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</si>
  <si>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</si>
  <si>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</si>
  <si>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</si>
  <si>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</si>
  <si>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</si>
  <si>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</si>
  <si>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</si>
  <si>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</si>
  <si>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</si>
  <si>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</si>
  <si>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</si>
  <si>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</si>
  <si>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</si>
  <si>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</si>
  <si>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</si>
  <si>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</si>
  <si>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</si>
  <si>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</si>
  <si>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</si>
  <si>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</si>
  <si>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</si>
  <si>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</si>
  <si>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</si>
  <si>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</si>
  <si>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</si>
  <si>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</si>
  <si>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</si>
  <si>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</si>
  <si>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</si>
  <si>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</si>
  <si>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</si>
  <si>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</si>
  <si>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</si>
  <si>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</si>
  <si>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</si>
  <si>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</si>
  <si>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</si>
  <si>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</si>
  <si>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</si>
  <si>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</si>
  <si>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</si>
  <si>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</si>
  <si>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</si>
  <si>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</si>
  <si>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</si>
  <si>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</si>
  <si>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</si>
  <si>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</si>
  <si>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</si>
  <si>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</si>
  <si>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</si>
  <si>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</si>
  <si>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</si>
  <si>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</si>
  <si>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</si>
  <si>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</si>
  <si>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</si>
  <si>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</si>
  <si>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</si>
  <si>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</si>
  <si>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</si>
  <si>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</si>
  <si>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</si>
  <si>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</si>
  <si>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</si>
  <si>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</si>
  <si>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</si>
  <si>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</si>
  <si>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</si>
  <si>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</si>
  <si>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</si>
  <si>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</si>
  <si>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</si>
  <si>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</si>
  <si>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</si>
  <si>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</si>
  <si>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</si>
  <si>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</si>
  <si>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</si>
  <si>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</si>
  <si>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</si>
  <si>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</si>
  <si>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</si>
  <si>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</si>
  <si>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</si>
  <si>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</si>
  <si>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</si>
  <si>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</si>
  <si>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</si>
  <si>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</si>
  <si>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</si>
  <si>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</si>
  <si>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</si>
  <si>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</si>
  <si>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</si>
  <si>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</si>
  <si>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</si>
  <si>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</si>
  <si>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</si>
  <si>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</si>
  <si>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</si>
  <si>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</si>
  <si>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</si>
  <si>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</si>
  <si>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</si>
  <si>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</si>
  <si>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</si>
  <si>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</si>
  <si>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</si>
  <si>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</si>
  <si>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</si>
  <si>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</si>
  <si>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</si>
  <si>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</si>
  <si>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</si>
  <si>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</si>
  <si>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</si>
  <si>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</si>
  <si>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</si>
  <si>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</si>
  <si>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</si>
  <si>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</si>
  <si>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</si>
  <si>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</si>
  <si>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</si>
  <si>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</si>
  <si>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</si>
  <si>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</si>
  <si>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</si>
  <si>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</si>
  <si>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</si>
  <si>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</si>
  <si>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</si>
  <si>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</si>
  <si>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</si>
  <si>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</si>
  <si>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</si>
  <si>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</si>
  <si>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</si>
  <si>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</si>
  <si>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</si>
  <si>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</si>
  <si>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</si>
  <si>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</si>
  <si>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</si>
  <si>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</si>
  <si>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</si>
  <si>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</si>
  <si>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</si>
  <si>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</si>
  <si>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</si>
  <si>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</si>
  <si>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</si>
  <si>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</si>
  <si>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</si>
  <si>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</si>
  <si>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</si>
  <si>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</si>
  <si>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</si>
  <si>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</si>
  <si>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</si>
  <si>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</si>
  <si>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</si>
  <si>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</si>
  <si>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</si>
  <si>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</si>
  <si>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</si>
  <si>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</si>
  <si>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</si>
  <si>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</si>
  <si>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</si>
  <si>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</si>
  <si>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</si>
  <si>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</si>
  <si>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</si>
  <si>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</si>
  <si>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</si>
  <si>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</si>
  <si>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</si>
  <si>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</si>
  <si>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</si>
  <si>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</si>
  <si>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</si>
  <si>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</si>
  <si>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</si>
  <si>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</si>
  <si>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</si>
  <si>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</si>
  <si>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</si>
  <si>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</si>
  <si>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</si>
  <si>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</si>
  <si>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</si>
  <si>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</si>
  <si>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</si>
  <si>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</si>
  <si>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</si>
  <si>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</si>
  <si>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</si>
  <si>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</si>
  <si>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</si>
  <si>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</si>
  <si>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</si>
  <si>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</si>
  <si>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</si>
  <si>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</si>
  <si>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</si>
  <si>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</si>
  <si>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</si>
  <si>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</si>
  <si>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</si>
  <si>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</si>
  <si>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</si>
  <si>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</si>
  <si>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</si>
  <si>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</si>
  <si>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</si>
  <si>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</si>
  <si>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</si>
  <si>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</si>
  <si>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</si>
  <si>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</si>
  <si>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</si>
  <si>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</si>
  <si>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</si>
  <si>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</si>
  <si>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</si>
  <si>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</si>
  <si>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</si>
  <si>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</si>
  <si>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</si>
  <si>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</si>
  <si>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</si>
  <si>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</si>
  <si>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</si>
  <si>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</si>
  <si>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</si>
  <si>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</si>
  <si>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</si>
  <si>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</si>
  <si>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</si>
  <si>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</si>
  <si>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</si>
  <si>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</si>
  <si>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</si>
  <si>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</si>
  <si>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</si>
  <si>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</si>
  <si>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</si>
  <si>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</si>
  <si>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</si>
  <si>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</si>
  <si>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</si>
  <si>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</si>
  <si>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</si>
  <si>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</si>
  <si>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</si>
  <si>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</si>
  <si>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</si>
  <si>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</si>
  <si>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</si>
  <si>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</si>
  <si>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</si>
  <si>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</si>
  <si>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</si>
  <si>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</si>
  <si>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</si>
  <si>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</si>
  <si>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</si>
  <si>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</si>
  <si>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</si>
  <si>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</si>
  <si>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</si>
  <si>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</si>
  <si>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</si>
  <si>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</si>
  <si>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</si>
  <si>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</si>
  <si>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</si>
  <si>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</si>
  <si>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</si>
  <si>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</si>
  <si>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</si>
  <si>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</si>
  <si>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</si>
  <si>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</si>
  <si>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</si>
  <si>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</si>
  <si>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</si>
  <si>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</si>
  <si>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</si>
  <si>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</si>
  <si>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</si>
  <si>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</si>
  <si>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</si>
  <si>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</si>
  <si>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</si>
  <si>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</si>
  <si>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</si>
  <si>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</si>
  <si>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</si>
  <si>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</si>
  <si>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</si>
  <si>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</si>
  <si>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</si>
  <si>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</si>
  <si>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</si>
  <si>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</si>
  <si>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</si>
  <si>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</si>
  <si>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</si>
  <si>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</si>
  <si>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</si>
  <si>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</si>
  <si>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</si>
  <si>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</si>
  <si>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</si>
  <si>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</si>
  <si>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</si>
  <si>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</si>
  <si>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</si>
  <si>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</si>
  <si>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</si>
  <si>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</si>
  <si>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</si>
  <si>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</si>
  <si>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</si>
  <si>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</si>
  <si>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</si>
  <si>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</si>
  <si>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</si>
  <si>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</si>
  <si>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</si>
  <si>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</si>
  <si>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</si>
  <si>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</si>
  <si>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</si>
  <si>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</si>
  <si>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</si>
  <si>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</si>
  <si>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</si>
  <si>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</si>
  <si>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</si>
  <si>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</si>
  <si>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</si>
  <si>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</si>
  <si>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</si>
  <si>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</si>
  <si>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</si>
  <si>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</si>
  <si>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</si>
  <si>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</si>
  <si>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</si>
  <si>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</si>
  <si>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</si>
  <si>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</si>
  <si>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</si>
  <si>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</si>
  <si>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</si>
  <si>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</si>
  <si>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</si>
  <si>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</si>
  <si>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</si>
  <si>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</si>
  <si>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</si>
  <si>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</si>
  <si>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</si>
  <si>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</si>
  <si>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</si>
  <si>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</si>
  <si>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</si>
  <si>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</si>
  <si>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</si>
  <si>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</si>
  <si>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</si>
  <si>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</si>
  <si>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</si>
  <si>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</si>
  <si>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</si>
  <si>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</si>
  <si>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</si>
  <si>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</si>
  <si>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</si>
  <si>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</si>
  <si>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</si>
  <si>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</si>
  <si>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</si>
  <si>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</si>
  <si>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</si>
  <si>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</si>
  <si>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</si>
  <si>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</si>
  <si>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</si>
  <si>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</si>
  <si>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</si>
  <si>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</si>
  <si>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</si>
  <si>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</si>
  <si>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</si>
  <si>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</si>
  <si>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</si>
  <si>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</si>
  <si>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</si>
  <si>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</si>
  <si>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</si>
  <si>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</si>
  <si>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</si>
  <si>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</si>
  <si>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</si>
  <si>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</si>
  <si>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</si>
  <si>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</si>
  <si>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</si>
  <si>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</si>
  <si>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</si>
  <si>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</si>
  <si>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</si>
  <si>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</si>
  <si>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</si>
  <si>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</si>
  <si>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</si>
  <si>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</si>
  <si>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</si>
  <si>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</si>
  <si>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</si>
  <si>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</si>
  <si>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</si>
  <si>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</si>
  <si>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</si>
  <si>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</si>
  <si>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</si>
  <si>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</si>
  <si>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</si>
  <si>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</si>
  <si>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</si>
  <si>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</si>
  <si>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</si>
  <si>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</si>
  <si>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</si>
  <si>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</si>
  <si>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</si>
  <si>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</si>
  <si>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</si>
  <si>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</si>
  <si>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</si>
  <si>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</si>
  <si>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</si>
  <si>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</si>
  <si>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</si>
  <si>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</si>
  <si>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</si>
  <si>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</si>
  <si>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</si>
  <si>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</si>
  <si>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</si>
  <si>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</si>
  <si>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</si>
  <si>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</si>
  <si>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</si>
  <si>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</si>
  <si>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</si>
  <si>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</si>
  <si>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</si>
  <si>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</si>
  <si>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</si>
  <si>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</si>
  <si>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</si>
  <si>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</si>
  <si>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</si>
  <si>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</si>
  <si>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</si>
  <si>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</si>
  <si>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</si>
  <si>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</si>
  <si>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</si>
  <si>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</si>
  <si>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</si>
  <si>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</si>
  <si>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</si>
  <si>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</si>
  <si>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</si>
  <si>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</si>
  <si>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</si>
  <si>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</si>
  <si>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</si>
  <si>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</si>
  <si>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</si>
  <si>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</si>
  <si>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</si>
  <si>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</si>
  <si>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</si>
  <si>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</si>
  <si>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</si>
  <si>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</si>
  <si>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</si>
  <si>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</si>
  <si>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</si>
  <si>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</si>
  <si>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</si>
  <si>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</si>
  <si>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</si>
  <si>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</si>
  <si>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</si>
  <si>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</si>
  <si>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</si>
  <si>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</si>
  <si>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</si>
  <si>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</si>
  <si>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</si>
  <si>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</si>
  <si>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</si>
  <si>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</si>
  <si>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</si>
  <si>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</si>
  <si>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</si>
  <si>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</si>
  <si>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</si>
  <si>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</si>
  <si>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</si>
  <si>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</si>
  <si>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</si>
  <si>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</si>
  <si>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</si>
  <si>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</si>
  <si>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</si>
  <si>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</si>
  <si>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</si>
  <si>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</si>
  <si>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</si>
  <si>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</si>
  <si>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</si>
  <si>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</si>
  <si>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</si>
  <si>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</si>
  <si>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</si>
  <si>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</si>
  <si>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</si>
  <si>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</si>
  <si>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</si>
  <si>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</si>
  <si>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</si>
  <si>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</si>
  <si>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</si>
  <si>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</si>
  <si>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</si>
  <si>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</si>
  <si>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</si>
  <si>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</si>
  <si>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</si>
  <si>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</si>
  <si>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</si>
  <si>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</si>
  <si>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</si>
  <si>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</si>
  <si>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</si>
  <si>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</si>
  <si>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</si>
  <si>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</si>
  <si>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</si>
  <si>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</si>
  <si>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</si>
  <si>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</si>
  <si>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</si>
  <si>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</si>
  <si>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</si>
  <si>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</si>
  <si>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</si>
  <si>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</si>
  <si>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</si>
  <si>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</si>
  <si>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</si>
  <si>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</si>
  <si>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</si>
  <si>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</si>
  <si>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13010</t>
  </si>
  <si>
    <t>GROBBENDONK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</si>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</sst>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94126.75012749774</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94126.75012749774</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17828.00315834608</c:v>
                </c:pt>
                <c:pt idx="2">
                  <c:v>7917.6054901805674</c:v>
                </c:pt>
                <c:pt idx="3">
                  <c:v>175.70633909916739</c:v>
                </c:pt>
                <c:pt idx="4">
                  <c:v>424.8156458157722</c:v>
                </c:pt>
                <c:pt idx="5">
                  <c:v>30610.63968527539</c:v>
                </c:pt>
                <c:pt idx="6">
                  <c:v>55631.704627357154</c:v>
                </c:pt>
                <c:pt idx="7">
                  <c:v>259.68180129572835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17828.00315834608</c:v>
                </c:pt>
                <c:pt idx="2">
                  <c:v>7917.6054901805674</c:v>
                </c:pt>
                <c:pt idx="3">
                  <c:v>175.70633909916739</c:v>
                </c:pt>
                <c:pt idx="4">
                  <c:v>424.8156458157722</c:v>
                </c:pt>
                <c:pt idx="5">
                  <c:v>30610.63968527539</c:v>
                </c:pt>
                <c:pt idx="6">
                  <c:v>55631.704627357154</c:v>
                </c:pt>
                <c:pt idx="7">
                  <c:v>259.68180129572835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13010</v>
      </c>
      <c r="B6" s="416"/>
      <c r="C6" s="417"/>
    </row>
    <row r="7" spans="1:7" s="414" customFormat="1" ht="15.75" customHeight="1">
      <c r="A7" s="418" t="str">
        <f>txtMunicipality</f>
        <v>GROBBENDONK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0.21076321732678321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0.21076321732678321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4548</v>
      </c>
      <c r="C9" s="342">
        <v>4632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741</v>
      </c>
    </row>
    <row r="15" spans="1:6">
      <c r="A15" s="348" t="s">
        <v>184</v>
      </c>
      <c r="B15" s="334">
        <v>270</v>
      </c>
    </row>
    <row r="16" spans="1:6">
      <c r="A16" s="348" t="s">
        <v>6</v>
      </c>
      <c r="B16" s="334">
        <v>750</v>
      </c>
    </row>
    <row r="17" spans="1:6">
      <c r="A17" s="348" t="s">
        <v>7</v>
      </c>
      <c r="B17" s="334">
        <v>4</v>
      </c>
    </row>
    <row r="18" spans="1:6">
      <c r="A18" s="348" t="s">
        <v>8</v>
      </c>
      <c r="B18" s="334">
        <v>339</v>
      </c>
    </row>
    <row r="19" spans="1:6">
      <c r="A19" s="348" t="s">
        <v>9</v>
      </c>
      <c r="B19" s="334">
        <v>329</v>
      </c>
    </row>
    <row r="20" spans="1:6">
      <c r="A20" s="348" t="s">
        <v>10</v>
      </c>
      <c r="B20" s="334">
        <v>149</v>
      </c>
    </row>
    <row r="21" spans="1:6">
      <c r="A21" s="348" t="s">
        <v>11</v>
      </c>
      <c r="B21" s="334">
        <v>1626</v>
      </c>
    </row>
    <row r="22" spans="1:6">
      <c r="A22" s="348" t="s">
        <v>12</v>
      </c>
      <c r="B22" s="334">
        <v>3392</v>
      </c>
    </row>
    <row r="23" spans="1:6">
      <c r="A23" s="348" t="s">
        <v>13</v>
      </c>
      <c r="B23" s="334">
        <v>13</v>
      </c>
    </row>
    <row r="24" spans="1:6">
      <c r="A24" s="348" t="s">
        <v>14</v>
      </c>
      <c r="B24" s="334">
        <v>2</v>
      </c>
    </row>
    <row r="25" spans="1:6">
      <c r="A25" s="348" t="s">
        <v>15</v>
      </c>
      <c r="B25" s="334">
        <v>247</v>
      </c>
    </row>
    <row r="26" spans="1:6">
      <c r="A26" s="348" t="s">
        <v>16</v>
      </c>
      <c r="B26" s="334">
        <v>26</v>
      </c>
    </row>
    <row r="27" spans="1:6">
      <c r="A27" s="348" t="s">
        <v>17</v>
      </c>
      <c r="B27" s="334">
        <v>0</v>
      </c>
    </row>
    <row r="28" spans="1:6" s="356" customFormat="1">
      <c r="A28" s="355" t="s">
        <v>18</v>
      </c>
      <c r="B28" s="355">
        <v>5</v>
      </c>
    </row>
    <row r="29" spans="1:6">
      <c r="A29" s="355" t="s">
        <v>901</v>
      </c>
      <c r="B29" s="355">
        <v>230</v>
      </c>
      <c r="C29" s="356"/>
      <c r="D29" s="356"/>
      <c r="E29" s="356"/>
      <c r="F29" s="356"/>
    </row>
    <row r="30" spans="1:6">
      <c r="A30" s="341" t="s">
        <v>902</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136825</v>
      </c>
      <c r="E38" s="334">
        <v>3</v>
      </c>
      <c r="F38" s="334">
        <v>6800.1120000000001</v>
      </c>
    </row>
    <row r="39" spans="1:6">
      <c r="A39" s="348" t="s">
        <v>30</v>
      </c>
      <c r="B39" s="348" t="s">
        <v>31</v>
      </c>
      <c r="C39" s="334">
        <v>3004</v>
      </c>
      <c r="D39" s="334">
        <v>53050060.574220084</v>
      </c>
      <c r="E39" s="334">
        <v>4543</v>
      </c>
      <c r="F39" s="334">
        <v>20714089</v>
      </c>
    </row>
    <row r="40" spans="1:6">
      <c r="A40" s="348" t="s">
        <v>30</v>
      </c>
      <c r="B40" s="348" t="s">
        <v>29</v>
      </c>
      <c r="C40" s="334">
        <v>0</v>
      </c>
      <c r="D40" s="334">
        <v>0</v>
      </c>
      <c r="E40" s="334">
        <v>0</v>
      </c>
      <c r="F40" s="334">
        <v>0</v>
      </c>
    </row>
    <row r="41" spans="1:6">
      <c r="A41" s="348" t="s">
        <v>32</v>
      </c>
      <c r="B41" s="348" t="s">
        <v>33</v>
      </c>
      <c r="C41" s="334">
        <v>43</v>
      </c>
      <c r="D41" s="334">
        <v>20786803</v>
      </c>
      <c r="E41" s="334">
        <v>106</v>
      </c>
      <c r="F41" s="334">
        <v>1370233</v>
      </c>
    </row>
    <row r="42" spans="1:6">
      <c r="A42" s="348" t="s">
        <v>32</v>
      </c>
      <c r="B42" s="348" t="s">
        <v>34</v>
      </c>
      <c r="C42" s="334">
        <v>3</v>
      </c>
      <c r="D42" s="334">
        <v>7277620</v>
      </c>
      <c r="E42" s="334">
        <v>0</v>
      </c>
      <c r="F42" s="334">
        <v>0</v>
      </c>
    </row>
    <row r="43" spans="1:6">
      <c r="A43" s="348" t="s">
        <v>32</v>
      </c>
      <c r="B43" s="348" t="s">
        <v>35</v>
      </c>
      <c r="C43" s="334">
        <v>0</v>
      </c>
      <c r="D43" s="334">
        <v>0</v>
      </c>
      <c r="E43" s="334">
        <v>0</v>
      </c>
      <c r="F43" s="334">
        <v>0</v>
      </c>
    </row>
    <row r="44" spans="1:6">
      <c r="A44" s="348" t="s">
        <v>32</v>
      </c>
      <c r="B44" s="348" t="s">
        <v>36</v>
      </c>
      <c r="C44" s="334">
        <v>5</v>
      </c>
      <c r="D44" s="334">
        <v>268376</v>
      </c>
      <c r="E44" s="334">
        <v>3</v>
      </c>
      <c r="F44" s="334">
        <v>19215.72</v>
      </c>
    </row>
    <row r="45" spans="1:6">
      <c r="A45" s="348" t="s">
        <v>32</v>
      </c>
      <c r="B45" s="348" t="s">
        <v>37</v>
      </c>
      <c r="C45" s="334">
        <v>0</v>
      </c>
      <c r="D45" s="334">
        <v>0</v>
      </c>
      <c r="E45" s="334">
        <v>7</v>
      </c>
      <c r="F45" s="334">
        <v>3540130</v>
      </c>
    </row>
    <row r="46" spans="1:6">
      <c r="A46" s="348" t="s">
        <v>32</v>
      </c>
      <c r="B46" s="348" t="s">
        <v>38</v>
      </c>
      <c r="C46" s="334">
        <v>0</v>
      </c>
      <c r="D46" s="334">
        <v>0</v>
      </c>
      <c r="E46" s="334">
        <v>0</v>
      </c>
      <c r="F46" s="334">
        <v>0</v>
      </c>
    </row>
    <row r="47" spans="1:6">
      <c r="A47" s="348" t="s">
        <v>32</v>
      </c>
      <c r="B47" s="348" t="s">
        <v>39</v>
      </c>
      <c r="C47" s="334">
        <v>3</v>
      </c>
      <c r="D47" s="334">
        <v>357883</v>
      </c>
      <c r="E47" s="334">
        <v>0</v>
      </c>
      <c r="F47" s="334">
        <v>0</v>
      </c>
    </row>
    <row r="48" spans="1:6">
      <c r="A48" s="348" t="s">
        <v>32</v>
      </c>
      <c r="B48" s="348" t="s">
        <v>29</v>
      </c>
      <c r="C48" s="334">
        <v>4</v>
      </c>
      <c r="D48" s="334">
        <v>152956</v>
      </c>
      <c r="E48" s="334">
        <v>48</v>
      </c>
      <c r="F48" s="334">
        <v>57084953</v>
      </c>
    </row>
    <row r="49" spans="1:6">
      <c r="A49" s="348" t="s">
        <v>32</v>
      </c>
      <c r="B49" s="348" t="s">
        <v>40</v>
      </c>
      <c r="C49" s="334">
        <v>0</v>
      </c>
      <c r="D49" s="334">
        <v>0</v>
      </c>
      <c r="E49" s="334">
        <v>0</v>
      </c>
      <c r="F49" s="334">
        <v>0</v>
      </c>
    </row>
    <row r="50" spans="1:6">
      <c r="A50" s="348" t="s">
        <v>32</v>
      </c>
      <c r="B50" s="348" t="s">
        <v>41</v>
      </c>
      <c r="C50" s="334">
        <v>11</v>
      </c>
      <c r="D50" s="334">
        <v>39281212</v>
      </c>
      <c r="E50" s="334">
        <v>8</v>
      </c>
      <c r="F50" s="334">
        <v>688857.8</v>
      </c>
    </row>
    <row r="51" spans="1:6">
      <c r="A51" s="348" t="s">
        <v>42</v>
      </c>
      <c r="B51" s="348" t="s">
        <v>43</v>
      </c>
      <c r="C51" s="334">
        <v>6</v>
      </c>
      <c r="D51" s="334">
        <v>153582</v>
      </c>
      <c r="E51" s="334">
        <v>19</v>
      </c>
      <c r="F51" s="334">
        <v>244907.2</v>
      </c>
    </row>
    <row r="52" spans="1:6">
      <c r="A52" s="348" t="s">
        <v>42</v>
      </c>
      <c r="B52" s="348" t="s">
        <v>29</v>
      </c>
      <c r="C52" s="334">
        <v>0</v>
      </c>
      <c r="D52" s="334">
        <v>0</v>
      </c>
      <c r="E52" s="334">
        <v>14</v>
      </c>
      <c r="F52" s="334">
        <v>175213.4</v>
      </c>
    </row>
    <row r="53" spans="1:6">
      <c r="A53" s="348" t="s">
        <v>44</v>
      </c>
      <c r="B53" s="348" t="s">
        <v>45</v>
      </c>
      <c r="C53" s="334">
        <v>1</v>
      </c>
      <c r="D53" s="334">
        <v>0</v>
      </c>
      <c r="E53" s="334">
        <v>132</v>
      </c>
      <c r="F53" s="334">
        <v>850778.9</v>
      </c>
    </row>
    <row r="54" spans="1:6">
      <c r="A54" s="348" t="s">
        <v>46</v>
      </c>
      <c r="B54" s="348" t="s">
        <v>47</v>
      </c>
      <c r="C54" s="334">
        <v>0</v>
      </c>
      <c r="D54" s="334">
        <v>0</v>
      </c>
      <c r="E54" s="334">
        <v>1</v>
      </c>
      <c r="F54" s="334">
        <v>833667</v>
      </c>
    </row>
    <row r="55" spans="1:6">
      <c r="A55" s="348" t="s">
        <v>46</v>
      </c>
      <c r="B55" s="348" t="s">
        <v>29</v>
      </c>
      <c r="C55" s="334">
        <v>0</v>
      </c>
      <c r="D55" s="334">
        <v>0</v>
      </c>
      <c r="E55" s="334">
        <v>0</v>
      </c>
      <c r="F55" s="334">
        <v>0</v>
      </c>
    </row>
    <row r="56" spans="1:6">
      <c r="A56" s="348" t="s">
        <v>48</v>
      </c>
      <c r="B56" s="348" t="s">
        <v>29</v>
      </c>
      <c r="C56" s="334">
        <v>50</v>
      </c>
      <c r="D56" s="334">
        <v>576664</v>
      </c>
      <c r="E56" s="334">
        <v>0</v>
      </c>
      <c r="F56" s="334">
        <v>0</v>
      </c>
    </row>
    <row r="57" spans="1:6">
      <c r="A57" s="348" t="s">
        <v>49</v>
      </c>
      <c r="B57" s="348" t="s">
        <v>50</v>
      </c>
      <c r="C57" s="334">
        <v>22</v>
      </c>
      <c r="D57" s="334">
        <v>2348113</v>
      </c>
      <c r="E57" s="334">
        <v>31</v>
      </c>
      <c r="F57" s="334">
        <v>4967062</v>
      </c>
    </row>
    <row r="58" spans="1:6">
      <c r="A58" s="348" t="s">
        <v>49</v>
      </c>
      <c r="B58" s="348" t="s">
        <v>51</v>
      </c>
      <c r="C58" s="334">
        <v>15</v>
      </c>
      <c r="D58" s="334">
        <v>569610</v>
      </c>
      <c r="E58" s="334">
        <v>10</v>
      </c>
      <c r="F58" s="334">
        <v>133098.1</v>
      </c>
    </row>
    <row r="59" spans="1:6">
      <c r="A59" s="348" t="s">
        <v>49</v>
      </c>
      <c r="B59" s="348" t="s">
        <v>52</v>
      </c>
      <c r="C59" s="334">
        <v>57</v>
      </c>
      <c r="D59" s="334">
        <v>5320160</v>
      </c>
      <c r="E59" s="334">
        <v>87</v>
      </c>
      <c r="F59" s="334">
        <v>4619051</v>
      </c>
    </row>
    <row r="60" spans="1:6">
      <c r="A60" s="348" t="s">
        <v>49</v>
      </c>
      <c r="B60" s="348" t="s">
        <v>53</v>
      </c>
      <c r="C60" s="334">
        <v>36</v>
      </c>
      <c r="D60" s="334">
        <v>2214503</v>
      </c>
      <c r="E60" s="334">
        <v>54</v>
      </c>
      <c r="F60" s="334">
        <v>1170614</v>
      </c>
    </row>
    <row r="61" spans="1:6">
      <c r="A61" s="348" t="s">
        <v>49</v>
      </c>
      <c r="B61" s="348" t="s">
        <v>54</v>
      </c>
      <c r="C61" s="334">
        <v>93</v>
      </c>
      <c r="D61" s="334">
        <v>4940160</v>
      </c>
      <c r="E61" s="334">
        <v>134</v>
      </c>
      <c r="F61" s="334">
        <v>2860224</v>
      </c>
    </row>
    <row r="62" spans="1:6">
      <c r="A62" s="348" t="s">
        <v>49</v>
      </c>
      <c r="B62" s="348" t="s">
        <v>55</v>
      </c>
      <c r="C62" s="334">
        <v>4</v>
      </c>
      <c r="D62" s="334">
        <v>421879</v>
      </c>
      <c r="E62" s="334">
        <v>0</v>
      </c>
      <c r="F62" s="334">
        <v>0</v>
      </c>
    </row>
    <row r="63" spans="1:6">
      <c r="A63" s="348" t="s">
        <v>49</v>
      </c>
      <c r="B63" s="348" t="s">
        <v>29</v>
      </c>
      <c r="C63" s="334">
        <v>0</v>
      </c>
      <c r="D63" s="334">
        <v>0</v>
      </c>
      <c r="E63" s="334">
        <v>124</v>
      </c>
      <c r="F63" s="334">
        <v>5933112</v>
      </c>
    </row>
    <row r="64" spans="1:6">
      <c r="A64" s="348" t="s">
        <v>56</v>
      </c>
      <c r="B64" s="348" t="s">
        <v>57</v>
      </c>
      <c r="C64" s="334">
        <v>0</v>
      </c>
      <c r="D64" s="334">
        <v>0</v>
      </c>
      <c r="E64" s="334">
        <v>0</v>
      </c>
      <c r="F64" s="334">
        <v>0</v>
      </c>
    </row>
    <row r="65" spans="1:6">
      <c r="A65" s="348" t="s">
        <v>56</v>
      </c>
      <c r="B65" s="348" t="s">
        <v>29</v>
      </c>
      <c r="C65" s="334">
        <v>0</v>
      </c>
      <c r="D65" s="334">
        <v>0</v>
      </c>
      <c r="E65" s="334">
        <v>4</v>
      </c>
      <c r="F65" s="334">
        <v>132628.4</v>
      </c>
    </row>
    <row r="66" spans="1:6">
      <c r="A66" s="348" t="s">
        <v>56</v>
      </c>
      <c r="B66" s="348" t="s">
        <v>58</v>
      </c>
      <c r="C66" s="334">
        <v>0</v>
      </c>
      <c r="D66" s="334">
        <v>0</v>
      </c>
      <c r="E66" s="334">
        <v>7</v>
      </c>
      <c r="F66" s="334">
        <v>268373</v>
      </c>
    </row>
    <row r="67" spans="1:6">
      <c r="A67" s="355" t="s">
        <v>56</v>
      </c>
      <c r="B67" s="355" t="s">
        <v>59</v>
      </c>
      <c r="C67" s="334">
        <v>0</v>
      </c>
      <c r="D67" s="334">
        <v>0</v>
      </c>
      <c r="E67" s="334">
        <v>0</v>
      </c>
      <c r="F67" s="334">
        <v>0</v>
      </c>
    </row>
    <row r="68" spans="1:6">
      <c r="A68" s="341" t="s">
        <v>56</v>
      </c>
      <c r="B68" s="341" t="s">
        <v>60</v>
      </c>
      <c r="C68" s="334">
        <v>5</v>
      </c>
      <c r="D68" s="334">
        <v>191393</v>
      </c>
      <c r="E68" s="334">
        <v>7</v>
      </c>
      <c r="F68" s="334">
        <v>105258.5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68717416</v>
      </c>
      <c r="E73" s="476">
        <v>71243987.797970161</v>
      </c>
    </row>
    <row r="74" spans="1:6">
      <c r="A74" s="348" t="s">
        <v>64</v>
      </c>
      <c r="B74" s="348" t="s">
        <v>714</v>
      </c>
      <c r="C74" s="1311" t="s">
        <v>716</v>
      </c>
      <c r="D74" s="476">
        <v>3979732.5736156791</v>
      </c>
      <c r="E74" s="476">
        <v>4171534.9066799982</v>
      </c>
    </row>
    <row r="75" spans="1:6">
      <c r="A75" s="348" t="s">
        <v>65</v>
      </c>
      <c r="B75" s="348" t="s">
        <v>713</v>
      </c>
      <c r="C75" s="1311" t="s">
        <v>717</v>
      </c>
      <c r="D75" s="476">
        <v>6291273</v>
      </c>
      <c r="E75" s="476">
        <v>6522790.9352424052</v>
      </c>
    </row>
    <row r="76" spans="1:6">
      <c r="A76" s="348" t="s">
        <v>65</v>
      </c>
      <c r="B76" s="348" t="s">
        <v>714</v>
      </c>
      <c r="C76" s="1311" t="s">
        <v>718</v>
      </c>
      <c r="D76" s="476">
        <v>169053.57361567908</v>
      </c>
      <c r="E76" s="476">
        <v>183779.5396285443</v>
      </c>
    </row>
    <row r="77" spans="1:6">
      <c r="A77" s="348" t="s">
        <v>66</v>
      </c>
      <c r="B77" s="348" t="s">
        <v>713</v>
      </c>
      <c r="C77" s="1311" t="s">
        <v>719</v>
      </c>
      <c r="D77" s="476">
        <v>133295950</v>
      </c>
      <c r="E77" s="476">
        <v>138774173.61154279</v>
      </c>
    </row>
    <row r="78" spans="1:6">
      <c r="A78" s="341" t="s">
        <v>66</v>
      </c>
      <c r="B78" s="341" t="s">
        <v>714</v>
      </c>
      <c r="C78" s="341" t="s">
        <v>720</v>
      </c>
      <c r="D78" s="1307">
        <v>28573260</v>
      </c>
      <c r="E78" s="1307">
        <v>30664888.03047502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274720.85276864184</v>
      </c>
      <c r="C83" s="476">
        <v>271608.24256877392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2080.6345254088255</v>
      </c>
    </row>
    <row r="92" spans="1:6">
      <c r="A92" s="341" t="s">
        <v>69</v>
      </c>
      <c r="B92" s="342">
        <v>2890.19843080791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10</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107314.38952964429</v>
      </c>
      <c r="C3" s="43" t="s">
        <v>170</v>
      </c>
      <c r="D3" s="43"/>
      <c r="E3" s="154"/>
      <c r="F3" s="43"/>
      <c r="G3" s="43"/>
      <c r="H3" s="43"/>
      <c r="I3" s="43"/>
      <c r="J3" s="43"/>
      <c r="K3" s="96"/>
    </row>
    <row r="4" spans="1:11">
      <c r="A4" s="384" t="s">
        <v>171</v>
      </c>
      <c r="B4" s="49">
        <f>IF(ISERROR('SEAP template'!B78+'SEAP template'!C78),0,'SEAP template'!B78+'SEAP template'!C78)</f>
        <v>4970.8329562167355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0.21076321732678321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833.66700000000003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833.66700000000003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0.21076321732678321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175.70633909916739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20714.089</v>
      </c>
      <c r="C5" s="17">
        <f>IF(ISERROR('Eigen informatie GS &amp; warmtenet'!B57),0,'Eigen informatie GS &amp; warmtenet'!B57)</f>
        <v>0</v>
      </c>
      <c r="D5" s="30">
        <f>(SUM(HH_hh_gas_kWh,HH_rest_gas_kWh)/1000)*0.902</f>
        <v>47851.154637946522</v>
      </c>
      <c r="E5" s="17">
        <f>B46*B57</f>
        <v>2174.4096900539521</v>
      </c>
      <c r="F5" s="17">
        <f>B51*B62</f>
        <v>9435.4990647131835</v>
      </c>
      <c r="G5" s="18"/>
      <c r="H5" s="17"/>
      <c r="I5" s="17"/>
      <c r="J5" s="17">
        <f>B50*B61+C50*C61</f>
        <v>974.32599793937356</v>
      </c>
      <c r="K5" s="17"/>
      <c r="L5" s="17"/>
      <c r="M5" s="17"/>
      <c r="N5" s="17">
        <f>B48*B59+C48*C59</f>
        <v>10307.410544769213</v>
      </c>
      <c r="O5" s="17">
        <f>B69*B70*B71</f>
        <v>112.56000000000002</v>
      </c>
      <c r="P5" s="17">
        <f>B77*B78*B79/1000-B77*B78*B79/1000/B80</f>
        <v>476.66666666666663</v>
      </c>
    </row>
    <row r="6" spans="1:16">
      <c r="A6" s="16" t="s">
        <v>631</v>
      </c>
      <c r="B6" s="789">
        <f>kWh_PV_kleiner_dan_10kW</f>
        <v>2080.6345254088255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22794.723525408826</v>
      </c>
      <c r="C8" s="21">
        <f>C5</f>
        <v>0</v>
      </c>
      <c r="D8" s="21">
        <f>D5</f>
        <v>47851.154637946522</v>
      </c>
      <c r="E8" s="21">
        <f>E5</f>
        <v>2174.4096900539521</v>
      </c>
      <c r="F8" s="21">
        <f>F5</f>
        <v>9435.4990647131835</v>
      </c>
      <c r="G8" s="21"/>
      <c r="H8" s="21"/>
      <c r="I8" s="21"/>
      <c r="J8" s="21">
        <f>J5</f>
        <v>974.32599793937356</v>
      </c>
      <c r="K8" s="21"/>
      <c r="L8" s="21">
        <f>L5</f>
        <v>0</v>
      </c>
      <c r="M8" s="21">
        <f>M5</f>
        <v>0</v>
      </c>
      <c r="N8" s="21">
        <f>N5</f>
        <v>10307.410544769213</v>
      </c>
      <c r="O8" s="21">
        <f>O5</f>
        <v>112.56000000000002</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0.21076321732678321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4804.2892682896781</v>
      </c>
      <c r="C12" s="23">
        <f ca="1">C10*C8</f>
        <v>0</v>
      </c>
      <c r="D12" s="23">
        <f>D8*D10</f>
        <v>9665.9332368651976</v>
      </c>
      <c r="E12" s="23">
        <f>E10*E8</f>
        <v>493.59099964224714</v>
      </c>
      <c r="F12" s="23">
        <f>F10*F8</f>
        <v>2519.2782502784203</v>
      </c>
      <c r="G12" s="23"/>
      <c r="H12" s="23"/>
      <c r="I12" s="23"/>
      <c r="J12" s="23">
        <f>J10*J8</f>
        <v>344.91140327053824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4548</v>
      </c>
      <c r="C28" s="36"/>
      <c r="D28" s="228"/>
    </row>
    <row r="29" spans="1:7" s="15" customFormat="1">
      <c r="A29" s="230" t="s">
        <v>741</v>
      </c>
      <c r="B29" s="37">
        <f>SUM(HH_hh_gas_aantal,HH_rest_gas_aantal)</f>
        <v>3004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3004</v>
      </c>
      <c r="C32" s="167">
        <f>IF(ISERROR(B32/SUM($B$32,$B$34,$B$35,$B$36,$B$38,$B$39)*100),0,B32/SUM($B$32,$B$34,$B$35,$B$36,$B$38,$B$39)*100)</f>
        <v>66.416095511828431</v>
      </c>
      <c r="D32" s="233"/>
      <c r="G32" s="15"/>
    </row>
    <row r="33" spans="1:7">
      <c r="A33" s="171" t="s">
        <v>72</v>
      </c>
      <c r="B33" s="34" t="s">
        <v>111</v>
      </c>
      <c r="C33" s="167"/>
      <c r="D33" s="233"/>
      <c r="G33" s="15"/>
    </row>
    <row r="34" spans="1:7">
      <c r="A34" s="171" t="s">
        <v>73</v>
      </c>
      <c r="B34" s="33">
        <f>IF((($B$28-$B$32-$B$39-$B$77-$B$38)*C20/100)&lt;0,0,($B$28-$B$32-$B$39-$B$77-$B$38)*C20/100)</f>
        <v>145.73307543520309</v>
      </c>
      <c r="C34" s="167">
        <f>IF(ISERROR(B34/SUM($B$32,$B$34,$B$35,$B$36,$B$38,$B$39)*100),0,B34/SUM($B$32,$B$34,$B$35,$B$36,$B$38,$B$39)*100)</f>
        <v>3.2220445596993832</v>
      </c>
      <c r="D34" s="233"/>
      <c r="G34" s="15"/>
    </row>
    <row r="35" spans="1:7">
      <c r="A35" s="171" t="s">
        <v>74</v>
      </c>
      <c r="B35" s="33">
        <f>IF((($B$28-$B$32-$B$39-$B$77-$B$38)*C21/100)&lt;0,0,($B$28-$B$32-$B$39-$B$77-$B$38)*C21/100)</f>
        <v>780.10058027079299</v>
      </c>
      <c r="C35" s="167">
        <f>IF(ISERROR(B35/SUM($B$32,$B$34,$B$35,$B$36,$B$38,$B$39)*100),0,B35/SUM($B$32,$B$34,$B$35,$B$36,$B$38,$B$39)*100)</f>
        <v>17.247414996037875</v>
      </c>
      <c r="D35" s="233"/>
      <c r="G35" s="15"/>
    </row>
    <row r="36" spans="1:7">
      <c r="A36" s="171" t="s">
        <v>75</v>
      </c>
      <c r="B36" s="33">
        <f>IF((($B$28-$B$32-$B$39-$B$77-$B$38)*C22/100)&lt;0,0,($B$28-$B$32-$B$39-$B$77-$B$38)*C22/100)</f>
        <v>182.16634429400386</v>
      </c>
      <c r="C36" s="167">
        <f>IF(ISERROR(B36/SUM($B$32,$B$34,$B$35,$B$36,$B$38,$B$39)*100),0,B36/SUM($B$32,$B$34,$B$35,$B$36,$B$38,$B$39)*100)</f>
        <v>4.0275556996242283</v>
      </c>
      <c r="D36" s="233"/>
      <c r="G36" s="15"/>
    </row>
    <row r="37" spans="1:7">
      <c r="A37" s="171" t="s">
        <v>76</v>
      </c>
      <c r="B37" s="34" t="s">
        <v>111</v>
      </c>
      <c r="C37" s="167"/>
      <c r="D37" s="173"/>
      <c r="G37" s="15"/>
    </row>
    <row r="38" spans="1:7">
      <c r="A38" s="171" t="s">
        <v>77</v>
      </c>
      <c r="B38" s="33">
        <f>IF((B24-(B29-B18)*0.1)&lt;0,0,B24-(B29-B18)*0.1)</f>
        <v>27.699999999999989</v>
      </c>
      <c r="C38" s="167">
        <f>IF(ISERROR(B38/SUM($B$32,$B$34,$B$35,$B$36,$B$38,$B$39)*100),0,B38/SUM($B$32,$B$34,$B$35,$B$36,$B$38,$B$39)*100)</f>
        <v>0.6124253813840369</v>
      </c>
      <c r="D38" s="234"/>
      <c r="G38" s="15"/>
    </row>
    <row r="39" spans="1:7">
      <c r="A39" s="171" t="s">
        <v>78</v>
      </c>
      <c r="B39" s="33">
        <f>IF((B25-(B29-B18))&lt;0,0,B25-(B29-B18)*0.9)</f>
        <v>383.29999999999995</v>
      </c>
      <c r="C39" s="167">
        <f>IF(ISERROR(B39/SUM($B$32,$B$34,$B$35,$B$36,$B$38,$B$39)*100),0,B39/SUM($B$32,$B$34,$B$35,$B$36,$B$38,$B$39)*100)</f>
        <v>8.4744638514260444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3004</v>
      </c>
      <c r="C44" s="34" t="s">
        <v>111</v>
      </c>
      <c r="D44" s="174"/>
    </row>
    <row r="45" spans="1:7">
      <c r="A45" s="171" t="s">
        <v>72</v>
      </c>
      <c r="B45" s="33" t="str">
        <f t="shared" si="0"/>
        <v>-</v>
      </c>
      <c r="C45" s="34" t="s">
        <v>111</v>
      </c>
      <c r="D45" s="174"/>
    </row>
    <row r="46" spans="1:7">
      <c r="A46" s="171" t="s">
        <v>73</v>
      </c>
      <c r="B46" s="33">
        <f t="shared" si="0"/>
        <v>145.73307543520309</v>
      </c>
      <c r="C46" s="34" t="s">
        <v>111</v>
      </c>
      <c r="D46" s="174"/>
    </row>
    <row r="47" spans="1:7">
      <c r="A47" s="171" t="s">
        <v>74</v>
      </c>
      <c r="B47" s="33">
        <f t="shared" si="0"/>
        <v>780.10058027079299</v>
      </c>
      <c r="C47" s="34" t="s">
        <v>111</v>
      </c>
      <c r="D47" s="174"/>
    </row>
    <row r="48" spans="1:7">
      <c r="A48" s="171" t="s">
        <v>75</v>
      </c>
      <c r="B48" s="33">
        <f t="shared" si="0"/>
        <v>182.16634429400386</v>
      </c>
      <c r="C48" s="33">
        <f>B48*10</f>
        <v>1821.6634429400387</v>
      </c>
      <c r="D48" s="234"/>
    </row>
    <row r="49" spans="1:6">
      <c r="A49" s="171" t="s">
        <v>76</v>
      </c>
      <c r="B49" s="33" t="str">
        <f t="shared" si="0"/>
        <v>-</v>
      </c>
      <c r="C49" s="34" t="s">
        <v>111</v>
      </c>
      <c r="D49" s="234"/>
    </row>
    <row r="50" spans="1:6">
      <c r="A50" s="171" t="s">
        <v>77</v>
      </c>
      <c r="B50" s="33">
        <f t="shared" si="0"/>
        <v>27.699999999999989</v>
      </c>
      <c r="C50" s="33">
        <f>B50*2</f>
        <v>55.399999999999977</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19683.161100000001</v>
      </c>
      <c r="C5" s="17">
        <f>IF(ISERROR('Eigen informatie GS &amp; warmtenet'!B58),0,'Eigen informatie GS &amp; warmtenet'!B58)</f>
        <v>0</v>
      </c>
      <c r="D5" s="30">
        <f>SUM(D6:D12)</f>
        <v>14264.611350000001</v>
      </c>
      <c r="E5" s="17">
        <f>SUM(E6:E12)</f>
        <v>177.80854041699854</v>
      </c>
      <c r="F5" s="17">
        <f>SUM(F6:F12)</f>
        <v>3173.4273341143148</v>
      </c>
      <c r="G5" s="18"/>
      <c r="H5" s="17"/>
      <c r="I5" s="17"/>
      <c r="J5" s="17">
        <f>SUM(J6:J12)</f>
        <v>0</v>
      </c>
      <c r="K5" s="17"/>
      <c r="L5" s="17"/>
      <c r="M5" s="17"/>
      <c r="N5" s="17">
        <f>SUM(N6:N12)</f>
        <v>4072.3162128577687</v>
      </c>
      <c r="O5" s="17">
        <f>B38*B39*B40</f>
        <v>3.1266666666666669</v>
      </c>
      <c r="P5" s="17">
        <f>B46*B47*B48/1000-B46*B47*B48/1000/B49</f>
        <v>0</v>
      </c>
      <c r="R5" s="32"/>
    </row>
    <row r="6" spans="1:18">
      <c r="A6" s="32" t="s">
        <v>54</v>
      </c>
      <c r="B6" s="37">
        <f>B26</f>
        <v>2860.2240000000002</v>
      </c>
      <c r="C6" s="33"/>
      <c r="D6" s="37">
        <f>IF(ISERROR(TER_kantoor_gas_kWh/1000),0,TER_kantoor_gas_kWh/1000)*0.902</f>
        <v>4456.0243199999995</v>
      </c>
      <c r="E6" s="33">
        <f>$C$26*'E Balans VL '!I12/100/3.6*1000000</f>
        <v>8.286488582364683</v>
      </c>
      <c r="F6" s="33">
        <f>$C$26*('E Balans VL '!L12+'E Balans VL '!N12)/100/3.6*1000000</f>
        <v>323.71434117953123</v>
      </c>
      <c r="G6" s="34"/>
      <c r="H6" s="33"/>
      <c r="I6" s="33"/>
      <c r="J6" s="33">
        <f>$C$26*('E Balans VL '!D12+'E Balans VL '!E12)/100/3.6*1000000</f>
        <v>0</v>
      </c>
      <c r="K6" s="33"/>
      <c r="L6" s="33"/>
      <c r="M6" s="33"/>
      <c r="N6" s="33">
        <f>$C$26*'E Balans VL '!Y12/100/3.6*1000000</f>
        <v>28.628734732859208</v>
      </c>
      <c r="O6" s="33"/>
      <c r="P6" s="33"/>
      <c r="R6" s="32"/>
    </row>
    <row r="7" spans="1:18">
      <c r="A7" s="32" t="s">
        <v>53</v>
      </c>
      <c r="B7" s="37">
        <f t="shared" ref="B7:B12" si="0">B27</f>
        <v>1170.614</v>
      </c>
      <c r="C7" s="33"/>
      <c r="D7" s="37">
        <f>IF(ISERROR(TER_horeca_gas_kWh/1000),0,TER_horeca_gas_kWh/1000)*0.902</f>
        <v>1997.4817060000003</v>
      </c>
      <c r="E7" s="33">
        <f>$C$27*'E Balans VL '!I9/100/3.6*1000000</f>
        <v>49.1391050891242</v>
      </c>
      <c r="F7" s="33">
        <f>$C$27*('E Balans VL '!L9+'E Balans VL '!N9)/100/3.6*1000000</f>
        <v>251.53042360099766</v>
      </c>
      <c r="G7" s="34"/>
      <c r="H7" s="33"/>
      <c r="I7" s="33"/>
      <c r="J7" s="33">
        <f>$C$27*('E Balans VL '!D9+'E Balans VL '!E9)/100/3.6*1000000</f>
        <v>0</v>
      </c>
      <c r="K7" s="33"/>
      <c r="L7" s="33"/>
      <c r="M7" s="33"/>
      <c r="N7" s="33">
        <f>$C$27*'E Balans VL '!Y9/100/3.6*1000000</f>
        <v>0.30165699040918492</v>
      </c>
      <c r="O7" s="33"/>
      <c r="P7" s="33"/>
      <c r="R7" s="32"/>
    </row>
    <row r="8" spans="1:18">
      <c r="A8" s="6" t="s">
        <v>52</v>
      </c>
      <c r="B8" s="37">
        <f t="shared" si="0"/>
        <v>4619.0510000000004</v>
      </c>
      <c r="C8" s="33"/>
      <c r="D8" s="37">
        <f>IF(ISERROR(TER_handel_gas_kWh/1000),0,TER_handel_gas_kWh/1000)*0.902</f>
        <v>4798.7843199999998</v>
      </c>
      <c r="E8" s="33">
        <f>$C$28*'E Balans VL '!I13/100/3.6*1000000</f>
        <v>49.612452066866211</v>
      </c>
      <c r="F8" s="33">
        <f>$C$28*('E Balans VL '!L13+'E Balans VL '!N13)/100/3.6*1000000</f>
        <v>597.9742952868412</v>
      </c>
      <c r="G8" s="34"/>
      <c r="H8" s="33"/>
      <c r="I8" s="33"/>
      <c r="J8" s="33">
        <f>$C$28*('E Balans VL '!D13+'E Balans VL '!E13)/100/3.6*1000000</f>
        <v>0</v>
      </c>
      <c r="K8" s="33"/>
      <c r="L8" s="33"/>
      <c r="M8" s="33"/>
      <c r="N8" s="33">
        <f>$C$28*'E Balans VL '!Y13/100/3.6*1000000</f>
        <v>37.469993923150632</v>
      </c>
      <c r="O8" s="33"/>
      <c r="P8" s="33"/>
      <c r="R8" s="32"/>
    </row>
    <row r="9" spans="1:18">
      <c r="A9" s="32" t="s">
        <v>51</v>
      </c>
      <c r="B9" s="37">
        <f t="shared" si="0"/>
        <v>133.09810000000002</v>
      </c>
      <c r="C9" s="33"/>
      <c r="D9" s="37">
        <f>IF(ISERROR(TER_gezond_gas_kWh/1000),0,TER_gezond_gas_kWh/1000)*0.902</f>
        <v>513.78822000000002</v>
      </c>
      <c r="E9" s="33">
        <f>$C$29*'E Balans VL '!I10/100/3.6*1000000</f>
        <v>0.10595469615447801</v>
      </c>
      <c r="F9" s="33">
        <f>$C$29*('E Balans VL '!L10+'E Balans VL '!N10)/100/3.6*1000000</f>
        <v>16.17999749579009</v>
      </c>
      <c r="G9" s="34"/>
      <c r="H9" s="33"/>
      <c r="I9" s="33"/>
      <c r="J9" s="33">
        <f>$C$29*('E Balans VL '!D10+'E Balans VL '!E10)/100/3.6*1000000</f>
        <v>0</v>
      </c>
      <c r="K9" s="33"/>
      <c r="L9" s="33"/>
      <c r="M9" s="33"/>
      <c r="N9" s="33">
        <f>$C$29*'E Balans VL '!Y10/100/3.6*1000000</f>
        <v>1.0751311897752509</v>
      </c>
      <c r="O9" s="33"/>
      <c r="P9" s="33"/>
      <c r="R9" s="32"/>
    </row>
    <row r="10" spans="1:18">
      <c r="A10" s="32" t="s">
        <v>50</v>
      </c>
      <c r="B10" s="37">
        <f t="shared" si="0"/>
        <v>4967.0619999999999</v>
      </c>
      <c r="C10" s="33"/>
      <c r="D10" s="37">
        <f>IF(ISERROR(TER_ander_gas_kWh/1000),0,TER_ander_gas_kWh/1000)*0.902</f>
        <v>2117.997926</v>
      </c>
      <c r="E10" s="33">
        <f>$C$30*'E Balans VL '!I14/100/3.6*1000000</f>
        <v>17.022382409989152</v>
      </c>
      <c r="F10" s="33">
        <f>$C$30*('E Balans VL '!L14+'E Balans VL '!N14)/100/3.6*1000000</f>
        <v>1109.4398131760859</v>
      </c>
      <c r="G10" s="34"/>
      <c r="H10" s="33"/>
      <c r="I10" s="33"/>
      <c r="J10" s="33">
        <f>$C$30*('E Balans VL '!D14+'E Balans VL '!E14)/100/3.6*1000000</f>
        <v>0</v>
      </c>
      <c r="K10" s="33"/>
      <c r="L10" s="33"/>
      <c r="M10" s="33"/>
      <c r="N10" s="33">
        <f>$C$30*'E Balans VL '!Y14/100/3.6*1000000</f>
        <v>3498.8256073292996</v>
      </c>
      <c r="O10" s="33"/>
      <c r="P10" s="33"/>
      <c r="R10" s="32"/>
    </row>
    <row r="11" spans="1:18">
      <c r="A11" s="32" t="s">
        <v>55</v>
      </c>
      <c r="B11" s="37">
        <f t="shared" si="0"/>
        <v>0</v>
      </c>
      <c r="C11" s="33"/>
      <c r="D11" s="37">
        <f>IF(ISERROR(TER_onderwijs_gas_kWh/1000),0,TER_onderwijs_gas_kWh/1000)*0.902</f>
        <v>380.53485800000004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5933.1120000000001</v>
      </c>
      <c r="C12" s="33"/>
      <c r="D12" s="37">
        <f>IF(ISERROR(TER_rest_gas_kWh/1000),0,TER_rest_gas_kWh/1000)*0.902</f>
        <v>0</v>
      </c>
      <c r="E12" s="33">
        <f>$C$32*'E Balans VL '!I8/100/3.6*1000000</f>
        <v>53.642157572499819</v>
      </c>
      <c r="F12" s="33">
        <f>$C$32*('E Balans VL '!L8+'E Balans VL '!N8)/100/3.6*1000000</f>
        <v>874.58846337506895</v>
      </c>
      <c r="G12" s="34"/>
      <c r="H12" s="33"/>
      <c r="I12" s="33"/>
      <c r="J12" s="33">
        <f>$C$32*('E Balans VL '!D8+'E Balans VL '!E8)/100/3.6*1000000</f>
        <v>0</v>
      </c>
      <c r="K12" s="33"/>
      <c r="L12" s="33"/>
      <c r="M12" s="33"/>
      <c r="N12" s="33">
        <f>$C$32*'E Balans VL '!Y8/100/3.6*1000000</f>
        <v>506.01508869227496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19683.161100000001</v>
      </c>
      <c r="C16" s="21">
        <f t="shared" ca="1" si="1"/>
        <v>0</v>
      </c>
      <c r="D16" s="21">
        <f t="shared" ca="1" si="1"/>
        <v>14264.611350000001</v>
      </c>
      <c r="E16" s="21">
        <f t="shared" si="1"/>
        <v>177.80854041699854</v>
      </c>
      <c r="F16" s="21">
        <f t="shared" ca="1" si="1"/>
        <v>3173.4273341143148</v>
      </c>
      <c r="G16" s="21">
        <f t="shared" si="1"/>
        <v>0</v>
      </c>
      <c r="H16" s="21">
        <f t="shared" si="1"/>
        <v>0</v>
      </c>
      <c r="I16" s="21">
        <f t="shared" si="1"/>
        <v>0</v>
      </c>
      <c r="J16" s="21">
        <f t="shared" si="1"/>
        <v>0</v>
      </c>
      <c r="K16" s="21">
        <f t="shared" si="1"/>
        <v>0</v>
      </c>
      <c r="L16" s="21">
        <f t="shared" ca="1" si="1"/>
        <v>0</v>
      </c>
      <c r="M16" s="21">
        <f t="shared" si="1"/>
        <v>0</v>
      </c>
      <c r="N16" s="21">
        <f t="shared" ca="1" si="1"/>
        <v>4072.3162128577687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0.21076321732678321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4148.486360597386</v>
      </c>
      <c r="C20" s="23">
        <f t="shared" ref="C20:P20" ca="1" si="2">C16*C18</f>
        <v>0</v>
      </c>
      <c r="D20" s="23">
        <f t="shared" ca="1" si="2"/>
        <v>2881.4514927000005</v>
      </c>
      <c r="E20" s="23">
        <f t="shared" si="2"/>
        <v>40.362538674658673</v>
      </c>
      <c r="F20" s="23">
        <f t="shared" ca="1" si="2"/>
        <v>847.30509820852205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2860.2240000000002</v>
      </c>
      <c r="C26" s="39">
        <f>IF(ISERROR(B26*3.6/1000000/'E Balans VL '!Z12*100),0,B26*3.6/1000000/'E Balans VL '!Z12*100)</f>
        <v>6.2828126910072848E-2</v>
      </c>
      <c r="D26" s="237" t="s">
        <v>692</v>
      </c>
      <c r="F26" s="6"/>
    </row>
    <row r="27" spans="1:18">
      <c r="A27" s="231" t="s">
        <v>53</v>
      </c>
      <c r="B27" s="33">
        <f>IF(ISERROR(TER_horeca_ele_kWh/1000),0,TER_horeca_ele_kWh/1000)</f>
        <v>1170.614</v>
      </c>
      <c r="C27" s="39">
        <f>IF(ISERROR(B27*3.6/1000000/'E Balans VL '!Z9*100),0,B27*3.6/1000000/'E Balans VL '!Z9*100)</f>
        <v>9.4070503718173326E-2</v>
      </c>
      <c r="D27" s="237" t="s">
        <v>692</v>
      </c>
      <c r="F27" s="6"/>
    </row>
    <row r="28" spans="1:18">
      <c r="A28" s="171" t="s">
        <v>52</v>
      </c>
      <c r="B28" s="33">
        <f>IF(ISERROR(TER_handel_ele_kWh/1000),0,TER_handel_ele_kWh/1000)</f>
        <v>4619.0510000000004</v>
      </c>
      <c r="C28" s="39">
        <f>IF(ISERROR(B28*3.6/1000000/'E Balans VL '!Z13*100),0,B28*3.6/1000000/'E Balans VL '!Z13*100)</f>
        <v>0.13658211113321683</v>
      </c>
      <c r="D28" s="237" t="s">
        <v>692</v>
      </c>
      <c r="F28" s="6"/>
    </row>
    <row r="29" spans="1:18">
      <c r="A29" s="231" t="s">
        <v>51</v>
      </c>
      <c r="B29" s="33">
        <f>IF(ISERROR(TER_gezond_ele_kWh/1000),0,TER_gezond_ele_kWh/1000)</f>
        <v>133.09810000000002</v>
      </c>
      <c r="C29" s="39">
        <f>IF(ISERROR(B29*3.6/1000000/'E Balans VL '!Z10*100),0,B29*3.6/1000000/'E Balans VL '!Z10*100)</f>
        <v>1.4996719579967734E-2</v>
      </c>
      <c r="D29" s="237" t="s">
        <v>692</v>
      </c>
      <c r="F29" s="6"/>
    </row>
    <row r="30" spans="1:18">
      <c r="A30" s="231" t="s">
        <v>50</v>
      </c>
      <c r="B30" s="33">
        <f>IF(ISERROR(TER_ander_ele_kWh/1000),0,TER_ander_ele_kWh/1000)</f>
        <v>4967.0619999999999</v>
      </c>
      <c r="C30" s="39">
        <f>IF(ISERROR(B30*3.6/1000000/'E Balans VL '!Z14*100),0,B30*3.6/1000000/'E Balans VL '!Z14*100)</f>
        <v>0.3756504082510414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5933.1120000000001</v>
      </c>
      <c r="C32" s="39">
        <f>IF(ISERROR(B32*3.6/1000000/'E Balans VL '!Z8*100),0,B32*3.6/1000000/'E Balans VL '!Z8*100)</f>
        <v>4.9982978268409237E-2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62703.389520000004</v>
      </c>
      <c r="C5" s="17">
        <f>IF(ISERROR('Eigen informatie GS &amp; warmtenet'!B59),0,'Eigen informatie GS &amp; warmtenet'!B59)</f>
        <v>0</v>
      </c>
      <c r="D5" s="30">
        <f>SUM(D6:D15)</f>
        <v>61448.614700000006</v>
      </c>
      <c r="E5" s="17">
        <f>SUM(E6:E15)</f>
        <v>3299.0718684064218</v>
      </c>
      <c r="F5" s="17">
        <f>SUM(F6:F15)</f>
        <v>15509.693091030875</v>
      </c>
      <c r="G5" s="18"/>
      <c r="H5" s="17"/>
      <c r="I5" s="17"/>
      <c r="J5" s="17">
        <f>SUM(J6:J15)</f>
        <v>261.22608449769484</v>
      </c>
      <c r="K5" s="17"/>
      <c r="L5" s="17"/>
      <c r="M5" s="17"/>
      <c r="N5" s="17">
        <f>SUM(N6:N15)</f>
        <v>11532.513218903112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19.215720000000001</v>
      </c>
      <c r="C8" s="33"/>
      <c r="D8" s="37">
        <f>IF( ISERROR(IND_metaal_Gas_kWH/1000),0,IND_metaal_Gas_kWH/1000)*0.902</f>
        <v>242.07515199999997</v>
      </c>
      <c r="E8" s="33">
        <f>C30*'E Balans VL '!I18/100/3.6*1000000</f>
        <v>0.48090221802081384</v>
      </c>
      <c r="F8" s="33">
        <f>C30*'E Balans VL '!L18/100/3.6*1000000+C30*'E Balans VL '!N18/100/3.6*1000000</f>
        <v>6.0223022319069655</v>
      </c>
      <c r="G8" s="34"/>
      <c r="H8" s="33"/>
      <c r="I8" s="33"/>
      <c r="J8" s="40">
        <f>C30*'E Balans VL '!D18/100/3.6*1000000+C30*'E Balans VL '!E18/100/3.6*1000000</f>
        <v>0</v>
      </c>
      <c r="K8" s="33"/>
      <c r="L8" s="33"/>
      <c r="M8" s="33"/>
      <c r="N8" s="33">
        <f>C30*'E Balans VL '!Y18/100/3.6*1000000</f>
        <v>0.48274875554202262</v>
      </c>
      <c r="O8" s="33"/>
      <c r="P8" s="33"/>
      <c r="R8" s="32"/>
    </row>
    <row r="9" spans="1:18">
      <c r="A9" s="6" t="s">
        <v>33</v>
      </c>
      <c r="B9" s="37">
        <f t="shared" si="0"/>
        <v>1370.2329999999999</v>
      </c>
      <c r="C9" s="33"/>
      <c r="D9" s="37">
        <f>IF( ISERROR(IND_andere_gas_kWh/1000),0,IND_andere_gas_kWh/1000)*0.902</f>
        <v>18749.696306000002</v>
      </c>
      <c r="E9" s="33">
        <f>C31*'E Balans VL '!I19/100/3.6*1000000</f>
        <v>376.75787481732795</v>
      </c>
      <c r="F9" s="33">
        <f>C31*'E Balans VL '!L19/100/3.6*1000000+C31*'E Balans VL '!N19/100/3.6*1000000</f>
        <v>1079.9820416613375</v>
      </c>
      <c r="G9" s="34"/>
      <c r="H9" s="33"/>
      <c r="I9" s="33"/>
      <c r="J9" s="40">
        <f>C31*'E Balans VL '!D19/100/3.6*1000000+C31*'E Balans VL '!E19/100/3.6*1000000</f>
        <v>0</v>
      </c>
      <c r="K9" s="33"/>
      <c r="L9" s="33"/>
      <c r="M9" s="33"/>
      <c r="N9" s="33">
        <f>C31*'E Balans VL '!Y19/100/3.6*1000000</f>
        <v>443.58059019886122</v>
      </c>
      <c r="O9" s="33"/>
      <c r="P9" s="33"/>
      <c r="R9" s="32"/>
    </row>
    <row r="10" spans="1:18">
      <c r="A10" s="6" t="s">
        <v>41</v>
      </c>
      <c r="B10" s="37">
        <f t="shared" si="0"/>
        <v>688.8578</v>
      </c>
      <c r="C10" s="33"/>
      <c r="D10" s="37">
        <f>IF( ISERROR(IND_voed_gas_kWh/1000),0,IND_voed_gas_kWh/1000)*0.902</f>
        <v>35431.653224000002</v>
      </c>
      <c r="E10" s="33">
        <f>C32*'E Balans VL '!I20/100/3.6*1000000</f>
        <v>7.0225257770725786</v>
      </c>
      <c r="F10" s="33">
        <f>C32*'E Balans VL '!L20/100/3.6*1000000+C32*'E Balans VL '!N20/100/3.6*1000000</f>
        <v>1301.2480758103541</v>
      </c>
      <c r="G10" s="34"/>
      <c r="H10" s="33"/>
      <c r="I10" s="33"/>
      <c r="J10" s="40">
        <f>C32*'E Balans VL '!D20/100/3.6*1000000+C32*'E Balans VL '!E20/100/3.6*1000000</f>
        <v>16.486621106926144</v>
      </c>
      <c r="K10" s="33"/>
      <c r="L10" s="33"/>
      <c r="M10" s="33"/>
      <c r="N10" s="33">
        <f>C32*'E Balans VL '!Y20/100/3.6*1000000</f>
        <v>363.10740728878608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3540.13</v>
      </c>
      <c r="C12" s="33"/>
      <c r="D12" s="37">
        <f>IF( ISERROR(IND_min_gas_kWh/1000),0,IND_min_gas_kWh/1000)*0.902</f>
        <v>0</v>
      </c>
      <c r="E12" s="33">
        <f>C34*'E Balans VL '!I22/100/3.6*1000000</f>
        <v>10.721452381811755</v>
      </c>
      <c r="F12" s="33">
        <f>C34*'E Balans VL '!L22/100/3.6*1000000+C34*'E Balans VL '!N22/100/3.6*1000000</f>
        <v>110.63210607757739</v>
      </c>
      <c r="G12" s="34"/>
      <c r="H12" s="33"/>
      <c r="I12" s="33"/>
      <c r="J12" s="40">
        <f>C34*'E Balans VL '!D22/100/3.6*1000000+C34*'E Balans VL '!E22/100/3.6*1000000</f>
        <v>5.2492269216350369</v>
      </c>
      <c r="K12" s="33"/>
      <c r="L12" s="33"/>
      <c r="M12" s="33"/>
      <c r="N12" s="33">
        <f>C34*'E Balans VL '!Y22/100/3.6*1000000</f>
        <v>0</v>
      </c>
      <c r="O12" s="33"/>
      <c r="P12" s="33"/>
      <c r="R12" s="32"/>
    </row>
    <row r="13" spans="1:18">
      <c r="A13" s="6" t="s">
        <v>39</v>
      </c>
      <c r="B13" s="37">
        <f t="shared" si="0"/>
        <v>0</v>
      </c>
      <c r="C13" s="33"/>
      <c r="D13" s="37">
        <f>IF( ISERROR(IND_papier_gas_kWh/1000),0,IND_papier_gas_kWh/1000)*0.902</f>
        <v>322.81046600000002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6564.4132399999999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57084.953000000001</v>
      </c>
      <c r="C15" s="33"/>
      <c r="D15" s="37">
        <f>IF( ISERROR(IND_rest_gas_kWh/1000),0,IND_rest_gas_kWh/1000)*0.902</f>
        <v>137.96631199999999</v>
      </c>
      <c r="E15" s="33">
        <f>C37*'E Balans VL '!I15/100/3.6*1000000</f>
        <v>2904.0891132121887</v>
      </c>
      <c r="F15" s="33">
        <f>C37*'E Balans VL '!L15/100/3.6*1000000+C37*'E Balans VL '!N15/100/3.6*1000000</f>
        <v>13011.808565249699</v>
      </c>
      <c r="G15" s="34"/>
      <c r="H15" s="33"/>
      <c r="I15" s="33"/>
      <c r="J15" s="40">
        <f>C37*'E Balans VL '!D15/100/3.6*1000000+C37*'E Balans VL '!E15/100/3.6*1000000</f>
        <v>239.49023646913366</v>
      </c>
      <c r="K15" s="33"/>
      <c r="L15" s="33"/>
      <c r="M15" s="33"/>
      <c r="N15" s="33">
        <f>C37*'E Balans VL '!Y15/100/3.6*1000000</f>
        <v>10725.342472659922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62703.389520000004</v>
      </c>
      <c r="C18" s="21">
        <f>C5+C16</f>
        <v>0</v>
      </c>
      <c r="D18" s="21">
        <f>MAX((D5+D16),0)</f>
        <v>61448.614700000006</v>
      </c>
      <c r="E18" s="21">
        <f>MAX((E5+E16),0)</f>
        <v>3299.0718684064218</v>
      </c>
      <c r="F18" s="21">
        <f>MAX((F5+F16),0)</f>
        <v>15509.693091030875</v>
      </c>
      <c r="G18" s="21"/>
      <c r="H18" s="21"/>
      <c r="I18" s="21"/>
      <c r="J18" s="21">
        <f>MAX((J5+J16),0)</f>
        <v>261.22608449769484</v>
      </c>
      <c r="K18" s="21"/>
      <c r="L18" s="21">
        <f>MAX((L5+L16),0)</f>
        <v>0</v>
      </c>
      <c r="M18" s="21"/>
      <c r="N18" s="21">
        <f>MAX((N5+N16),0)</f>
        <v>11532.513218903112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0.21076321732678321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13215.568112529701</v>
      </c>
      <c r="C22" s="23">
        <f ca="1">C18*C20</f>
        <v>0</v>
      </c>
      <c r="D22" s="23">
        <f>D18*D20</f>
        <v>12412.620169400001</v>
      </c>
      <c r="E22" s="23">
        <f>E18*E20</f>
        <v>748.88931412825775</v>
      </c>
      <c r="F22" s="23">
        <f>F18*F20</f>
        <v>4141.0880553052439</v>
      </c>
      <c r="G22" s="23"/>
      <c r="H22" s="23"/>
      <c r="I22" s="23"/>
      <c r="J22" s="23">
        <f>J18*J20</f>
        <v>92.47403391218397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19.215720000000001</v>
      </c>
      <c r="C30" s="39">
        <f>IF(ISERROR(B30*3.6/1000000/'E Balans VL '!Z18*100),0,B30*3.6/1000000/'E Balans VL '!Z18*100)</f>
        <v>2.6895604290566263E-3</v>
      </c>
      <c r="D30" s="237" t="s">
        <v>692</v>
      </c>
    </row>
    <row r="31" spans="1:18">
      <c r="A31" s="6" t="s">
        <v>33</v>
      </c>
      <c r="B31" s="37">
        <f>IF( ISERROR(IND_ander_ele_kWh/1000),0,IND_ander_ele_kWh/1000)</f>
        <v>1370.2329999999999</v>
      </c>
      <c r="C31" s="39">
        <f>IF(ISERROR(B31*3.6/1000000/'E Balans VL '!Z19*100),0,B31*3.6/1000000/'E Balans VL '!Z19*100)</f>
        <v>5.9974876126626629E-2</v>
      </c>
      <c r="D31" s="237" t="s">
        <v>692</v>
      </c>
    </row>
    <row r="32" spans="1:18">
      <c r="A32" s="171" t="s">
        <v>41</v>
      </c>
      <c r="B32" s="37">
        <f>IF( ISERROR(IND_voed_ele_kWh/1000),0,IND_voed_ele_kWh/1000)</f>
        <v>688.8578</v>
      </c>
      <c r="C32" s="39">
        <f>IF(ISERROR(B32*3.6/1000000/'E Balans VL '!Z20*100),0,B32*3.6/1000000/'E Balans VL '!Z20*100)</f>
        <v>0.17053831544082376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3540.13</v>
      </c>
      <c r="C34" s="39">
        <f>IF(ISERROR(B34*3.6/1000000/'E Balans VL '!Z22*100),0,B34*3.6/1000000/'E Balans VL '!Z22*100)</f>
        <v>0.1004544464458287</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57084.953000000001</v>
      </c>
      <c r="C37" s="39">
        <f>IF(ISERROR(B37*3.6/1000000/'E Balans VL '!Z15*100),0,B37*3.6/1000000/'E Balans VL '!Z15*100)</f>
        <v>0.4232751531374726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420.12059999999997</v>
      </c>
      <c r="C5" s="17">
        <f>'Eigen informatie GS &amp; warmtenet'!B60</f>
        <v>0</v>
      </c>
      <c r="D5" s="30">
        <f>IF(ISERROR(SUM(LB_lb_gas_kWh,LB_rest_gas_kWh)/1000),0,SUM(LB_lb_gas_kWh,LB_rest_gas_kWh)/1000)*0.902</f>
        <v>138.53096400000001</v>
      </c>
      <c r="E5" s="17">
        <f>B17*'E Balans VL '!I25/3.6*1000000/100</f>
        <v>3.8913329598821078</v>
      </c>
      <c r="F5" s="17">
        <f>B17*('E Balans VL '!L25/3.6*1000000+'E Balans VL '!N25/3.6*1000000)/100</f>
        <v>1065.9259950921687</v>
      </c>
      <c r="G5" s="18"/>
      <c r="H5" s="17"/>
      <c r="I5" s="17"/>
      <c r="J5" s="17">
        <f>('E Balans VL '!D25+'E Balans VL '!E25)/3.6*1000000*landbouw!B17/100</f>
        <v>64.409176539580017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420.12059999999997</v>
      </c>
      <c r="C8" s="21">
        <f>C5+C6</f>
        <v>0</v>
      </c>
      <c r="D8" s="21">
        <f>MAX((D5+D6),0)</f>
        <v>138.53096400000001</v>
      </c>
      <c r="E8" s="21">
        <f>MAX((E5+E6),0)</f>
        <v>3.8913329598821078</v>
      </c>
      <c r="F8" s="21">
        <f>MAX((F5+F6),0)</f>
        <v>1065.9259950921687</v>
      </c>
      <c r="G8" s="21"/>
      <c r="H8" s="21"/>
      <c r="I8" s="21"/>
      <c r="J8" s="21">
        <f>MAX((J5+J6),0)</f>
        <v>64.409176539580017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0.21076321732678321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88.545969321258553</v>
      </c>
      <c r="C12" s="23">
        <f ca="1">C8*C10</f>
        <v>0</v>
      </c>
      <c r="D12" s="23">
        <f>D8*D10</f>
        <v>27.983254728000006</v>
      </c>
      <c r="E12" s="23">
        <f>E8*E10</f>
        <v>0.88333258189323849</v>
      </c>
      <c r="F12" s="23">
        <f>F8*F10</f>
        <v>284.60224068960906</v>
      </c>
      <c r="G12" s="23"/>
      <c r="H12" s="23"/>
      <c r="I12" s="23"/>
      <c r="J12" s="23">
        <f>J8*J10</f>
        <v>22.800848495011326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5.9732241223523809E-2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156.19458997610872</v>
      </c>
      <c r="C26" s="247">
        <f>B26*'GWP N2O_CH4'!B5</f>
        <v>3280.0863894982831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55.241490319615473</v>
      </c>
      <c r="C27" s="247">
        <f>B27*'GWP N2O_CH4'!B5</f>
        <v>1160.071296711925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1.870299274272444</v>
      </c>
      <c r="C28" s="247">
        <f>B28*'GWP N2O_CH4'!B4</f>
        <v>579.79277502445768</v>
      </c>
      <c r="D28" s="50"/>
    </row>
    <row r="29" spans="1:4">
      <c r="A29" s="41" t="s">
        <v>277</v>
      </c>
      <c r="B29" s="247">
        <f>B34*'ha_N2O bodem landbouw'!B4</f>
        <v>4.9052622763637297</v>
      </c>
      <c r="C29" s="247">
        <f>B29*'GWP N2O_CH4'!B4</f>
        <v>1520.6313056727563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1.1001639110604334E-3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1.0277598324764058E-4</v>
      </c>
      <c r="C5" s="464" t="s">
        <v>211</v>
      </c>
      <c r="D5" s="449">
        <f>SUM(D6:D11)</f>
        <v>2.5063020493806246E-4</v>
      </c>
      <c r="E5" s="449">
        <f>SUM(E6:E11)</f>
        <v>1.8818467202799246E-3</v>
      </c>
      <c r="F5" s="462" t="s">
        <v>211</v>
      </c>
      <c r="G5" s="449">
        <f>SUM(G6:G11)</f>
        <v>0.65677177542211018</v>
      </c>
      <c r="H5" s="449">
        <f>SUM(H6:H11)</f>
        <v>9.8058653481879962E-2</v>
      </c>
      <c r="I5" s="464" t="s">
        <v>211</v>
      </c>
      <c r="J5" s="464" t="s">
        <v>211</v>
      </c>
      <c r="K5" s="464" t="s">
        <v>211</v>
      </c>
      <c r="L5" s="464" t="s">
        <v>211</v>
      </c>
      <c r="M5" s="449">
        <f>SUM(M6:M11)</f>
        <v>4.1009824749050919E-2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3.3904669764158006E-5</v>
      </c>
      <c r="C6" s="450"/>
      <c r="D6" s="893">
        <f>vkm_2011_GW_PW*SUMIFS(TableVerdeelsleutelVkm[CNG],TableVerdeelsleutelVkm[Voertuigtype],"Lichte voertuigen")*SUMIFS(TableECFTransport[EnergieConsumptieFactor (PJ per km)],TableECFTransport[Index],CONCATENATE($A6,"_CNG_CNG"))</f>
        <v>7.8425233914010512E-5</v>
      </c>
      <c r="E6" s="893">
        <f>vkm_2011_GW_PW*SUMIFS(TableVerdeelsleutelVkm[LPG],TableVerdeelsleutelVkm[Voertuigtype],"Lichte voertuigen")*SUMIFS(TableECFTransport[EnergieConsumptieFactor (PJ per km)],TableECFTransport[Index],CONCATENATE($A6,"_LPG_LPG"))</f>
        <v>5.1065776357585291E-4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0.10608537239891598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2.9903274159533186E-2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7.0571058005137188E-3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3.7126306210579378E-2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1.2696522478889482E-5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2.1479672557357336E-3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3.1040680205606635E-6</v>
      </c>
      <c r="C8" s="450"/>
      <c r="D8" s="452">
        <f>vkm_2011_NGW_PW*SUMIFS(TableVerdeelsleutelVkm[CNG],TableVerdeelsleutelVkm[Voertuigtype],"Lichte voertuigen")*SUMIFS(TableECFTransport[EnergieConsumptieFactor (PJ per km)],TableECFTransport[Index],CONCATENATE($A8,"_CNG_CNG"))</f>
        <v>1.2699412025732343E-5</v>
      </c>
      <c r="E8" s="452">
        <f>vkm_2011_NGW_PW*SUMIFS(TableVerdeelsleutelVkm[LPG],TableVerdeelsleutelVkm[Voertuigtype],"Lichte voertuigen")*SUMIFS(TableECFTransport[EnergieConsumptieFactor (PJ per km)],TableECFTransport[Index],CONCATENATE($A8,"_LPG_LPG"))</f>
        <v>7.6315099694880163E-5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1.4820280248940118E-2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4.6821067439198867E-3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1.0014214522512121E-3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2.0119324620624002E-3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6.5103790835645515E-7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1.1640055782461419E-4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6.5767245462921916E-5</v>
      </c>
      <c r="C10" s="450"/>
      <c r="D10" s="452">
        <f>vkm_2011_SW_PW*SUMIFS(TableVerdeelsleutelVkm[CNG],TableVerdeelsleutelVkm[Voertuigtype],"Lichte voertuigen")*SUMIFS(TableECFTransport[EnergieConsumptieFactor (PJ per km)],TableECFTransport[Index],CONCATENATE($A10,"_CNG_CNG"))</f>
        <v>1.5950555899831958E-4</v>
      </c>
      <c r="E10" s="452">
        <f>vkm_2011_SW_PW*SUMIFS(TableVerdeelsleutelVkm[LPG],TableVerdeelsleutelVkm[Voertuigtype],"Lichte voertuigen")*SUMIFS(TableECFTransport[EnergieConsumptieFactor (PJ per km)],TableECFTransport[Index],CONCATENATE($A10,"_LPG_LPG"))</f>
        <v>1.2948738570091917E-3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0.24217859030679634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6.3366107754357234E-2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1.5959601891324632E-2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0.25454929379481595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9.381726368241233E-5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1.4727327791401009E-2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28.548884235455713</v>
      </c>
      <c r="C14" s="21"/>
      <c r="D14" s="21">
        <f t="shared" ref="D14:M14" si="0">((D5)*10^9/3600)+D12</f>
        <v>69.619501371684024</v>
      </c>
      <c r="E14" s="21">
        <f t="shared" si="0"/>
        <v>522.73520007775687</v>
      </c>
      <c r="F14" s="21"/>
      <c r="G14" s="21">
        <f t="shared" si="0"/>
        <v>182436.6042839195</v>
      </c>
      <c r="H14" s="21">
        <f t="shared" si="0"/>
        <v>27238.514856077767</v>
      </c>
      <c r="I14" s="21"/>
      <c r="J14" s="21"/>
      <c r="K14" s="21"/>
      <c r="L14" s="21"/>
      <c r="M14" s="21">
        <f t="shared" si="0"/>
        <v>11391.617985847477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0.21076321732678321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6.0170546925545274</v>
      </c>
      <c r="C18" s="23"/>
      <c r="D18" s="23">
        <f t="shared" ref="D18:M18" si="1">D14*D16</f>
        <v>14.063139277080174</v>
      </c>
      <c r="E18" s="23">
        <f t="shared" si="1"/>
        <v>118.66089041765082</v>
      </c>
      <c r="F18" s="23"/>
      <c r="G18" s="23">
        <f t="shared" si="1"/>
        <v>48710.573343806507</v>
      </c>
      <c r="H18" s="23">
        <f t="shared" si="1"/>
        <v>6782.3901991633638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3.5013276579199328E-3</v>
      </c>
      <c r="H50" s="321">
        <f t="shared" si="2"/>
        <v>0</v>
      </c>
      <c r="I50" s="321">
        <f t="shared" si="2"/>
        <v>0</v>
      </c>
      <c r="J50" s="321">
        <f t="shared" si="2"/>
        <v>0</v>
      </c>
      <c r="K50" s="321">
        <f t="shared" si="2"/>
        <v>0</v>
      </c>
      <c r="L50" s="321">
        <f t="shared" si="2"/>
        <v>0</v>
      </c>
      <c r="M50" s="321">
        <f t="shared" si="2"/>
        <v>1.9967050940967559E-4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3.5013276579199328E-3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1.9967050940967559E-4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972.59101608887022</v>
      </c>
      <c r="H54" s="21">
        <f t="shared" si="3"/>
        <v>0</v>
      </c>
      <c r="I54" s="21">
        <f t="shared" si="3"/>
        <v>0</v>
      </c>
      <c r="J54" s="21">
        <f t="shared" si="3"/>
        <v>0</v>
      </c>
      <c r="K54" s="21">
        <f t="shared" si="3"/>
        <v>0</v>
      </c>
      <c r="L54" s="21">
        <f t="shared" si="3"/>
        <v>0</v>
      </c>
      <c r="M54" s="21">
        <f t="shared" si="3"/>
        <v>55.46403039157655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0.21076321732678321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259.68180129572835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20516.828100000002</v>
      </c>
      <c r="D10" s="1025">
        <f ca="1">tertiair!C16</f>
        <v>0</v>
      </c>
      <c r="E10" s="1025">
        <f ca="1">tertiair!D16</f>
        <v>14264.611350000001</v>
      </c>
      <c r="F10" s="1025">
        <f>tertiair!E16</f>
        <v>177.80854041699854</v>
      </c>
      <c r="G10" s="1025">
        <f ca="1">tertiair!F16</f>
        <v>3173.4273341143148</v>
      </c>
      <c r="H10" s="1025">
        <f>tertiair!G16</f>
        <v>0</v>
      </c>
      <c r="I10" s="1025">
        <f>tertiair!H16</f>
        <v>0</v>
      </c>
      <c r="J10" s="1025">
        <f>tertiair!I16</f>
        <v>0</v>
      </c>
      <c r="K10" s="1025">
        <f>tertiair!J16</f>
        <v>0</v>
      </c>
      <c r="L10" s="1025">
        <f>tertiair!K16</f>
        <v>0</v>
      </c>
      <c r="M10" s="1025">
        <f ca="1">tertiair!L16</f>
        <v>0</v>
      </c>
      <c r="N10" s="1025">
        <f>tertiair!M16</f>
        <v>0</v>
      </c>
      <c r="O10" s="1025">
        <f ca="1">tertiair!N16</f>
        <v>4072.3162128577687</v>
      </c>
      <c r="P10" s="1025">
        <f>tertiair!O16</f>
        <v>3.1266666666666669</v>
      </c>
      <c r="Q10" s="1026">
        <f>tertiair!P16</f>
        <v>0</v>
      </c>
      <c r="R10" s="701">
        <f ca="1">SUM(C10:Q10)</f>
        <v>42208.118204055747</v>
      </c>
      <c r="S10" s="67"/>
    </row>
    <row r="11" spans="1:19" s="474" customFormat="1">
      <c r="A11" s="810" t="s">
        <v>225</v>
      </c>
      <c r="B11" s="815"/>
      <c r="C11" s="1025">
        <f>huishoudens!B8</f>
        <v>22794.723525408826</v>
      </c>
      <c r="D11" s="1025">
        <f>huishoudens!C8</f>
        <v>0</v>
      </c>
      <c r="E11" s="1025">
        <f>huishoudens!D8</f>
        <v>47851.154637946522</v>
      </c>
      <c r="F11" s="1025">
        <f>huishoudens!E8</f>
        <v>2174.4096900539521</v>
      </c>
      <c r="G11" s="1025">
        <f>huishoudens!F8</f>
        <v>9435.4990647131835</v>
      </c>
      <c r="H11" s="1025">
        <f>huishoudens!G8</f>
        <v>0</v>
      </c>
      <c r="I11" s="1025">
        <f>huishoudens!H8</f>
        <v>0</v>
      </c>
      <c r="J11" s="1025">
        <f>huishoudens!I8</f>
        <v>0</v>
      </c>
      <c r="K11" s="1025">
        <f>huishoudens!J8</f>
        <v>974.32599793937356</v>
      </c>
      <c r="L11" s="1025">
        <f>huishoudens!K8</f>
        <v>0</v>
      </c>
      <c r="M11" s="1025">
        <f>huishoudens!L8</f>
        <v>0</v>
      </c>
      <c r="N11" s="1025">
        <f>huishoudens!M8</f>
        <v>0</v>
      </c>
      <c r="O11" s="1025">
        <f>huishoudens!N8</f>
        <v>10307.410544769213</v>
      </c>
      <c r="P11" s="1025">
        <f>huishoudens!O8</f>
        <v>112.56000000000002</v>
      </c>
      <c r="Q11" s="1026">
        <f>huishoudens!P8</f>
        <v>476.66666666666663</v>
      </c>
      <c r="R11" s="701">
        <f>SUM(C11:Q11)</f>
        <v>94126.75012749774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62703.389520000004</v>
      </c>
      <c r="D13" s="1025">
        <f>industrie!C18</f>
        <v>0</v>
      </c>
      <c r="E13" s="1025">
        <f>industrie!D18</f>
        <v>61448.614700000006</v>
      </c>
      <c r="F13" s="1025">
        <f>industrie!E18</f>
        <v>3299.0718684064218</v>
      </c>
      <c r="G13" s="1025">
        <f>industrie!F18</f>
        <v>15509.693091030875</v>
      </c>
      <c r="H13" s="1025">
        <f>industrie!G18</f>
        <v>0</v>
      </c>
      <c r="I13" s="1025">
        <f>industrie!H18</f>
        <v>0</v>
      </c>
      <c r="J13" s="1025">
        <f>industrie!I18</f>
        <v>0</v>
      </c>
      <c r="K13" s="1025">
        <f>industrie!J18</f>
        <v>261.22608449769484</v>
      </c>
      <c r="L13" s="1025">
        <f>industrie!K18</f>
        <v>0</v>
      </c>
      <c r="M13" s="1025">
        <f>industrie!L18</f>
        <v>0</v>
      </c>
      <c r="N13" s="1025">
        <f>industrie!M18</f>
        <v>0</v>
      </c>
      <c r="O13" s="1025">
        <f>industrie!N18</f>
        <v>11532.513218903112</v>
      </c>
      <c r="P13" s="1025">
        <f>industrie!O18</f>
        <v>0</v>
      </c>
      <c r="Q13" s="1026">
        <f>industrie!P18</f>
        <v>0</v>
      </c>
      <c r="R13" s="701">
        <f>SUM(C13:Q13)</f>
        <v>154754.50848283811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106014.94114540884</v>
      </c>
      <c r="D16" s="733">
        <f t="shared" ref="D16:R16" ca="1" si="0">SUM(D9:D15)</f>
        <v>0</v>
      </c>
      <c r="E16" s="733">
        <f t="shared" ca="1" si="0"/>
        <v>123564.38068794653</v>
      </c>
      <c r="F16" s="733">
        <f t="shared" si="0"/>
        <v>5651.2900988773727</v>
      </c>
      <c r="G16" s="733">
        <f t="shared" ca="1" si="0"/>
        <v>28118.619489858371</v>
      </c>
      <c r="H16" s="733">
        <f t="shared" si="0"/>
        <v>0</v>
      </c>
      <c r="I16" s="733">
        <f t="shared" si="0"/>
        <v>0</v>
      </c>
      <c r="J16" s="733">
        <f t="shared" si="0"/>
        <v>0</v>
      </c>
      <c r="K16" s="733">
        <f t="shared" si="0"/>
        <v>1235.5520824370683</v>
      </c>
      <c r="L16" s="733">
        <f t="shared" si="0"/>
        <v>0</v>
      </c>
      <c r="M16" s="733">
        <f t="shared" ca="1" si="0"/>
        <v>0</v>
      </c>
      <c r="N16" s="733">
        <f t="shared" si="0"/>
        <v>0</v>
      </c>
      <c r="O16" s="733">
        <f t="shared" ca="1" si="0"/>
        <v>25912.239976530094</v>
      </c>
      <c r="P16" s="733">
        <f t="shared" si="0"/>
        <v>115.68666666666668</v>
      </c>
      <c r="Q16" s="733">
        <f t="shared" si="0"/>
        <v>476.66666666666663</v>
      </c>
      <c r="R16" s="733">
        <f t="shared" ca="1" si="0"/>
        <v>291089.37681439158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972.59101608887022</v>
      </c>
      <c r="I19" s="1025">
        <f>transport!H54</f>
        <v>0</v>
      </c>
      <c r="J19" s="1025">
        <f>transport!I54</f>
        <v>0</v>
      </c>
      <c r="K19" s="1025">
        <f>transport!J54</f>
        <v>0</v>
      </c>
      <c r="L19" s="1025">
        <f>transport!K54</f>
        <v>0</v>
      </c>
      <c r="M19" s="1025">
        <f>transport!L54</f>
        <v>0</v>
      </c>
      <c r="N19" s="1025">
        <f>transport!M54</f>
        <v>55.46403039157655</v>
      </c>
      <c r="O19" s="1025">
        <f>transport!N54</f>
        <v>0</v>
      </c>
      <c r="P19" s="1025">
        <f>transport!O54</f>
        <v>0</v>
      </c>
      <c r="Q19" s="1026">
        <f>transport!P54</f>
        <v>0</v>
      </c>
      <c r="R19" s="701">
        <f>SUM(C19:Q19)</f>
        <v>1028.0550464804467</v>
      </c>
      <c r="S19" s="67"/>
    </row>
    <row r="20" spans="1:19" s="474" customFormat="1">
      <c r="A20" s="810" t="s">
        <v>307</v>
      </c>
      <c r="B20" s="815"/>
      <c r="C20" s="1025">
        <f>transport!B14</f>
        <v>28.548884235455713</v>
      </c>
      <c r="D20" s="1025">
        <f>transport!C14</f>
        <v>0</v>
      </c>
      <c r="E20" s="1025">
        <f>transport!D14</f>
        <v>69.619501371684024</v>
      </c>
      <c r="F20" s="1025">
        <f>transport!E14</f>
        <v>522.73520007775687</v>
      </c>
      <c r="G20" s="1025">
        <f>transport!F14</f>
        <v>0</v>
      </c>
      <c r="H20" s="1025">
        <f>transport!G14</f>
        <v>182436.6042839195</v>
      </c>
      <c r="I20" s="1025">
        <f>transport!H14</f>
        <v>27238.514856077767</v>
      </c>
      <c r="J20" s="1025">
        <f>transport!I14</f>
        <v>0</v>
      </c>
      <c r="K20" s="1025">
        <f>transport!J14</f>
        <v>0</v>
      </c>
      <c r="L20" s="1025">
        <f>transport!K14</f>
        <v>0</v>
      </c>
      <c r="M20" s="1025">
        <f>transport!L14</f>
        <v>0</v>
      </c>
      <c r="N20" s="1025">
        <f>transport!M14</f>
        <v>11391.617985847477</v>
      </c>
      <c r="O20" s="1025">
        <f>transport!N14</f>
        <v>0</v>
      </c>
      <c r="P20" s="1025">
        <f>transport!O14</f>
        <v>0</v>
      </c>
      <c r="Q20" s="1026">
        <f>transport!P14</f>
        <v>0</v>
      </c>
      <c r="R20" s="701">
        <f>SUM(C20:Q20)</f>
        <v>221687.64071152962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28.548884235455713</v>
      </c>
      <c r="D22" s="813">
        <f t="shared" ref="D22:R22" si="1">SUM(D18:D21)</f>
        <v>0</v>
      </c>
      <c r="E22" s="813">
        <f t="shared" si="1"/>
        <v>69.619501371684024</v>
      </c>
      <c r="F22" s="813">
        <f t="shared" si="1"/>
        <v>522.73520007775687</v>
      </c>
      <c r="G22" s="813">
        <f t="shared" si="1"/>
        <v>0</v>
      </c>
      <c r="H22" s="813">
        <f t="shared" si="1"/>
        <v>183409.19530000837</v>
      </c>
      <c r="I22" s="813">
        <f t="shared" si="1"/>
        <v>27238.514856077767</v>
      </c>
      <c r="J22" s="813">
        <f t="shared" si="1"/>
        <v>0</v>
      </c>
      <c r="K22" s="813">
        <f t="shared" si="1"/>
        <v>0</v>
      </c>
      <c r="L22" s="813">
        <f t="shared" si="1"/>
        <v>0</v>
      </c>
      <c r="M22" s="813">
        <f t="shared" si="1"/>
        <v>0</v>
      </c>
      <c r="N22" s="813">
        <f t="shared" si="1"/>
        <v>11447.082016239054</v>
      </c>
      <c r="O22" s="813">
        <f t="shared" si="1"/>
        <v>0</v>
      </c>
      <c r="P22" s="813">
        <f t="shared" si="1"/>
        <v>0</v>
      </c>
      <c r="Q22" s="813">
        <f t="shared" si="1"/>
        <v>0</v>
      </c>
      <c r="R22" s="813">
        <f t="shared" si="1"/>
        <v>222715.69575801006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420.12059999999997</v>
      </c>
      <c r="D24" s="1025">
        <f>+landbouw!C8</f>
        <v>0</v>
      </c>
      <c r="E24" s="1025">
        <f>+landbouw!D8</f>
        <v>138.53096400000001</v>
      </c>
      <c r="F24" s="1025">
        <f>+landbouw!E8</f>
        <v>3.8913329598821078</v>
      </c>
      <c r="G24" s="1025">
        <f>+landbouw!F8</f>
        <v>1065.9259950921687</v>
      </c>
      <c r="H24" s="1025">
        <f>+landbouw!G8</f>
        <v>0</v>
      </c>
      <c r="I24" s="1025">
        <f>+landbouw!H8</f>
        <v>0</v>
      </c>
      <c r="J24" s="1025">
        <f>+landbouw!I8</f>
        <v>0</v>
      </c>
      <c r="K24" s="1025">
        <f>+landbouw!J8</f>
        <v>64.409176539580017</v>
      </c>
      <c r="L24" s="1025">
        <f>+landbouw!K8</f>
        <v>0</v>
      </c>
      <c r="M24" s="1025">
        <f>+landbouw!L8</f>
        <v>0</v>
      </c>
      <c r="N24" s="1025">
        <f>+landbouw!M8</f>
        <v>0</v>
      </c>
      <c r="O24" s="1025">
        <f>+landbouw!N8</f>
        <v>0</v>
      </c>
      <c r="P24" s="1025">
        <f>+landbouw!O8</f>
        <v>0</v>
      </c>
      <c r="Q24" s="1026">
        <f>+landbouw!P8</f>
        <v>0</v>
      </c>
      <c r="R24" s="701">
        <f>SUM(C24:Q24)</f>
        <v>1692.8780685916308</v>
      </c>
      <c r="S24" s="67"/>
    </row>
    <row r="25" spans="1:19" s="474" customFormat="1" ht="15" thickBot="1">
      <c r="A25" s="832" t="s">
        <v>864</v>
      </c>
      <c r="B25" s="1028"/>
      <c r="C25" s="1029">
        <f>IF(Onbekend_ele_kWh="---",0,Onbekend_ele_kWh)/1000+IF(REST_rest_ele_kWh="---",0,REST_rest_ele_kWh)/1000</f>
        <v>850.77890000000002</v>
      </c>
      <c r="D25" s="1029"/>
      <c r="E25" s="1029">
        <f>IF(onbekend_gas_kWh="---",0,onbekend_gas_kWh)/1000+IF(REST_rest_gas_kWh="---",0,REST_rest_gas_kWh)/1000</f>
        <v>576.66399999999999</v>
      </c>
      <c r="F25" s="1029"/>
      <c r="G25" s="1029"/>
      <c r="H25" s="1029"/>
      <c r="I25" s="1029"/>
      <c r="J25" s="1029"/>
      <c r="K25" s="1029"/>
      <c r="L25" s="1029"/>
      <c r="M25" s="1029"/>
      <c r="N25" s="1029"/>
      <c r="O25" s="1029"/>
      <c r="P25" s="1029"/>
      <c r="Q25" s="1030"/>
      <c r="R25" s="701">
        <f>SUM(C25:Q25)</f>
        <v>1427.4429</v>
      </c>
      <c r="S25" s="67"/>
    </row>
    <row r="26" spans="1:19" s="474" customFormat="1" ht="15.75" thickBot="1">
      <c r="A26" s="706" t="s">
        <v>865</v>
      </c>
      <c r="B26" s="818"/>
      <c r="C26" s="813">
        <f>SUM(C24:C25)</f>
        <v>1270.8995</v>
      </c>
      <c r="D26" s="813">
        <f t="shared" ref="D26:R26" si="2">SUM(D24:D25)</f>
        <v>0</v>
      </c>
      <c r="E26" s="813">
        <f t="shared" si="2"/>
        <v>715.19496400000003</v>
      </c>
      <c r="F26" s="813">
        <f t="shared" si="2"/>
        <v>3.8913329598821078</v>
      </c>
      <c r="G26" s="813">
        <f t="shared" si="2"/>
        <v>1065.9259950921687</v>
      </c>
      <c r="H26" s="813">
        <f t="shared" si="2"/>
        <v>0</v>
      </c>
      <c r="I26" s="813">
        <f t="shared" si="2"/>
        <v>0</v>
      </c>
      <c r="J26" s="813">
        <f t="shared" si="2"/>
        <v>0</v>
      </c>
      <c r="K26" s="813">
        <f t="shared" si="2"/>
        <v>64.409176539580017</v>
      </c>
      <c r="L26" s="813">
        <f t="shared" si="2"/>
        <v>0</v>
      </c>
      <c r="M26" s="813">
        <f t="shared" si="2"/>
        <v>0</v>
      </c>
      <c r="N26" s="813">
        <f t="shared" si="2"/>
        <v>0</v>
      </c>
      <c r="O26" s="813">
        <f t="shared" si="2"/>
        <v>0</v>
      </c>
      <c r="P26" s="813">
        <f t="shared" si="2"/>
        <v>0</v>
      </c>
      <c r="Q26" s="813">
        <f t="shared" si="2"/>
        <v>0</v>
      </c>
      <c r="R26" s="813">
        <f t="shared" si="2"/>
        <v>3120.3209685916308</v>
      </c>
      <c r="S26" s="67"/>
    </row>
    <row r="27" spans="1:19" s="474" customFormat="1" ht="17.25" thickTop="1" thickBot="1">
      <c r="A27" s="707" t="s">
        <v>116</v>
      </c>
      <c r="B27" s="806"/>
      <c r="C27" s="708">
        <f ca="1">C22+C16+C26</f>
        <v>107314.38952964429</v>
      </c>
      <c r="D27" s="708">
        <f t="shared" ref="D27:R27" ca="1" si="3">D22+D16+D26</f>
        <v>0</v>
      </c>
      <c r="E27" s="708">
        <f t="shared" ca="1" si="3"/>
        <v>124349.1951533182</v>
      </c>
      <c r="F27" s="708">
        <f t="shared" si="3"/>
        <v>6177.9166319150117</v>
      </c>
      <c r="G27" s="708">
        <f t="shared" ca="1" si="3"/>
        <v>29184.54548495054</v>
      </c>
      <c r="H27" s="708">
        <f t="shared" si="3"/>
        <v>183409.19530000837</v>
      </c>
      <c r="I27" s="708">
        <f t="shared" si="3"/>
        <v>27238.514856077767</v>
      </c>
      <c r="J27" s="708">
        <f t="shared" si="3"/>
        <v>0</v>
      </c>
      <c r="K27" s="708">
        <f t="shared" si="3"/>
        <v>1299.9612589766484</v>
      </c>
      <c r="L27" s="708">
        <f t="shared" si="3"/>
        <v>0</v>
      </c>
      <c r="M27" s="708">
        <f t="shared" ca="1" si="3"/>
        <v>0</v>
      </c>
      <c r="N27" s="708">
        <f t="shared" si="3"/>
        <v>11447.082016239054</v>
      </c>
      <c r="O27" s="708">
        <f t="shared" ca="1" si="3"/>
        <v>25912.239976530094</v>
      </c>
      <c r="P27" s="708">
        <f t="shared" si="3"/>
        <v>115.68666666666668</v>
      </c>
      <c r="Q27" s="708">
        <f t="shared" si="3"/>
        <v>476.66666666666663</v>
      </c>
      <c r="R27" s="708">
        <f t="shared" ca="1" si="3"/>
        <v>516925.39354099322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4324.1926996965531</v>
      </c>
      <c r="D40" s="1025">
        <f ca="1">tertiair!C20</f>
        <v>0</v>
      </c>
      <c r="E40" s="1025">
        <f ca="1">tertiair!D20</f>
        <v>2881.4514927000005</v>
      </c>
      <c r="F40" s="1025">
        <f>tertiair!E20</f>
        <v>40.362538674658673</v>
      </c>
      <c r="G40" s="1025">
        <f ca="1">tertiair!F20</f>
        <v>847.30509820852205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8093.3118292797353</v>
      </c>
    </row>
    <row r="41" spans="1:18">
      <c r="A41" s="823" t="s">
        <v>225</v>
      </c>
      <c r="B41" s="830"/>
      <c r="C41" s="1025">
        <f ca="1">huishoudens!B12</f>
        <v>4804.2892682896781</v>
      </c>
      <c r="D41" s="1025">
        <f ca="1">huishoudens!C12</f>
        <v>0</v>
      </c>
      <c r="E41" s="1025">
        <f>huishoudens!D12</f>
        <v>9665.9332368651976</v>
      </c>
      <c r="F41" s="1025">
        <f>huishoudens!E12</f>
        <v>493.59099964224714</v>
      </c>
      <c r="G41" s="1025">
        <f>huishoudens!F12</f>
        <v>2519.2782502784203</v>
      </c>
      <c r="H41" s="1025">
        <f>huishoudens!G12</f>
        <v>0</v>
      </c>
      <c r="I41" s="1025">
        <f>huishoudens!H12</f>
        <v>0</v>
      </c>
      <c r="J41" s="1025">
        <f>huishoudens!I12</f>
        <v>0</v>
      </c>
      <c r="K41" s="1025">
        <f>huishoudens!J12</f>
        <v>344.91140327053824</v>
      </c>
      <c r="L41" s="1025">
        <f>huishoudens!K12</f>
        <v>0</v>
      </c>
      <c r="M41" s="1025">
        <f>huishoudens!L12</f>
        <v>0</v>
      </c>
      <c r="N41" s="1025">
        <f>huishoudens!M12</f>
        <v>0</v>
      </c>
      <c r="O41" s="1025">
        <f>huishoudens!N12</f>
        <v>0</v>
      </c>
      <c r="P41" s="1025">
        <f>huishoudens!O12</f>
        <v>0</v>
      </c>
      <c r="Q41" s="775">
        <f>huishoudens!P12</f>
        <v>0</v>
      </c>
      <c r="R41" s="851">
        <f t="shared" ca="1" si="4"/>
        <v>17828.00315834608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13215.568112529701</v>
      </c>
      <c r="D43" s="1025">
        <f ca="1">industrie!C22</f>
        <v>0</v>
      </c>
      <c r="E43" s="1025">
        <f>industrie!D22</f>
        <v>12412.620169400001</v>
      </c>
      <c r="F43" s="1025">
        <f>industrie!E22</f>
        <v>748.88931412825775</v>
      </c>
      <c r="G43" s="1025">
        <f>industrie!F22</f>
        <v>4141.0880553052439</v>
      </c>
      <c r="H43" s="1025">
        <f>industrie!G22</f>
        <v>0</v>
      </c>
      <c r="I43" s="1025">
        <f>industrie!H22</f>
        <v>0</v>
      </c>
      <c r="J43" s="1025">
        <f>industrie!I22</f>
        <v>0</v>
      </c>
      <c r="K43" s="1025">
        <f>industrie!J22</f>
        <v>92.47403391218397</v>
      </c>
      <c r="L43" s="1025">
        <f>industrie!K22</f>
        <v>0</v>
      </c>
      <c r="M43" s="1025">
        <f>industrie!L22</f>
        <v>0</v>
      </c>
      <c r="N43" s="1025">
        <f>industrie!M22</f>
        <v>0</v>
      </c>
      <c r="O43" s="1025">
        <f>industrie!N22</f>
        <v>0</v>
      </c>
      <c r="P43" s="1025">
        <f>industrie!O22</f>
        <v>0</v>
      </c>
      <c r="Q43" s="775">
        <f>industrie!P22</f>
        <v>0</v>
      </c>
      <c r="R43" s="850">
        <f t="shared" ca="1" si="4"/>
        <v>30610.63968527539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22344.050080515932</v>
      </c>
      <c r="D46" s="733">
        <f t="shared" ref="D46:Q46" ca="1" si="5">SUM(D39:D45)</f>
        <v>0</v>
      </c>
      <c r="E46" s="733">
        <f t="shared" ca="1" si="5"/>
        <v>24960.004898965199</v>
      </c>
      <c r="F46" s="733">
        <f t="shared" si="5"/>
        <v>1282.8428524451635</v>
      </c>
      <c r="G46" s="733">
        <f t="shared" ca="1" si="5"/>
        <v>7507.6714037921865</v>
      </c>
      <c r="H46" s="733">
        <f t="shared" si="5"/>
        <v>0</v>
      </c>
      <c r="I46" s="733">
        <f t="shared" si="5"/>
        <v>0</v>
      </c>
      <c r="J46" s="733">
        <f t="shared" si="5"/>
        <v>0</v>
      </c>
      <c r="K46" s="733">
        <f t="shared" si="5"/>
        <v>437.38543718272223</v>
      </c>
      <c r="L46" s="733">
        <f t="shared" si="5"/>
        <v>0</v>
      </c>
      <c r="M46" s="733">
        <f t="shared" ca="1" si="5"/>
        <v>0</v>
      </c>
      <c r="N46" s="733">
        <f t="shared" si="5"/>
        <v>0</v>
      </c>
      <c r="O46" s="733">
        <f t="shared" ca="1" si="5"/>
        <v>0</v>
      </c>
      <c r="P46" s="733">
        <f t="shared" si="5"/>
        <v>0</v>
      </c>
      <c r="Q46" s="733">
        <f t="shared" si="5"/>
        <v>0</v>
      </c>
      <c r="R46" s="733">
        <f ca="1">SUM(R39:R45)</f>
        <v>56531.954672901207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259.68180129572835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259.68180129572835</v>
      </c>
    </row>
    <row r="50" spans="1:18">
      <c r="A50" s="826" t="s">
        <v>307</v>
      </c>
      <c r="B50" s="836"/>
      <c r="C50" s="704">
        <f ca="1">transport!B18</f>
        <v>6.0170546925545274</v>
      </c>
      <c r="D50" s="704">
        <f>transport!C18</f>
        <v>0</v>
      </c>
      <c r="E50" s="704">
        <f>transport!D18</f>
        <v>14.063139277080174</v>
      </c>
      <c r="F50" s="704">
        <f>transport!E18</f>
        <v>118.66089041765082</v>
      </c>
      <c r="G50" s="704">
        <f>transport!F18</f>
        <v>0</v>
      </c>
      <c r="H50" s="704">
        <f>transport!G18</f>
        <v>48710.573343806507</v>
      </c>
      <c r="I50" s="704">
        <f>transport!H18</f>
        <v>6782.3901991633638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55631.704627357154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6.0170546925545274</v>
      </c>
      <c r="D52" s="733">
        <f t="shared" ref="D52:Q52" ca="1" si="6">SUM(D48:D51)</f>
        <v>0</v>
      </c>
      <c r="E52" s="733">
        <f t="shared" si="6"/>
        <v>14.063139277080174</v>
      </c>
      <c r="F52" s="733">
        <f t="shared" si="6"/>
        <v>118.66089041765082</v>
      </c>
      <c r="G52" s="733">
        <f t="shared" si="6"/>
        <v>0</v>
      </c>
      <c r="H52" s="733">
        <f t="shared" si="6"/>
        <v>48970.255145102237</v>
      </c>
      <c r="I52" s="733">
        <f t="shared" si="6"/>
        <v>6782.3901991633638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55891.386428652884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88.545969321258553</v>
      </c>
      <c r="D54" s="704">
        <f ca="1">+landbouw!C12</f>
        <v>0</v>
      </c>
      <c r="E54" s="704">
        <f>+landbouw!D12</f>
        <v>27.983254728000006</v>
      </c>
      <c r="F54" s="704">
        <f>+landbouw!E12</f>
        <v>0.88333258189323849</v>
      </c>
      <c r="G54" s="704">
        <f>+landbouw!F12</f>
        <v>284.60224068960906</v>
      </c>
      <c r="H54" s="704">
        <f>+landbouw!G12</f>
        <v>0</v>
      </c>
      <c r="I54" s="704">
        <f>+landbouw!H12</f>
        <v>0</v>
      </c>
      <c r="J54" s="704">
        <f>+landbouw!I12</f>
        <v>0</v>
      </c>
      <c r="K54" s="704">
        <f>+landbouw!J12</f>
        <v>22.800848495011326</v>
      </c>
      <c r="L54" s="704">
        <f>+landbouw!K12</f>
        <v>0</v>
      </c>
      <c r="M54" s="704">
        <f>+landbouw!L12</f>
        <v>0</v>
      </c>
      <c r="N54" s="704">
        <f>+landbouw!M12</f>
        <v>0</v>
      </c>
      <c r="O54" s="704">
        <f>+landbouw!N12</f>
        <v>0</v>
      </c>
      <c r="P54" s="704">
        <f>+landbouw!O12</f>
        <v>0</v>
      </c>
      <c r="Q54" s="705">
        <f>+landbouw!P12</f>
        <v>0</v>
      </c>
      <c r="R54" s="732">
        <f ca="1">SUM(C54:Q54)</f>
        <v>424.8156458157722</v>
      </c>
    </row>
    <row r="55" spans="1:18" ht="15" thickBot="1">
      <c r="A55" s="826" t="s">
        <v>864</v>
      </c>
      <c r="B55" s="836"/>
      <c r="C55" s="704">
        <f ca="1">C25*'EF ele_warmte'!B12</f>
        <v>179.31289819774156</v>
      </c>
      <c r="D55" s="704"/>
      <c r="E55" s="704">
        <f>E25*EF_CO2_aardgas</f>
        <v>116.48612800000001</v>
      </c>
      <c r="F55" s="704"/>
      <c r="G55" s="704"/>
      <c r="H55" s="704"/>
      <c r="I55" s="704"/>
      <c r="J55" s="704"/>
      <c r="K55" s="704"/>
      <c r="L55" s="704"/>
      <c r="M55" s="704"/>
      <c r="N55" s="704"/>
      <c r="O55" s="704"/>
      <c r="P55" s="704"/>
      <c r="Q55" s="705"/>
      <c r="R55" s="732">
        <f ca="1">SUM(C55:Q55)</f>
        <v>295.79902619774157</v>
      </c>
    </row>
    <row r="56" spans="1:18" ht="15.75" thickBot="1">
      <c r="A56" s="824" t="s">
        <v>865</v>
      </c>
      <c r="B56" s="837"/>
      <c r="C56" s="733">
        <f ca="1">SUM(C54:C55)</f>
        <v>267.85886751900011</v>
      </c>
      <c r="D56" s="733">
        <f t="shared" ref="D56:Q56" ca="1" si="7">SUM(D54:D55)</f>
        <v>0</v>
      </c>
      <c r="E56" s="733">
        <f t="shared" si="7"/>
        <v>144.46938272800003</v>
      </c>
      <c r="F56" s="733">
        <f t="shared" si="7"/>
        <v>0.88333258189323849</v>
      </c>
      <c r="G56" s="733">
        <f t="shared" si="7"/>
        <v>284.60224068960906</v>
      </c>
      <c r="H56" s="733">
        <f t="shared" si="7"/>
        <v>0</v>
      </c>
      <c r="I56" s="733">
        <f t="shared" si="7"/>
        <v>0</v>
      </c>
      <c r="J56" s="733">
        <f t="shared" si="7"/>
        <v>0</v>
      </c>
      <c r="K56" s="733">
        <f t="shared" si="7"/>
        <v>22.800848495011326</v>
      </c>
      <c r="L56" s="733">
        <f t="shared" si="7"/>
        <v>0</v>
      </c>
      <c r="M56" s="733">
        <f t="shared" si="7"/>
        <v>0</v>
      </c>
      <c r="N56" s="733">
        <f t="shared" si="7"/>
        <v>0</v>
      </c>
      <c r="O56" s="733">
        <f t="shared" si="7"/>
        <v>0</v>
      </c>
      <c r="P56" s="733">
        <f t="shared" si="7"/>
        <v>0</v>
      </c>
      <c r="Q56" s="734">
        <f t="shared" si="7"/>
        <v>0</v>
      </c>
      <c r="R56" s="735">
        <f ca="1">SUM(R54:R55)</f>
        <v>720.61467201351377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22617.926002727487</v>
      </c>
      <c r="D61" s="741">
        <f t="shared" ref="D61:Q61" ca="1" si="8">D46+D52+D56</f>
        <v>0</v>
      </c>
      <c r="E61" s="741">
        <f t="shared" ca="1" si="8"/>
        <v>25118.537420970279</v>
      </c>
      <c r="F61" s="741">
        <f t="shared" si="8"/>
        <v>1402.3870754447075</v>
      </c>
      <c r="G61" s="741">
        <f t="shared" ca="1" si="8"/>
        <v>7792.2736444817956</v>
      </c>
      <c r="H61" s="741">
        <f t="shared" si="8"/>
        <v>48970.255145102237</v>
      </c>
      <c r="I61" s="741">
        <f t="shared" si="8"/>
        <v>6782.3901991633638</v>
      </c>
      <c r="J61" s="741">
        <f t="shared" si="8"/>
        <v>0</v>
      </c>
      <c r="K61" s="741">
        <f t="shared" si="8"/>
        <v>460.18628567773357</v>
      </c>
      <c r="L61" s="741">
        <f t="shared" si="8"/>
        <v>0</v>
      </c>
      <c r="M61" s="741">
        <f t="shared" ca="1" si="8"/>
        <v>0</v>
      </c>
      <c r="N61" s="741">
        <f t="shared" si="8"/>
        <v>0</v>
      </c>
      <c r="O61" s="741">
        <f t="shared" ca="1" si="8"/>
        <v>0</v>
      </c>
      <c r="P61" s="741">
        <f t="shared" si="8"/>
        <v>0</v>
      </c>
      <c r="Q61" s="741">
        <f t="shared" si="8"/>
        <v>0</v>
      </c>
      <c r="R61" s="741">
        <f ca="1">R46+R52+R56</f>
        <v>113143.95577356761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0.21076321732678319</v>
      </c>
      <c r="D63" s="782">
        <f t="shared" ca="1" si="9"/>
        <v>0</v>
      </c>
      <c r="E63" s="1036">
        <f t="shared" ca="1" si="9"/>
        <v>0.20200000000000001</v>
      </c>
      <c r="F63" s="782">
        <f t="shared" si="9"/>
        <v>0.22699999999999998</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4970.8329562167355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4970.8329562167355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4970.8329562167355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4970.8329562167355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22794.723525408826</v>
      </c>
      <c r="C4" s="478">
        <f>huishoudens!C8</f>
        <v>0</v>
      </c>
      <c r="D4" s="478">
        <f>huishoudens!D8</f>
        <v>47851.154637946522</v>
      </c>
      <c r="E4" s="478">
        <f>huishoudens!E8</f>
        <v>2174.4096900539521</v>
      </c>
      <c r="F4" s="478">
        <f>huishoudens!F8</f>
        <v>9435.4990647131835</v>
      </c>
      <c r="G4" s="478">
        <f>huishoudens!G8</f>
        <v>0</v>
      </c>
      <c r="H4" s="478">
        <f>huishoudens!H8</f>
        <v>0</v>
      </c>
      <c r="I4" s="478">
        <f>huishoudens!I8</f>
        <v>0</v>
      </c>
      <c r="J4" s="478">
        <f>huishoudens!J8</f>
        <v>974.32599793937356</v>
      </c>
      <c r="K4" s="478">
        <f>huishoudens!K8</f>
        <v>0</v>
      </c>
      <c r="L4" s="478">
        <f>huishoudens!L8</f>
        <v>0</v>
      </c>
      <c r="M4" s="478">
        <f>huishoudens!M8</f>
        <v>0</v>
      </c>
      <c r="N4" s="478">
        <f>huishoudens!N8</f>
        <v>10307.410544769213</v>
      </c>
      <c r="O4" s="478">
        <f>huishoudens!O8</f>
        <v>112.56000000000002</v>
      </c>
      <c r="P4" s="479">
        <f>huishoudens!P8</f>
        <v>476.66666666666663</v>
      </c>
      <c r="Q4" s="480">
        <f>SUM(B4:P4)</f>
        <v>94126.75012749774</v>
      </c>
    </row>
    <row r="5" spans="1:17">
      <c r="A5" s="477" t="s">
        <v>156</v>
      </c>
      <c r="B5" s="478">
        <f ca="1">tertiair!B16</f>
        <v>19683.161100000001</v>
      </c>
      <c r="C5" s="478">
        <f ca="1">tertiair!C16</f>
        <v>0</v>
      </c>
      <c r="D5" s="478">
        <f ca="1">tertiair!D16</f>
        <v>14264.611350000001</v>
      </c>
      <c r="E5" s="478">
        <f>tertiair!E16</f>
        <v>177.80854041699854</v>
      </c>
      <c r="F5" s="478">
        <f ca="1">tertiair!F16</f>
        <v>3173.4273341143148</v>
      </c>
      <c r="G5" s="478">
        <f>tertiair!G16</f>
        <v>0</v>
      </c>
      <c r="H5" s="478">
        <f>tertiair!H16</f>
        <v>0</v>
      </c>
      <c r="I5" s="478">
        <f>tertiair!I16</f>
        <v>0</v>
      </c>
      <c r="J5" s="478">
        <f>tertiair!J16</f>
        <v>0</v>
      </c>
      <c r="K5" s="478">
        <f>tertiair!K16</f>
        <v>0</v>
      </c>
      <c r="L5" s="478">
        <f ca="1">tertiair!L16</f>
        <v>0</v>
      </c>
      <c r="M5" s="478">
        <f>tertiair!M16</f>
        <v>0</v>
      </c>
      <c r="N5" s="478">
        <f ca="1">tertiair!N16</f>
        <v>4072.3162128577687</v>
      </c>
      <c r="O5" s="478">
        <f>tertiair!O16</f>
        <v>3.1266666666666669</v>
      </c>
      <c r="P5" s="479">
        <f>tertiair!P16</f>
        <v>0</v>
      </c>
      <c r="Q5" s="477">
        <f t="shared" ref="Q5:Q14" ca="1" si="0">SUM(B5:P5)</f>
        <v>41374.451204055746</v>
      </c>
    </row>
    <row r="6" spans="1:17">
      <c r="A6" s="477" t="s">
        <v>194</v>
      </c>
      <c r="B6" s="478">
        <f>'openbare verlichting'!B8</f>
        <v>833.66700000000003</v>
      </c>
      <c r="C6" s="478"/>
      <c r="D6" s="478"/>
      <c r="E6" s="478"/>
      <c r="F6" s="478"/>
      <c r="G6" s="478"/>
      <c r="H6" s="478"/>
      <c r="I6" s="478"/>
      <c r="J6" s="478"/>
      <c r="K6" s="478"/>
      <c r="L6" s="478"/>
      <c r="M6" s="478"/>
      <c r="N6" s="478"/>
      <c r="O6" s="478"/>
      <c r="P6" s="479"/>
      <c r="Q6" s="477">
        <f t="shared" si="0"/>
        <v>833.66700000000003</v>
      </c>
    </row>
    <row r="7" spans="1:17">
      <c r="A7" s="477" t="s">
        <v>112</v>
      </c>
      <c r="B7" s="478">
        <f>landbouw!B8</f>
        <v>420.12059999999997</v>
      </c>
      <c r="C7" s="478">
        <f>landbouw!C8</f>
        <v>0</v>
      </c>
      <c r="D7" s="478">
        <f>landbouw!D8</f>
        <v>138.53096400000001</v>
      </c>
      <c r="E7" s="478">
        <f>landbouw!E8</f>
        <v>3.8913329598821078</v>
      </c>
      <c r="F7" s="478">
        <f>landbouw!F8</f>
        <v>1065.9259950921687</v>
      </c>
      <c r="G7" s="478">
        <f>landbouw!G8</f>
        <v>0</v>
      </c>
      <c r="H7" s="478">
        <f>landbouw!H8</f>
        <v>0</v>
      </c>
      <c r="I7" s="478">
        <f>landbouw!I8</f>
        <v>0</v>
      </c>
      <c r="J7" s="478">
        <f>landbouw!J8</f>
        <v>64.409176539580017</v>
      </c>
      <c r="K7" s="478">
        <f>landbouw!K8</f>
        <v>0</v>
      </c>
      <c r="L7" s="478">
        <f>landbouw!L8</f>
        <v>0</v>
      </c>
      <c r="M7" s="478">
        <f>landbouw!M8</f>
        <v>0</v>
      </c>
      <c r="N7" s="478">
        <f>landbouw!N8</f>
        <v>0</v>
      </c>
      <c r="O7" s="478">
        <f>landbouw!O8</f>
        <v>0</v>
      </c>
      <c r="P7" s="479">
        <f>landbouw!P8</f>
        <v>0</v>
      </c>
      <c r="Q7" s="477">
        <f t="shared" si="0"/>
        <v>1692.8780685916308</v>
      </c>
    </row>
    <row r="8" spans="1:17">
      <c r="A8" s="477" t="s">
        <v>650</v>
      </c>
      <c r="B8" s="478">
        <f>industrie!B18</f>
        <v>62703.389520000004</v>
      </c>
      <c r="C8" s="478">
        <f>industrie!C18</f>
        <v>0</v>
      </c>
      <c r="D8" s="478">
        <f>industrie!D18</f>
        <v>61448.614700000006</v>
      </c>
      <c r="E8" s="478">
        <f>industrie!E18</f>
        <v>3299.0718684064218</v>
      </c>
      <c r="F8" s="478">
        <f>industrie!F18</f>
        <v>15509.693091030875</v>
      </c>
      <c r="G8" s="478">
        <f>industrie!G18</f>
        <v>0</v>
      </c>
      <c r="H8" s="478">
        <f>industrie!H18</f>
        <v>0</v>
      </c>
      <c r="I8" s="478">
        <f>industrie!I18</f>
        <v>0</v>
      </c>
      <c r="J8" s="478">
        <f>industrie!J18</f>
        <v>261.22608449769484</v>
      </c>
      <c r="K8" s="478">
        <f>industrie!K18</f>
        <v>0</v>
      </c>
      <c r="L8" s="478">
        <f>industrie!L18</f>
        <v>0</v>
      </c>
      <c r="M8" s="478">
        <f>industrie!M18</f>
        <v>0</v>
      </c>
      <c r="N8" s="478">
        <f>industrie!N18</f>
        <v>11532.513218903112</v>
      </c>
      <c r="O8" s="478">
        <f>industrie!O18</f>
        <v>0</v>
      </c>
      <c r="P8" s="479">
        <f>industrie!P18</f>
        <v>0</v>
      </c>
      <c r="Q8" s="477">
        <f t="shared" si="0"/>
        <v>154754.50848283811</v>
      </c>
    </row>
    <row r="9" spans="1:17" s="483" customFormat="1">
      <c r="A9" s="481" t="s">
        <v>571</v>
      </c>
      <c r="B9" s="482">
        <f>transport!B14</f>
        <v>28.548884235455713</v>
      </c>
      <c r="C9" s="482">
        <f>transport!C14</f>
        <v>0</v>
      </c>
      <c r="D9" s="482">
        <f>transport!D14</f>
        <v>69.619501371684024</v>
      </c>
      <c r="E9" s="482">
        <f>transport!E14</f>
        <v>522.73520007775687</v>
      </c>
      <c r="F9" s="482">
        <f>transport!F14</f>
        <v>0</v>
      </c>
      <c r="G9" s="482">
        <f>transport!G14</f>
        <v>182436.6042839195</v>
      </c>
      <c r="H9" s="482">
        <f>transport!H14</f>
        <v>27238.514856077767</v>
      </c>
      <c r="I9" s="482">
        <f>transport!I14</f>
        <v>0</v>
      </c>
      <c r="J9" s="482">
        <f>transport!J14</f>
        <v>0</v>
      </c>
      <c r="K9" s="482">
        <f>transport!K14</f>
        <v>0</v>
      </c>
      <c r="L9" s="482">
        <f>transport!L14</f>
        <v>0</v>
      </c>
      <c r="M9" s="482">
        <f>transport!M14</f>
        <v>11391.617985847477</v>
      </c>
      <c r="N9" s="482">
        <f>transport!N14</f>
        <v>0</v>
      </c>
      <c r="O9" s="482">
        <f>transport!O14</f>
        <v>0</v>
      </c>
      <c r="P9" s="482">
        <f>transport!P14</f>
        <v>0</v>
      </c>
      <c r="Q9" s="481">
        <f>SUM(B9:P9)</f>
        <v>221687.64071152962</v>
      </c>
    </row>
    <row r="10" spans="1:17">
      <c r="A10" s="477" t="s">
        <v>561</v>
      </c>
      <c r="B10" s="478">
        <f>transport!B54</f>
        <v>0</v>
      </c>
      <c r="C10" s="478">
        <f>transport!C54</f>
        <v>0</v>
      </c>
      <c r="D10" s="478">
        <f>transport!D54</f>
        <v>0</v>
      </c>
      <c r="E10" s="478">
        <f>transport!E54</f>
        <v>0</v>
      </c>
      <c r="F10" s="478">
        <f>transport!F54</f>
        <v>0</v>
      </c>
      <c r="G10" s="478">
        <f>transport!G54</f>
        <v>972.59101608887022</v>
      </c>
      <c r="H10" s="478">
        <f>transport!H54</f>
        <v>0</v>
      </c>
      <c r="I10" s="478">
        <f>transport!I54</f>
        <v>0</v>
      </c>
      <c r="J10" s="478">
        <f>transport!J54</f>
        <v>0</v>
      </c>
      <c r="K10" s="478">
        <f>transport!K54</f>
        <v>0</v>
      </c>
      <c r="L10" s="478">
        <f>transport!L54</f>
        <v>0</v>
      </c>
      <c r="M10" s="478">
        <f>transport!M54</f>
        <v>55.46403039157655</v>
      </c>
      <c r="N10" s="478">
        <f>transport!N54</f>
        <v>0</v>
      </c>
      <c r="O10" s="478">
        <f>transport!O54</f>
        <v>0</v>
      </c>
      <c r="P10" s="479">
        <f>transport!P54</f>
        <v>0</v>
      </c>
      <c r="Q10" s="477">
        <f t="shared" si="0"/>
        <v>1028.0550464804467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850.77890000000002</v>
      </c>
      <c r="C14" s="485"/>
      <c r="D14" s="485">
        <f>'SEAP template'!E25</f>
        <v>576.66399999999999</v>
      </c>
      <c r="E14" s="485"/>
      <c r="F14" s="485"/>
      <c r="G14" s="485"/>
      <c r="H14" s="485"/>
      <c r="I14" s="485"/>
      <c r="J14" s="485"/>
      <c r="K14" s="485"/>
      <c r="L14" s="485"/>
      <c r="M14" s="485"/>
      <c r="N14" s="485"/>
      <c r="O14" s="485"/>
      <c r="P14" s="486"/>
      <c r="Q14" s="477">
        <f t="shared" si="0"/>
        <v>1427.4429</v>
      </c>
    </row>
    <row r="15" spans="1:17" s="487" customFormat="1">
      <c r="A15" s="1051" t="s">
        <v>565</v>
      </c>
      <c r="B15" s="991">
        <f ca="1">SUM(B4:B14)</f>
        <v>107314.38952964429</v>
      </c>
      <c r="C15" s="991">
        <f t="shared" ref="C15:Q15" ca="1" si="1">SUM(C4:C14)</f>
        <v>0</v>
      </c>
      <c r="D15" s="991">
        <f t="shared" ca="1" si="1"/>
        <v>124349.1951533182</v>
      </c>
      <c r="E15" s="991">
        <f t="shared" si="1"/>
        <v>6177.9166319150117</v>
      </c>
      <c r="F15" s="991">
        <f t="shared" ca="1" si="1"/>
        <v>29184.54548495054</v>
      </c>
      <c r="G15" s="991">
        <f t="shared" si="1"/>
        <v>183409.19530000837</v>
      </c>
      <c r="H15" s="991">
        <f t="shared" si="1"/>
        <v>27238.514856077767</v>
      </c>
      <c r="I15" s="991">
        <f t="shared" si="1"/>
        <v>0</v>
      </c>
      <c r="J15" s="991">
        <f t="shared" si="1"/>
        <v>1299.9612589766484</v>
      </c>
      <c r="K15" s="991">
        <f t="shared" si="1"/>
        <v>0</v>
      </c>
      <c r="L15" s="991">
        <f t="shared" ca="1" si="1"/>
        <v>0</v>
      </c>
      <c r="M15" s="991">
        <f t="shared" si="1"/>
        <v>11447.082016239054</v>
      </c>
      <c r="N15" s="991">
        <f t="shared" ca="1" si="1"/>
        <v>25912.239976530094</v>
      </c>
      <c r="O15" s="991">
        <f t="shared" si="1"/>
        <v>115.68666666666668</v>
      </c>
      <c r="P15" s="991">
        <f t="shared" si="1"/>
        <v>476.66666666666663</v>
      </c>
      <c r="Q15" s="991">
        <f t="shared" ca="1" si="1"/>
        <v>516925.39354099327</v>
      </c>
    </row>
    <row r="17" spans="1:17">
      <c r="A17" s="488" t="s">
        <v>566</v>
      </c>
      <c r="B17" s="787">
        <f ca="1">huishoudens!B10</f>
        <v>0.21076321732678321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4804.2892682896781</v>
      </c>
      <c r="C22" s="478">
        <f t="shared" ref="C22:C32" ca="1" si="3">C4*$C$17</f>
        <v>0</v>
      </c>
      <c r="D22" s="478">
        <f t="shared" ref="D22:D32" si="4">D4*$D$17</f>
        <v>9665.9332368651976</v>
      </c>
      <c r="E22" s="478">
        <f t="shared" ref="E22:E32" si="5">E4*$E$17</f>
        <v>493.59099964224714</v>
      </c>
      <c r="F22" s="478">
        <f t="shared" ref="F22:F32" si="6">F4*$F$17</f>
        <v>2519.2782502784203</v>
      </c>
      <c r="G22" s="478">
        <f t="shared" ref="G22:G32" si="7">G4*$G$17</f>
        <v>0</v>
      </c>
      <c r="H22" s="478">
        <f t="shared" ref="H22:H32" si="8">H4*$H$17</f>
        <v>0</v>
      </c>
      <c r="I22" s="478">
        <f t="shared" ref="I22:I32" si="9">I4*$I$17</f>
        <v>0</v>
      </c>
      <c r="J22" s="478">
        <f t="shared" ref="J22:J32" si="10">J4*$J$17</f>
        <v>344.91140327053824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17828.00315834608</v>
      </c>
    </row>
    <row r="23" spans="1:17">
      <c r="A23" s="477" t="s">
        <v>156</v>
      </c>
      <c r="B23" s="478">
        <f t="shared" ca="1" si="2"/>
        <v>4148.486360597386</v>
      </c>
      <c r="C23" s="478">
        <f t="shared" ca="1" si="3"/>
        <v>0</v>
      </c>
      <c r="D23" s="478">
        <f t="shared" ca="1" si="4"/>
        <v>2881.4514927000005</v>
      </c>
      <c r="E23" s="478">
        <f t="shared" si="5"/>
        <v>40.362538674658673</v>
      </c>
      <c r="F23" s="478">
        <f t="shared" ca="1" si="6"/>
        <v>847.30509820852205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7917.6054901805674</v>
      </c>
    </row>
    <row r="24" spans="1:17">
      <c r="A24" s="477" t="s">
        <v>194</v>
      </c>
      <c r="B24" s="478">
        <f t="shared" ca="1" si="2"/>
        <v>175.70633909916739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175.70633909916739</v>
      </c>
    </row>
    <row r="25" spans="1:17">
      <c r="A25" s="477" t="s">
        <v>112</v>
      </c>
      <c r="B25" s="478">
        <f t="shared" ca="1" si="2"/>
        <v>88.545969321258553</v>
      </c>
      <c r="C25" s="478">
        <f t="shared" ca="1" si="3"/>
        <v>0</v>
      </c>
      <c r="D25" s="478">
        <f t="shared" si="4"/>
        <v>27.983254728000006</v>
      </c>
      <c r="E25" s="478">
        <f t="shared" si="5"/>
        <v>0.88333258189323849</v>
      </c>
      <c r="F25" s="478">
        <f t="shared" si="6"/>
        <v>284.60224068960906</v>
      </c>
      <c r="G25" s="478">
        <f t="shared" si="7"/>
        <v>0</v>
      </c>
      <c r="H25" s="478">
        <f t="shared" si="8"/>
        <v>0</v>
      </c>
      <c r="I25" s="478">
        <f t="shared" si="9"/>
        <v>0</v>
      </c>
      <c r="J25" s="478">
        <f t="shared" si="10"/>
        <v>22.800848495011326</v>
      </c>
      <c r="K25" s="478">
        <f t="shared" si="11"/>
        <v>0</v>
      </c>
      <c r="L25" s="478">
        <f t="shared" si="12"/>
        <v>0</v>
      </c>
      <c r="M25" s="478">
        <f t="shared" si="13"/>
        <v>0</v>
      </c>
      <c r="N25" s="478">
        <f t="shared" si="14"/>
        <v>0</v>
      </c>
      <c r="O25" s="478">
        <f t="shared" si="15"/>
        <v>0</v>
      </c>
      <c r="P25" s="479">
        <f t="shared" si="16"/>
        <v>0</v>
      </c>
      <c r="Q25" s="477">
        <f t="shared" ca="1" si="17"/>
        <v>424.8156458157722</v>
      </c>
    </row>
    <row r="26" spans="1:17">
      <c r="A26" s="477" t="s">
        <v>650</v>
      </c>
      <c r="B26" s="478">
        <f t="shared" ca="1" si="2"/>
        <v>13215.568112529701</v>
      </c>
      <c r="C26" s="478">
        <f t="shared" ca="1" si="3"/>
        <v>0</v>
      </c>
      <c r="D26" s="478">
        <f t="shared" si="4"/>
        <v>12412.620169400001</v>
      </c>
      <c r="E26" s="478">
        <f t="shared" si="5"/>
        <v>748.88931412825775</v>
      </c>
      <c r="F26" s="478">
        <f t="shared" si="6"/>
        <v>4141.0880553052439</v>
      </c>
      <c r="G26" s="478">
        <f t="shared" si="7"/>
        <v>0</v>
      </c>
      <c r="H26" s="478">
        <f t="shared" si="8"/>
        <v>0</v>
      </c>
      <c r="I26" s="478">
        <f t="shared" si="9"/>
        <v>0</v>
      </c>
      <c r="J26" s="478">
        <f t="shared" si="10"/>
        <v>92.47403391218397</v>
      </c>
      <c r="K26" s="478">
        <f t="shared" si="11"/>
        <v>0</v>
      </c>
      <c r="L26" s="478">
        <f t="shared" si="12"/>
        <v>0</v>
      </c>
      <c r="M26" s="478">
        <f t="shared" si="13"/>
        <v>0</v>
      </c>
      <c r="N26" s="478">
        <f t="shared" si="14"/>
        <v>0</v>
      </c>
      <c r="O26" s="478">
        <f t="shared" si="15"/>
        <v>0</v>
      </c>
      <c r="P26" s="479">
        <f t="shared" si="16"/>
        <v>0</v>
      </c>
      <c r="Q26" s="477">
        <f t="shared" ca="1" si="17"/>
        <v>30610.63968527539</v>
      </c>
    </row>
    <row r="27" spans="1:17" s="483" customFormat="1">
      <c r="A27" s="481" t="s">
        <v>571</v>
      </c>
      <c r="B27" s="781">
        <f t="shared" ca="1" si="2"/>
        <v>6.0170546925545274</v>
      </c>
      <c r="C27" s="482">
        <f t="shared" ca="1" si="3"/>
        <v>0</v>
      </c>
      <c r="D27" s="482">
        <f t="shared" si="4"/>
        <v>14.063139277080174</v>
      </c>
      <c r="E27" s="482">
        <f t="shared" si="5"/>
        <v>118.66089041765082</v>
      </c>
      <c r="F27" s="482">
        <f t="shared" si="6"/>
        <v>0</v>
      </c>
      <c r="G27" s="482">
        <f t="shared" si="7"/>
        <v>48710.573343806507</v>
      </c>
      <c r="H27" s="482">
        <f t="shared" si="8"/>
        <v>6782.3901991633638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55631.704627357154</v>
      </c>
    </row>
    <row r="28" spans="1:17">
      <c r="A28" s="477" t="s">
        <v>561</v>
      </c>
      <c r="B28" s="478">
        <f t="shared" ca="1" si="2"/>
        <v>0</v>
      </c>
      <c r="C28" s="478">
        <f t="shared" ca="1" si="3"/>
        <v>0</v>
      </c>
      <c r="D28" s="478">
        <f t="shared" si="4"/>
        <v>0</v>
      </c>
      <c r="E28" s="478">
        <f t="shared" si="5"/>
        <v>0</v>
      </c>
      <c r="F28" s="478">
        <f t="shared" si="6"/>
        <v>0</v>
      </c>
      <c r="G28" s="478">
        <f t="shared" si="7"/>
        <v>259.68180129572835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259.68180129572835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179.31289819774156</v>
      </c>
      <c r="C32" s="478">
        <f t="shared" ca="1" si="3"/>
        <v>0</v>
      </c>
      <c r="D32" s="478">
        <f t="shared" si="4"/>
        <v>116.48612800000001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295.79902619774157</v>
      </c>
    </row>
    <row r="33" spans="1:17" s="487" customFormat="1">
      <c r="A33" s="1051" t="s">
        <v>565</v>
      </c>
      <c r="B33" s="991">
        <f ca="1">SUM(B22:B32)</f>
        <v>22617.92600272749</v>
      </c>
      <c r="C33" s="991">
        <f t="shared" ref="C33:Q33" ca="1" si="18">SUM(C22:C32)</f>
        <v>0</v>
      </c>
      <c r="D33" s="991">
        <f t="shared" ca="1" si="18"/>
        <v>25118.537420970282</v>
      </c>
      <c r="E33" s="991">
        <f t="shared" si="18"/>
        <v>1402.3870754447075</v>
      </c>
      <c r="F33" s="991">
        <f t="shared" ca="1" si="18"/>
        <v>7792.2736444817947</v>
      </c>
      <c r="G33" s="991">
        <f t="shared" si="18"/>
        <v>48970.255145102237</v>
      </c>
      <c r="H33" s="991">
        <f t="shared" si="18"/>
        <v>6782.3901991633638</v>
      </c>
      <c r="I33" s="991">
        <f t="shared" si="18"/>
        <v>0</v>
      </c>
      <c r="J33" s="991">
        <f t="shared" si="18"/>
        <v>460.18628567773357</v>
      </c>
      <c r="K33" s="991">
        <f t="shared" si="18"/>
        <v>0</v>
      </c>
      <c r="L33" s="991">
        <f t="shared" ca="1" si="18"/>
        <v>0</v>
      </c>
      <c r="M33" s="991">
        <f t="shared" si="18"/>
        <v>0</v>
      </c>
      <c r="N33" s="991">
        <f t="shared" ca="1" si="18"/>
        <v>0</v>
      </c>
      <c r="O33" s="991">
        <f t="shared" si="18"/>
        <v>0</v>
      </c>
      <c r="P33" s="991">
        <f t="shared" si="18"/>
        <v>0</v>
      </c>
      <c r="Q33" s="991">
        <f t="shared" ca="1" si="18"/>
        <v>113143.95577356759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4970.8329562167355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4970.8329562167355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0.21076321732678321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0.21076321732678321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2019-08-12T08:06:58Z</dcterms:modified>
</cp:coreProperties>
</file>