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J22" i="48" l="1"/>
  <c r="O26"/>
  <c r="O33" s="1"/>
  <c r="O15"/>
  <c r="K10" i="14"/>
  <c r="J5" i="48"/>
  <c r="J23" s="1"/>
  <c r="G28"/>
  <c r="Q10"/>
  <c r="F10" i="14"/>
  <c r="E5" i="48"/>
  <c r="E23" s="1"/>
  <c r="G27"/>
  <c r="G33" s="1"/>
  <c r="G15"/>
  <c r="H9"/>
  <c r="I20" i="14"/>
  <c r="M27" i="48"/>
  <c r="M33" s="1"/>
  <c r="M15"/>
  <c r="E22"/>
  <c r="Q4"/>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H27" i="48" l="1"/>
  <c r="H33" s="1"/>
  <c r="H15"/>
  <c r="J22" i="16"/>
  <c r="K43" i="14" s="1"/>
  <c r="K46" s="1"/>
  <c r="K61" s="1"/>
  <c r="K63" s="1"/>
  <c r="J8" i="48"/>
  <c r="K13" i="14"/>
  <c r="K16" s="1"/>
  <c r="K27" s="1"/>
  <c r="I22"/>
  <c r="I27" s="1"/>
  <c r="I63" s="1"/>
  <c r="R20"/>
  <c r="R22" s="1"/>
  <c r="F13"/>
  <c r="E8" i="48"/>
  <c r="F16" i="14"/>
  <c r="F27" s="1"/>
  <c r="F46"/>
  <c r="F61" s="1"/>
  <c r="H63"/>
  <c r="O13"/>
  <c r="N8" i="48"/>
  <c r="N26" s="1"/>
  <c r="F8"/>
  <c r="G13" i="14"/>
  <c r="R13" s="1"/>
  <c r="J26" i="48" l="1"/>
  <c r="J33" s="1"/>
  <c r="J15"/>
  <c r="E26"/>
  <c r="E33" s="1"/>
  <c r="E15"/>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<sst xmlns="http://schemas.openxmlformats.org/spreadsheetml/2006/main" count="2419" uniqueCount="907">
  <si>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</si>
  <si>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</si>
  <si>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</si>
  <si>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</si>
  <si>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</si>
  <si>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</si>
  <si>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</si>
  <si>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</si>
  <si>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</si>
  <si>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</si>
  <si>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</si>
  <si>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</si>
  <si>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</si>
  <si>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</si>
  <si>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</si>
  <si>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</si>
  <si>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</si>
  <si>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</si>
  <si>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</si>
  <si>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</si>
  <si>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</si>
  <si>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</si>
  <si>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</si>
  <si>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</si>
  <si>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</si>
  <si>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</si>
  <si>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</si>
  <si>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</si>
  <si>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</si>
  <si>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</si>
  <si>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</si>
  <si>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</si>
  <si>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</si>
  <si>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</si>
  <si>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</si>
  <si>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</si>
  <si>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</si>
  <si>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</si>
  <si>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</si>
  <si>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</si>
  <si>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</si>
  <si>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</si>
  <si>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</si>
  <si>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</si>
  <si>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</si>
  <si>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</si>
  <si>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</si>
  <si>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</si>
  <si>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</si>
  <si>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</si>
  <si>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</si>
  <si>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</si>
  <si>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</si>
  <si>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</si>
  <si>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</si>
  <si>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</si>
  <si>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</si>
  <si>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</si>
  <si>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</si>
  <si>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</si>
  <si>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</si>
  <si>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</si>
  <si>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</si>
  <si>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</si>
  <si>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</si>
  <si>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</si>
  <si>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</si>
  <si>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</si>
  <si>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</si>
  <si>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</si>
  <si>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</si>
  <si>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</si>
  <si>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</si>
  <si>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</si>
  <si>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</si>
  <si>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</si>
  <si>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</si>
  <si>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</si>
  <si>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</si>
  <si>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</si>
  <si>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</si>
  <si>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</si>
  <si>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</si>
  <si>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</si>
  <si>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</si>
  <si>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</si>
  <si>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</si>
  <si>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</si>
  <si>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</si>
  <si>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</si>
  <si>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</si>
  <si>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</si>
  <si>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</si>
  <si>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</si>
  <si>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</si>
  <si>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</si>
  <si>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</si>
  <si>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</si>
  <si>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</si>
  <si>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</si>
  <si>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</si>
  <si>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</si>
  <si>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</si>
  <si>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</si>
  <si>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</si>
  <si>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</si>
  <si>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</si>
  <si>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</si>
  <si>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</si>
  <si>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</si>
  <si>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</si>
  <si>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</si>
  <si>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</si>
  <si>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</si>
  <si>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</si>
  <si>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</si>
  <si>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</si>
  <si>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</si>
  <si>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</si>
  <si>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</si>
  <si>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</si>
  <si>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</si>
  <si>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</si>
  <si>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</si>
  <si>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</si>
  <si>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</si>
  <si>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</si>
  <si>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</si>
  <si>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</si>
  <si>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</si>
  <si>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</si>
  <si>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</si>
  <si>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</si>
  <si>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</si>
  <si>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</si>
  <si>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</si>
  <si>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</si>
  <si>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</si>
  <si>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</si>
  <si>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</si>
  <si>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</si>
  <si>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</si>
  <si>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</si>
  <si>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</si>
  <si>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</si>
  <si>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</si>
  <si>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</si>
  <si>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</si>
  <si>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</si>
  <si>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</si>
  <si>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</si>
  <si>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</si>
  <si>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</si>
  <si>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</si>
  <si>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</si>
  <si>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</si>
  <si>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</si>
  <si>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</si>
  <si>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</si>
  <si>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</si>
  <si>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</si>
  <si>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</si>
  <si>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</si>
  <si>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</si>
  <si>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</si>
  <si>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</si>
  <si>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</si>
  <si>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</si>
  <si>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</si>
  <si>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</si>
  <si>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</si>
  <si>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</si>
  <si>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</si>
  <si>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</si>
  <si>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</si>
  <si>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</si>
  <si>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</si>
  <si>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</si>
  <si>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</si>
  <si>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</si>
  <si>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</si>
  <si>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</si>
  <si>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</si>
  <si>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</si>
  <si>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</si>
  <si>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</si>
  <si>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</si>
  <si>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</si>
  <si>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</si>
  <si>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</si>
  <si>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</si>
  <si>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</si>
  <si>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</si>
  <si>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</si>
  <si>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</si>
  <si>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</si>
  <si>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</si>
  <si>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</si>
  <si>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</si>
  <si>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</si>
  <si>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</si>
  <si>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</si>
  <si>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</si>
  <si>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</si>
  <si>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</si>
  <si>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</si>
  <si>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</si>
  <si>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</si>
  <si>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</si>
  <si>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</si>
  <si>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</si>
  <si>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</si>
  <si>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</si>
  <si>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</si>
  <si>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</si>
  <si>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</si>
  <si>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</si>
  <si>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</si>
  <si>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</si>
  <si>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</si>
  <si>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</si>
  <si>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</si>
  <si>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</si>
  <si>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</si>
  <si>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</si>
  <si>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</si>
  <si>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</si>
  <si>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</si>
  <si>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</si>
  <si>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</si>
  <si>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</si>
  <si>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</si>
  <si>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</si>
  <si>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</si>
  <si>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</si>
  <si>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</si>
  <si>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</si>
  <si>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</si>
  <si>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</si>
  <si>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</si>
  <si>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</si>
  <si>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</si>
  <si>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</si>
  <si>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</si>
  <si>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</si>
  <si>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</si>
  <si>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</si>
  <si>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</si>
  <si>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</si>
  <si>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</si>
  <si>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</si>
  <si>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</si>
  <si>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</si>
  <si>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</si>
  <si>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</si>
  <si>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</si>
  <si>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</si>
  <si>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</si>
  <si>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</si>
  <si>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</si>
  <si>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</si>
  <si>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</si>
  <si>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</si>
  <si>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</si>
  <si>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</si>
  <si>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</si>
  <si>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</si>
  <si>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</si>
  <si>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</si>
  <si>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</si>
  <si>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</si>
  <si>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</si>
  <si>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</si>
  <si>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</si>
  <si>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</si>
  <si>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</si>
  <si>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</si>
  <si>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</si>
  <si>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</si>
  <si>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</si>
  <si>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</si>
  <si>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</si>
  <si>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</si>
  <si>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</si>
  <si>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</si>
  <si>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</si>
  <si>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</si>
  <si>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</si>
  <si>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</si>
  <si>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</si>
  <si>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</si>
  <si>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</si>
  <si>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</si>
  <si>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</si>
  <si>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</si>
  <si>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</si>
  <si>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</si>
  <si>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</si>
  <si>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</si>
  <si>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</si>
  <si>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</si>
  <si>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</si>
  <si>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</si>
  <si>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</si>
  <si>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</si>
  <si>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</si>
  <si>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</si>
  <si>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</si>
  <si>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</si>
  <si>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</si>
  <si>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</si>
  <si>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</si>
  <si>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</si>
  <si>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</si>
  <si>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</si>
  <si>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</si>
  <si>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</si>
  <si>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</si>
  <si>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</si>
  <si>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</si>
  <si>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</si>
  <si>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</si>
  <si>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</si>
  <si>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</si>
  <si>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</si>
  <si>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</si>
  <si>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</si>
  <si>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</si>
  <si>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</si>
  <si>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</si>
  <si>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</si>
  <si>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</si>
  <si>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</si>
  <si>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</si>
  <si>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</si>
  <si>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</si>
  <si>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</si>
  <si>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</si>
  <si>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</si>
  <si>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</si>
  <si>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</si>
  <si>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</si>
  <si>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</si>
  <si>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</si>
  <si>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</si>
  <si>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</si>
  <si>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</si>
  <si>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</si>
  <si>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</si>
  <si>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</si>
  <si>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</si>
  <si>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</si>
  <si>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</si>
  <si>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</si>
  <si>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</si>
  <si>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</si>
  <si>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</si>
  <si>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</si>
  <si>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</si>
  <si>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</si>
  <si>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</si>
  <si>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</si>
  <si>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</si>
  <si>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</si>
  <si>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</si>
  <si>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</si>
  <si>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</si>
  <si>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</si>
  <si>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</si>
  <si>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</si>
  <si>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</si>
  <si>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</si>
  <si>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</si>
  <si>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</si>
  <si>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</si>
  <si>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</si>
  <si>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</si>
  <si>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</si>
  <si>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</si>
  <si>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</si>
  <si>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</si>
  <si>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</si>
  <si>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</si>
  <si>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</si>
  <si>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</si>
  <si>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</si>
  <si>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</si>
  <si>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</si>
  <si>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</si>
  <si>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</si>
  <si>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</si>
  <si>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</si>
  <si>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</si>
  <si>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</si>
  <si>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</si>
  <si>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</si>
  <si>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</si>
  <si>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</si>
  <si>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</si>
  <si>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</si>
  <si>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</si>
  <si>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</si>
  <si>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</si>
  <si>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</si>
  <si>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</si>
  <si>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</si>
  <si>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</si>
  <si>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</si>
  <si>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</si>
  <si>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</si>
  <si>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</si>
  <si>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</si>
  <si>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</si>
  <si>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</si>
  <si>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</si>
  <si>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</si>
  <si>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</si>
  <si>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</si>
  <si>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</si>
  <si>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</si>
  <si>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</si>
  <si>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</si>
  <si>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</si>
  <si>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</si>
  <si>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</si>
  <si>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</si>
  <si>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</si>
  <si>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</si>
  <si>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</si>
  <si>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</si>
  <si>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</si>
  <si>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</si>
  <si>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</si>
  <si>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</si>
  <si>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</si>
  <si>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</si>
  <si>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</si>
  <si>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</si>
  <si>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</si>
  <si>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</si>
  <si>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</si>
  <si>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</si>
  <si>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</si>
  <si>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</si>
  <si>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</si>
  <si>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</si>
  <si>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</si>
  <si>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</si>
  <si>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</si>
  <si>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</si>
  <si>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</si>
  <si>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</si>
  <si>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</si>
  <si>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</si>
  <si>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</si>
  <si>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</si>
  <si>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</si>
  <si>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</si>
  <si>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</si>
  <si>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</si>
  <si>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</si>
  <si>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</si>
  <si>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</si>
  <si>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</si>
  <si>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</si>
  <si>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</si>
  <si>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</si>
  <si>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</si>
  <si>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</si>
  <si>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</si>
  <si>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</si>
  <si>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</si>
  <si>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</si>
  <si>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</si>
  <si>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</si>
  <si>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</si>
  <si>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</si>
  <si>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</si>
  <si>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</si>
  <si>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</si>
  <si>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</si>
  <si>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</si>
  <si>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</si>
  <si>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</si>
  <si>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</si>
  <si>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</si>
  <si>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</si>
  <si>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</si>
  <si>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</si>
  <si>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</si>
  <si>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</si>
  <si>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</si>
  <si>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</si>
  <si>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</si>
  <si>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</si>
  <si>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</si>
  <si>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</si>
  <si>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</si>
  <si>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</si>
  <si>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</si>
  <si>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</si>
  <si>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</si>
  <si>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</si>
  <si>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</si>
  <si>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</si>
  <si>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</si>
  <si>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</si>
  <si>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</si>
  <si>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</si>
  <si>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</si>
  <si>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</si>
  <si>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</si>
  <si>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</si>
  <si>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</si>
  <si>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</si>
  <si>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</si>
  <si>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</si>
  <si>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</si>
  <si>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</si>
  <si>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</si>
  <si>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</si>
  <si>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</si>
  <si>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</si>
  <si>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</si>
  <si>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</si>
  <si>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</si>
  <si>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</si>
  <si>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</si>
  <si>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</si>
  <si>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</si>
  <si>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</si>
  <si>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</si>
  <si>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</si>
  <si>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</si>
  <si>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</si>
  <si>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</si>
  <si>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</si>
  <si>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</si>
  <si>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</si>
  <si>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</si>
  <si>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</si>
  <si>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</si>
  <si>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</si>
  <si>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</si>
  <si>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</si>
  <si>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</si>
  <si>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</si>
  <si>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</si>
  <si>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</si>
  <si>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</si>
  <si>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</si>
  <si>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</si>
  <si>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</si>
  <si>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</si>
  <si>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</si>
  <si>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</si>
  <si>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</si>
  <si>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</si>
  <si>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</si>
  <si>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</si>
  <si>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</si>
  <si>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</si>
  <si>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</si>
  <si>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</si>
  <si>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</si>
  <si>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</si>
  <si>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</si>
  <si>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</si>
  <si>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</si>
  <si>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</si>
  <si>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</si>
  <si>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</si>
  <si>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</si>
  <si>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</si>
  <si>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</si>
  <si>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</si>
  <si>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</si>
  <si>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</si>
  <si>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</si>
  <si>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</si>
  <si>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</si>
  <si>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</si>
  <si>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</si>
  <si>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</si>
  <si>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</si>
  <si>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</si>
  <si>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</si>
  <si>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</si>
  <si>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</si>
  <si>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</si>
  <si>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</si>
  <si>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</si>
  <si>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</si>
  <si>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</si>
  <si>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</si>
  <si>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</si>
  <si>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</si>
  <si>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</si>
  <si>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</si>
  <si>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</si>
  <si>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</si>
  <si>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</si>
  <si>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</si>
  <si>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</si>
  <si>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</si>
  <si>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</si>
  <si>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</si>
  <si>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</si>
  <si>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</si>
  <si>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</si>
  <si>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</si>
  <si>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</si>
  <si>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</si>
  <si>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</si>
  <si>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</si>
  <si>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</si>
  <si>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</si>
  <si>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</si>
  <si>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</si>
  <si>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</si>
  <si>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</si>
  <si>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</si>
  <si>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</si>
  <si>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</si>
  <si>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</si>
  <si>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</si>
  <si>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</si>
  <si>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</si>
  <si>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</si>
  <si>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</si>
  <si>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</si>
  <si>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</si>
  <si>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</si>
  <si>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</si>
  <si>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</si>
  <si>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</si>
  <si>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</si>
  <si>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</si>
  <si>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</si>
  <si>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</si>
  <si>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</si>
  <si>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</si>
  <si>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</si>
  <si>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</si>
  <si>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</si>
  <si>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</si>
  <si>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</si>
  <si>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</si>
  <si>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</si>
  <si>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</si>
  <si>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</si>
  <si>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</si>
  <si>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</si>
  <si>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</si>
  <si>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</si>
  <si>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</si>
  <si>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</si>
  <si>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</si>
  <si>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</si>
  <si>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</si>
  <si>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</si>
  <si>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</si>
  <si>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</si>
  <si>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</si>
  <si>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</si>
  <si>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</si>
  <si>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</si>
  <si>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</si>
  <si>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</si>
  <si>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</si>
  <si>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</si>
  <si>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</si>
  <si>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</si>
  <si>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</si>
  <si>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</si>
  <si>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</si>
  <si>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</si>
  <si>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</si>
  <si>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</si>
  <si>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</si>
  <si>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</si>
  <si>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</si>
  <si>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</si>
  <si>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</si>
  <si>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</si>
  <si>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</si>
  <si>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</si>
  <si>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</si>
  <si>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</si>
  <si>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</si>
  <si>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</si>
  <si>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</si>
  <si>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</si>
  <si>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</si>
  <si>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</si>
  <si>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</si>
  <si>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</si>
  <si>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</si>
  <si>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</si>
  <si>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</si>
  <si>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</si>
  <si>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</si>
  <si>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</si>
  <si>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</si>
  <si>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</si>
  <si>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</si>
  <si>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</si>
  <si>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</si>
  <si>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</si>
  <si>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</si>
  <si>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</si>
  <si>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</si>
  <si>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</si>
  <si>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</si>
  <si>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</si>
  <si>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</si>
  <si>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</si>
  <si>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</si>
  <si>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</si>
  <si>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</si>
  <si>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</si>
  <si>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</si>
  <si>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</si>
  <si>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</si>
  <si>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</si>
  <si>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</si>
  <si>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</si>
  <si>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</si>
  <si>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</si>
  <si>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</si>
  <si>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</si>
  <si>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</si>
  <si>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</si>
  <si>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</si>
  <si>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</si>
  <si>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</si>
  <si>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</si>
  <si>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</si>
  <si>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</si>
  <si>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</si>
  <si>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</si>
  <si>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</si>
  <si>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</si>
  <si>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</si>
  <si>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</si>
  <si>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</si>
  <si>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</si>
  <si>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</si>
  <si>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</si>
  <si>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</si>
  <si>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</si>
  <si>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</si>
  <si>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</si>
  <si>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</si>
  <si>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</si>
  <si>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</si>
  <si>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</si>
  <si>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</si>
  <si>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</si>
  <si>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</si>
  <si>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</si>
  <si>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</si>
  <si>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</si>
  <si>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</si>
  <si>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</si>
  <si>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</si>
  <si>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</si>
  <si>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</si>
  <si>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</si>
  <si>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</si>
  <si>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</si>
  <si>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</si>
  <si>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</si>
  <si>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</si>
  <si>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</si>
  <si>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</si>
  <si>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</si>
  <si>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</si>
  <si>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</si>
  <si>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</si>
  <si>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</si>
  <si>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</si>
  <si>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</si>
  <si>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</si>
  <si>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</si>
  <si>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</si>
  <si>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</si>
  <si>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</si>
  <si>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</si>
  <si>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</si>
  <si>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</si>
  <si>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</si>
  <si>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</si>
  <si>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</si>
  <si>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</si>
  <si>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</si>
  <si>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</si>
  <si>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</si>
  <si>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</si>
  <si>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</si>
  <si>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</si>
  <si>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</si>
  <si>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</si>
  <si>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</si>
  <si>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</si>
  <si>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</si>
  <si>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</si>
  <si>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</si>
  <si>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</si>
  <si>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</si>
  <si>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</si>
  <si>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</si>
  <si>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</si>
  <si>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</si>
  <si>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</si>
  <si>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</si>
  <si>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</si>
  <si>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</si>
  <si>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</si>
  <si>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</si>
  <si>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</si>
  <si>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</si>
  <si>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</si>
  <si>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</si>
  <si>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</si>
  <si>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</si>
  <si>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</si>
  <si>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</si>
  <si>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</si>
  <si>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</si>
  <si>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</si>
  <si>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</si>
  <si>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</si>
  <si>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</si>
  <si>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</si>
  <si>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</si>
  <si>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</si>
  <si>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</si>
  <si>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</si>
  <si>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</si>
  <si>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</si>
  <si>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</si>
  <si>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</si>
  <si>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</si>
  <si>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</si>
  <si>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</si>
  <si>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</si>
  <si>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</si>
  <si>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</si>
  <si>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</si>
  <si>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</si>
  <si>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</si>
  <si>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</si>
  <si>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</si>
  <si>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</si>
  <si>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</si>
  <si>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</si>
  <si>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</si>
  <si>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</si>
  <si>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</si>
  <si>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</si>
  <si>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</si>
  <si>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</si>
  <si>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</si>
  <si>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</si>
  <si>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</si>
  <si>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</si>
  <si>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</si>
  <si>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</si>
  <si>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</si>
  <si>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</si>
  <si>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</si>
  <si>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</si>
  <si>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</si>
  <si>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</si>
  <si>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</si>
  <si>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</si>
  <si>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</si>
  <si>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</si>
  <si>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</si>
  <si>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</si>
  <si>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</si>
  <si>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</si>
  <si>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</si>
  <si>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</si>
  <si>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</si>
  <si>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</si>
  <si>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</si>
  <si>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</si>
  <si>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</si>
  <si>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</si>
  <si>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</si>
  <si>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</si>
  <si>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</si>
  <si>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</si>
  <si>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</si>
  <si>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</si>
  <si>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</si>
  <si>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</si>
  <si>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13002</t>
  </si>
  <si>
    <t>BAARLE-HERTOG</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</si>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</sst>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27796.936568988553</c:v>
                </c:pt>
                <c:pt idx="1">
                  <c:v>3802.7205969909496</c:v>
                </c:pt>
                <c:pt idx="2">
                  <c:v>171.797</c:v>
                </c:pt>
                <c:pt idx="3">
                  <c:v>4531.8125870274389</c:v>
                </c:pt>
                <c:pt idx="4">
                  <c:v>619.27812577125781</c:v>
                </c:pt>
                <c:pt idx="5">
                  <c:v>6394.3978187184457</c:v>
                </c:pt>
                <c:pt idx="6">
                  <c:v>93.405403294844518</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27796.936568988553</c:v>
                </c:pt>
                <c:pt idx="1">
                  <c:v>3802.7205969909496</c:v>
                </c:pt>
                <c:pt idx="2">
                  <c:v>171.797</c:v>
                </c:pt>
                <c:pt idx="3">
                  <c:v>4531.8125870274389</c:v>
                </c:pt>
                <c:pt idx="4">
                  <c:v>619.27812577125781</c:v>
                </c:pt>
                <c:pt idx="5">
                  <c:v>6394.3978187184457</c:v>
                </c:pt>
                <c:pt idx="6">
                  <c:v>93.405403294844518</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5582.9253468015813</c:v>
                </c:pt>
                <c:pt idx="2">
                  <c:v>782.12588952309841</c:v>
                </c:pt>
                <c:pt idx="3">
                  <c:v>35.22395324891837</c:v>
                </c:pt>
                <c:pt idx="4">
                  <c:v>1100.4780582881492</c:v>
                </c:pt>
                <c:pt idx="5">
                  <c:v>122.31830005012654</c:v>
                </c:pt>
                <c:pt idx="6">
                  <c:v>1603.1799094684131</c:v>
                </c:pt>
                <c:pt idx="7">
                  <c:v>23.593759362787701</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36512"/>
        <c:axId val="182399744"/>
      </c:barChart>
      <c:catAx>
        <c:axId val="182336512"/>
        <c:scaling>
          <c:orientation val="minMax"/>
        </c:scaling>
        <c:axPos val="b"/>
        <c:numFmt formatCode="General" sourceLinked="0"/>
        <c:tickLblPos val="nextTo"/>
        <c:crossAx val="182399744"/>
        <c:crosses val="autoZero"/>
        <c:auto val="1"/>
        <c:lblAlgn val="ctr"/>
        <c:lblOffset val="100"/>
      </c:catAx>
      <c:valAx>
        <c:axId val="182399744"/>
        <c:scaling>
          <c:orientation val="minMax"/>
        </c:scaling>
        <c:axPos val="l"/>
        <c:majorGridlines/>
        <c:numFmt formatCode="#,##0" sourceLinked="1"/>
        <c:tickLblPos val="nextTo"/>
        <c:crossAx val="1823365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5582.9253468015813</c:v>
                </c:pt>
                <c:pt idx="2">
                  <c:v>782.12588952309841</c:v>
                </c:pt>
                <c:pt idx="3">
                  <c:v>35.22395324891837</c:v>
                </c:pt>
                <c:pt idx="4">
                  <c:v>1100.4780582881492</c:v>
                </c:pt>
                <c:pt idx="5">
                  <c:v>122.31830005012654</c:v>
                </c:pt>
                <c:pt idx="6">
                  <c:v>1603.1799094684131</c:v>
                </c:pt>
                <c:pt idx="7">
                  <c:v>23.593759362787701</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13002</v>
      </c>
      <c r="B6" s="416"/>
      <c r="C6" s="417"/>
    </row>
    <row r="7" spans="1:7" s="414" customFormat="1" ht="15.75" customHeight="1">
      <c r="A7" s="418" t="str">
        <f>txtMunicipality</f>
        <v>BAARLE-HERTOG</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0.20503241179367723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0.20503241179367723</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13002</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1064</v>
      </c>
      <c r="C9" s="342">
        <v>1027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460</v>
      </c>
    </row>
    <row r="15" spans="1:6">
      <c r="A15" s="348" t="s">
        <v>184</v>
      </c>
      <c r="B15" s="334">
        <v>260</v>
      </c>
    </row>
    <row r="16" spans="1:6">
      <c r="A16" s="348" t="s">
        <v>6</v>
      </c>
      <c r="B16" s="334">
        <v>662</v>
      </c>
    </row>
    <row r="17" spans="1:6">
      <c r="A17" s="348" t="s">
        <v>7</v>
      </c>
      <c r="B17" s="334">
        <v>29</v>
      </c>
    </row>
    <row r="18" spans="1:6">
      <c r="A18" s="348" t="s">
        <v>8</v>
      </c>
      <c r="B18" s="334">
        <v>352</v>
      </c>
    </row>
    <row r="19" spans="1:6">
      <c r="A19" s="348" t="s">
        <v>9</v>
      </c>
      <c r="B19" s="334">
        <v>376</v>
      </c>
    </row>
    <row r="20" spans="1:6">
      <c r="A20" s="348" t="s">
        <v>10</v>
      </c>
      <c r="B20" s="334">
        <v>176</v>
      </c>
    </row>
    <row r="21" spans="1:6">
      <c r="A21" s="348" t="s">
        <v>11</v>
      </c>
      <c r="B21" s="334">
        <v>1861</v>
      </c>
    </row>
    <row r="22" spans="1:6">
      <c r="A22" s="348" t="s">
        <v>12</v>
      </c>
      <c r="B22" s="334">
        <v>9524</v>
      </c>
    </row>
    <row r="23" spans="1:6">
      <c r="A23" s="348" t="s">
        <v>13</v>
      </c>
      <c r="B23" s="334">
        <v>78</v>
      </c>
    </row>
    <row r="24" spans="1:6">
      <c r="A24" s="348" t="s">
        <v>14</v>
      </c>
      <c r="B24" s="334">
        <v>5</v>
      </c>
    </row>
    <row r="25" spans="1:6">
      <c r="A25" s="348" t="s">
        <v>15</v>
      </c>
      <c r="B25" s="334">
        <v>508</v>
      </c>
    </row>
    <row r="26" spans="1:6">
      <c r="A26" s="348" t="s">
        <v>16</v>
      </c>
      <c r="B26" s="334">
        <v>0</v>
      </c>
    </row>
    <row r="27" spans="1:6">
      <c r="A27" s="348" t="s">
        <v>17</v>
      </c>
      <c r="B27" s="334">
        <v>0</v>
      </c>
    </row>
    <row r="28" spans="1:6" s="356" customFormat="1">
      <c r="A28" s="355" t="s">
        <v>18</v>
      </c>
      <c r="B28" s="355">
        <v>86212</v>
      </c>
    </row>
    <row r="29" spans="1:6">
      <c r="A29" s="355" t="s">
        <v>901</v>
      </c>
      <c r="B29" s="355">
        <v>9</v>
      </c>
      <c r="C29" s="356"/>
      <c r="D29" s="356"/>
      <c r="E29" s="356"/>
      <c r="F29" s="356"/>
    </row>
    <row r="30" spans="1:6">
      <c r="A30" s="341" t="s">
        <v>902</v>
      </c>
      <c r="B30" s="341">
        <v>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30293.11</v>
      </c>
    </row>
    <row r="39" spans="1:6">
      <c r="A39" s="348" t="s">
        <v>30</v>
      </c>
      <c r="B39" s="348" t="s">
        <v>31</v>
      </c>
      <c r="C39" s="334">
        <v>1130</v>
      </c>
      <c r="D39" s="334">
        <v>25174429.316146739</v>
      </c>
      <c r="E39" s="334">
        <v>1067</v>
      </c>
      <c r="F39" s="334">
        <v>4441965</v>
      </c>
    </row>
    <row r="40" spans="1:6">
      <c r="A40" s="348" t="s">
        <v>30</v>
      </c>
      <c r="B40" s="348" t="s">
        <v>29</v>
      </c>
      <c r="C40" s="334">
        <v>0</v>
      </c>
      <c r="D40" s="334">
        <v>0</v>
      </c>
      <c r="E40" s="334">
        <v>0</v>
      </c>
      <c r="F40" s="334">
        <v>0</v>
      </c>
    </row>
    <row r="41" spans="1:6">
      <c r="A41" s="348" t="s">
        <v>32</v>
      </c>
      <c r="B41" s="348" t="s">
        <v>33</v>
      </c>
      <c r="C41" s="334">
        <v>0</v>
      </c>
      <c r="D41" s="334">
        <v>0</v>
      </c>
      <c r="E41" s="334">
        <v>19</v>
      </c>
      <c r="F41" s="334">
        <v>85192.06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76258.02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12</v>
      </c>
      <c r="F48" s="334">
        <v>212085.7</v>
      </c>
    </row>
    <row r="49" spans="1:6">
      <c r="A49" s="348" t="s">
        <v>32</v>
      </c>
      <c r="B49" s="348" t="s">
        <v>40</v>
      </c>
      <c r="C49" s="334">
        <v>0</v>
      </c>
      <c r="D49" s="334">
        <v>0</v>
      </c>
      <c r="E49" s="334">
        <v>0</v>
      </c>
      <c r="F49" s="334">
        <v>0</v>
      </c>
    </row>
    <row r="50" spans="1:6">
      <c r="A50" s="348" t="s">
        <v>32</v>
      </c>
      <c r="B50" s="348" t="s">
        <v>41</v>
      </c>
      <c r="C50" s="334">
        <v>0</v>
      </c>
      <c r="D50" s="334">
        <v>0</v>
      </c>
      <c r="E50" s="334">
        <v>0</v>
      </c>
      <c r="F50" s="334">
        <v>0</v>
      </c>
    </row>
    <row r="51" spans="1:6">
      <c r="A51" s="348" t="s">
        <v>42</v>
      </c>
      <c r="B51" s="348" t="s">
        <v>43</v>
      </c>
      <c r="C51" s="334">
        <v>0</v>
      </c>
      <c r="D51" s="334">
        <v>0</v>
      </c>
      <c r="E51" s="334">
        <v>45</v>
      </c>
      <c r="F51" s="334">
        <v>882881.7</v>
      </c>
    </row>
    <row r="52" spans="1:6">
      <c r="A52" s="348" t="s">
        <v>42</v>
      </c>
      <c r="B52" s="348" t="s">
        <v>29</v>
      </c>
      <c r="C52" s="334">
        <v>7</v>
      </c>
      <c r="D52" s="334">
        <v>1060242.10954644</v>
      </c>
      <c r="E52" s="334">
        <v>4</v>
      </c>
      <c r="F52" s="334">
        <v>83524.3</v>
      </c>
    </row>
    <row r="53" spans="1:6">
      <c r="A53" s="348" t="s">
        <v>44</v>
      </c>
      <c r="B53" s="348" t="s">
        <v>45</v>
      </c>
      <c r="C53" s="334">
        <v>2</v>
      </c>
      <c r="D53" s="334">
        <v>38757.526345840597</v>
      </c>
      <c r="E53" s="334">
        <v>82</v>
      </c>
      <c r="F53" s="334">
        <v>488448.7</v>
      </c>
    </row>
    <row r="54" spans="1:6">
      <c r="A54" s="348" t="s">
        <v>46</v>
      </c>
      <c r="B54" s="348" t="s">
        <v>47</v>
      </c>
      <c r="C54" s="334">
        <v>0</v>
      </c>
      <c r="D54" s="334">
        <v>0</v>
      </c>
      <c r="E54" s="334">
        <v>1</v>
      </c>
      <c r="F54" s="334">
        <v>171797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0</v>
      </c>
      <c r="D57" s="334">
        <v>0</v>
      </c>
      <c r="E57" s="334">
        <v>7</v>
      </c>
      <c r="F57" s="334">
        <v>41552.1</v>
      </c>
    </row>
    <row r="58" spans="1:6">
      <c r="A58" s="348" t="s">
        <v>49</v>
      </c>
      <c r="B58" s="348" t="s">
        <v>51</v>
      </c>
      <c r="C58" s="334">
        <v>0</v>
      </c>
      <c r="D58" s="334">
        <v>0</v>
      </c>
      <c r="E58" s="334">
        <v>0</v>
      </c>
      <c r="F58" s="334">
        <v>0</v>
      </c>
    </row>
    <row r="59" spans="1:6">
      <c r="A59" s="348" t="s">
        <v>49</v>
      </c>
      <c r="B59" s="348" t="s">
        <v>52</v>
      </c>
      <c r="C59" s="334">
        <v>0</v>
      </c>
      <c r="D59" s="334">
        <v>0</v>
      </c>
      <c r="E59" s="334">
        <v>51</v>
      </c>
      <c r="F59" s="334">
        <v>1487387</v>
      </c>
    </row>
    <row r="60" spans="1:6">
      <c r="A60" s="348" t="s">
        <v>49</v>
      </c>
      <c r="B60" s="348" t="s">
        <v>53</v>
      </c>
      <c r="C60" s="334">
        <v>0</v>
      </c>
      <c r="D60" s="334">
        <v>0</v>
      </c>
      <c r="E60" s="334">
        <v>21</v>
      </c>
      <c r="F60" s="334">
        <v>475602.4</v>
      </c>
    </row>
    <row r="61" spans="1:6">
      <c r="A61" s="348" t="s">
        <v>49</v>
      </c>
      <c r="B61" s="348" t="s">
        <v>54</v>
      </c>
      <c r="C61" s="334">
        <v>0</v>
      </c>
      <c r="D61" s="334">
        <v>0</v>
      </c>
      <c r="E61" s="334">
        <v>20</v>
      </c>
      <c r="F61" s="334">
        <v>143289.9</v>
      </c>
    </row>
    <row r="62" spans="1:6">
      <c r="A62" s="348" t="s">
        <v>49</v>
      </c>
      <c r="B62" s="348" t="s">
        <v>55</v>
      </c>
      <c r="C62" s="334">
        <v>0</v>
      </c>
      <c r="D62" s="334">
        <v>0</v>
      </c>
      <c r="E62" s="334">
        <v>5</v>
      </c>
      <c r="F62" s="334">
        <v>70608.649999999994</v>
      </c>
    </row>
    <row r="63" spans="1:6">
      <c r="A63" s="348" t="s">
        <v>49</v>
      </c>
      <c r="B63" s="348" t="s">
        <v>29</v>
      </c>
      <c r="C63" s="334">
        <v>8</v>
      </c>
      <c r="D63" s="334">
        <v>282673.475996644</v>
      </c>
      <c r="E63" s="334">
        <v>40</v>
      </c>
      <c r="F63" s="334">
        <v>718352.8</v>
      </c>
    </row>
    <row r="64" spans="1:6">
      <c r="A64" s="348" t="s">
        <v>56</v>
      </c>
      <c r="B64" s="348" t="s">
        <v>57</v>
      </c>
      <c r="C64" s="334">
        <v>0</v>
      </c>
      <c r="D64" s="334">
        <v>0</v>
      </c>
      <c r="E64" s="334">
        <v>0</v>
      </c>
      <c r="F64" s="334">
        <v>0</v>
      </c>
    </row>
    <row r="65" spans="1:6">
      <c r="A65" s="348" t="s">
        <v>56</v>
      </c>
      <c r="B65" s="348" t="s">
        <v>29</v>
      </c>
      <c r="C65" s="334">
        <v>0</v>
      </c>
      <c r="D65" s="334">
        <v>0</v>
      </c>
      <c r="E65" s="334">
        <v>1</v>
      </c>
      <c r="F65" s="334">
        <v>13306.82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4548151</v>
      </c>
      <c r="E73" s="476">
        <v>4715516.6055657417</v>
      </c>
    </row>
    <row r="74" spans="1:6">
      <c r="A74" s="348" t="s">
        <v>64</v>
      </c>
      <c r="B74" s="348" t="s">
        <v>714</v>
      </c>
      <c r="C74" s="1311" t="s">
        <v>716</v>
      </c>
      <c r="D74" s="476">
        <v>742213.92311393865</v>
      </c>
      <c r="E74" s="476">
        <v>778183.73128980328</v>
      </c>
    </row>
    <row r="75" spans="1:6">
      <c r="A75" s="348" t="s">
        <v>65</v>
      </c>
      <c r="B75" s="348" t="s">
        <v>713</v>
      </c>
      <c r="C75" s="1311" t="s">
        <v>717</v>
      </c>
      <c r="D75" s="476">
        <v>1760007</v>
      </c>
      <c r="E75" s="476">
        <v>1824774.3049567107</v>
      </c>
    </row>
    <row r="76" spans="1:6">
      <c r="A76" s="348" t="s">
        <v>65</v>
      </c>
      <c r="B76" s="348" t="s">
        <v>714</v>
      </c>
      <c r="C76" s="1311" t="s">
        <v>718</v>
      </c>
      <c r="D76" s="476">
        <v>33523.923113938705</v>
      </c>
      <c r="E76" s="476">
        <v>35872.797929549801</v>
      </c>
    </row>
    <row r="77" spans="1:6">
      <c r="A77" s="348" t="s">
        <v>66</v>
      </c>
      <c r="B77" s="348" t="s">
        <v>713</v>
      </c>
      <c r="C77" s="1311" t="s">
        <v>719</v>
      </c>
      <c r="D77" s="476">
        <v>0</v>
      </c>
      <c r="E77" s="476">
        <v>0</v>
      </c>
    </row>
    <row r="78" spans="1:6">
      <c r="A78" s="341" t="s">
        <v>66</v>
      </c>
      <c r="B78" s="341" t="s">
        <v>714</v>
      </c>
      <c r="C78" s="341" t="s">
        <v>720</v>
      </c>
      <c r="D78" s="1307">
        <v>0</v>
      </c>
      <c r="E78" s="1307">
        <v>0</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24960.153772122594</v>
      </c>
      <c r="C83" s="476">
        <v>24677.35314581991</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0</v>
      </c>
    </row>
    <row r="91" spans="1:6">
      <c r="A91" s="348" t="s">
        <v>68</v>
      </c>
      <c r="B91" s="334">
        <v>416.0163258241962</v>
      </c>
    </row>
    <row r="92" spans="1:6">
      <c r="A92" s="341" t="s">
        <v>69</v>
      </c>
      <c r="B92" s="342">
        <v>291.74710892414646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675</v>
      </c>
    </row>
    <row r="98" spans="1:6">
      <c r="A98" s="348" t="s">
        <v>72</v>
      </c>
      <c r="B98" s="334">
        <v>1</v>
      </c>
    </row>
    <row r="99" spans="1:6">
      <c r="A99" s="348" t="s">
        <v>73</v>
      </c>
      <c r="B99" s="334">
        <v>5</v>
      </c>
    </row>
    <row r="100" spans="1:6">
      <c r="A100" s="348" t="s">
        <v>74</v>
      </c>
      <c r="B100" s="334">
        <v>23</v>
      </c>
    </row>
    <row r="101" spans="1:6">
      <c r="A101" s="348" t="s">
        <v>75</v>
      </c>
      <c r="B101" s="334">
        <v>24</v>
      </c>
    </row>
    <row r="102" spans="1:6">
      <c r="A102" s="348" t="s">
        <v>76</v>
      </c>
      <c r="B102" s="334">
        <v>17</v>
      </c>
    </row>
    <row r="103" spans="1:6">
      <c r="A103" s="348" t="s">
        <v>77</v>
      </c>
      <c r="B103" s="334">
        <v>16</v>
      </c>
    </row>
    <row r="104" spans="1:6">
      <c r="A104" s="348" t="s">
        <v>78</v>
      </c>
      <c r="B104" s="334">
        <v>95</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v>
      </c>
      <c r="C123" s="334">
        <v>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v>
      </c>
    </row>
    <row r="130" spans="1:6">
      <c r="A130" s="348" t="s">
        <v>295</v>
      </c>
      <c r="B130" s="334">
        <v>0</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9795.8262110897213</v>
      </c>
      <c r="C3" s="43" t="s">
        <v>170</v>
      </c>
      <c r="D3" s="43"/>
      <c r="E3" s="154"/>
      <c r="F3" s="43"/>
      <c r="G3" s="43"/>
      <c r="H3" s="43"/>
      <c r="I3" s="43"/>
      <c r="J3" s="43"/>
      <c r="K3" s="96"/>
    </row>
    <row r="4" spans="1:11">
      <c r="A4" s="384" t="s">
        <v>171</v>
      </c>
      <c r="B4" s="49">
        <f>IF(ISERROR('SEAP template'!B78+'SEAP template'!C78),0,'SEAP template'!B78+'SEAP template'!C78)</f>
        <v>707.76343474834266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0.20503241179367723</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171.797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171.797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0.20503241179367723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35.22395324891837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4441.9650000000001</v>
      </c>
      <c r="C5" s="17">
        <f>IF(ISERROR('Eigen informatie GS &amp; warmtenet'!B57),0,'Eigen informatie GS &amp; warmtenet'!B57)</f>
        <v>0</v>
      </c>
      <c r="D5" s="30">
        <f>(SUM(HH_hh_gas_kWh,HH_rest_gas_kWh)/1000)*0.902</f>
        <v>22707.335243164358</v>
      </c>
      <c r="E5" s="17">
        <f>B46*B57</f>
        <v>0</v>
      </c>
      <c r="F5" s="17">
        <f>B51*B62</f>
        <v>0</v>
      </c>
      <c r="G5" s="18"/>
      <c r="H5" s="17"/>
      <c r="I5" s="17"/>
      <c r="J5" s="17">
        <f>B50*B61+C50*C61</f>
        <v>0</v>
      </c>
      <c r="K5" s="17"/>
      <c r="L5" s="17"/>
      <c r="M5" s="17"/>
      <c r="N5" s="17">
        <f>B48*B59+C48*C59</f>
        <v>0</v>
      </c>
      <c r="O5" s="17">
        <f>B69*B70*B71</f>
        <v>21.88666666666667</v>
      </c>
      <c r="P5" s="17">
        <f>B77*B78*B79/1000-B77*B78*B79/1000/B80</f>
        <v>209.73333333333335</v>
      </c>
    </row>
    <row r="6" spans="1:16">
      <c r="A6" s="16" t="s">
        <v>631</v>
      </c>
      <c r="B6" s="789">
        <f>kWh_PV_kleiner_dan_10kW</f>
        <v>416.0163258241962</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4857.9813258241966</v>
      </c>
      <c r="C8" s="21">
        <f>C5</f>
        <v>0</v>
      </c>
      <c r="D8" s="21">
        <f>D5</f>
        <v>22707.335243164358</v>
      </c>
      <c r="E8" s="21">
        <f>E5</f>
        <v>0</v>
      </c>
      <c r="F8" s="21">
        <f>F5</f>
        <v>0</v>
      </c>
      <c r="G8" s="21"/>
      <c r="H8" s="21"/>
      <c r="I8" s="21"/>
      <c r="J8" s="21">
        <f>J5</f>
        <v>0</v>
      </c>
      <c r="K8" s="21"/>
      <c r="L8" s="21">
        <f>L5</f>
        <v>0</v>
      </c>
      <c r="M8" s="21">
        <f>M5</f>
        <v>0</v>
      </c>
      <c r="N8" s="21">
        <f>N5</f>
        <v>0</v>
      </c>
      <c r="O8" s="21">
        <f>O5</f>
        <v>21.88666666666667</v>
      </c>
      <c r="P8" s="21">
        <f>P5</f>
        <v>209.73333333333335</v>
      </c>
    </row>
    <row r="9" spans="1:16">
      <c r="B9" s="19"/>
      <c r="C9" s="19"/>
      <c r="D9" s="258"/>
      <c r="E9" s="19"/>
      <c r="F9" s="19"/>
      <c r="G9" s="19"/>
      <c r="H9" s="19"/>
      <c r="I9" s="19"/>
      <c r="J9" s="19"/>
      <c r="K9" s="19"/>
      <c r="L9" s="19"/>
      <c r="M9" s="19"/>
      <c r="N9" s="19"/>
      <c r="O9" s="19"/>
      <c r="P9" s="19"/>
    </row>
    <row r="10" spans="1:16">
      <c r="A10" s="24" t="s">
        <v>214</v>
      </c>
      <c r="B10" s="25">
        <f ca="1">'EF ele_warmte'!B12</f>
        <v>0.20503241179367723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996.04362768238082</v>
      </c>
      <c r="C12" s="23">
        <f ca="1">C10*C8</f>
        <v>0</v>
      </c>
      <c r="D12" s="23">
        <f>D8*D10</f>
        <v>4586.8817191192002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675</v>
      </c>
      <c r="C18" s="166" t="s">
        <v>111</v>
      </c>
      <c r="D18" s="228"/>
      <c r="E18" s="15"/>
    </row>
    <row r="19" spans="1:7">
      <c r="A19" s="171" t="s">
        <v>72</v>
      </c>
      <c r="B19" s="37">
        <f>aantalw2001_ander</f>
        <v>1</v>
      </c>
      <c r="C19" s="166" t="s">
        <v>111</v>
      </c>
      <c r="D19" s="229"/>
      <c r="E19" s="15"/>
    </row>
    <row r="20" spans="1:7">
      <c r="A20" s="171" t="s">
        <v>73</v>
      </c>
      <c r="B20" s="37">
        <f>aantalw2001_propaan</f>
        <v>5</v>
      </c>
      <c r="C20" s="167">
        <f>IF(ISERROR(B20/SUM($B$20,$B$21,$B$22)*100),0,B20/SUM($B$20,$B$21,$B$22)*100)</f>
        <v>9.6153846153846168</v>
      </c>
      <c r="D20" s="229"/>
      <c r="E20" s="15"/>
    </row>
    <row r="21" spans="1:7">
      <c r="A21" s="171" t="s">
        <v>74</v>
      </c>
      <c r="B21" s="37">
        <f>aantalw2001_elektriciteit</f>
        <v>23</v>
      </c>
      <c r="C21" s="167">
        <f>IF(ISERROR(B21/SUM($B$20,$B$21,$B$22)*100),0,B21/SUM($B$20,$B$21,$B$22)*100)</f>
        <v>44.230769230769226</v>
      </c>
      <c r="D21" s="229"/>
      <c r="E21" s="15"/>
    </row>
    <row r="22" spans="1:7">
      <c r="A22" s="171" t="s">
        <v>75</v>
      </c>
      <c r="B22" s="37">
        <f>aantalw2001_hout</f>
        <v>24</v>
      </c>
      <c r="C22" s="167">
        <f>IF(ISERROR(B22/SUM($B$20,$B$21,$B$22)*100),0,B22/SUM($B$20,$B$21,$B$22)*100)</f>
        <v>46.153846153846153</v>
      </c>
      <c r="D22" s="229"/>
      <c r="E22" s="15"/>
    </row>
    <row r="23" spans="1:7">
      <c r="A23" s="171" t="s">
        <v>76</v>
      </c>
      <c r="B23" s="37">
        <f>aantalw2001_niet_gespec</f>
        <v>17</v>
      </c>
      <c r="C23" s="166" t="s">
        <v>111</v>
      </c>
      <c r="D23" s="228"/>
      <c r="E23" s="15"/>
    </row>
    <row r="24" spans="1:7">
      <c r="A24" s="171" t="s">
        <v>77</v>
      </c>
      <c r="B24" s="37">
        <f>aantalw2001_steenkool</f>
        <v>16</v>
      </c>
      <c r="C24" s="166" t="s">
        <v>111</v>
      </c>
      <c r="D24" s="229"/>
      <c r="E24" s="15"/>
    </row>
    <row r="25" spans="1:7">
      <c r="A25" s="171" t="s">
        <v>78</v>
      </c>
      <c r="B25" s="37">
        <f>aantalw2001_stookolie</f>
        <v>95</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1064</v>
      </c>
      <c r="C28" s="36"/>
      <c r="D28" s="228"/>
    </row>
    <row r="29" spans="1:7" s="15" customFormat="1">
      <c r="A29" s="230" t="s">
        <v>741</v>
      </c>
      <c r="B29" s="37">
        <f>SUM(HH_hh_gas_aantal,HH_rest_gas_aantal)</f>
        <v>1130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1130</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1130</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14</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2936.7928500000003</v>
      </c>
      <c r="C5" s="17">
        <f>IF(ISERROR('Eigen informatie GS &amp; warmtenet'!B58),0,'Eigen informatie GS &amp; warmtenet'!B58)</f>
        <v>0</v>
      </c>
      <c r="D5" s="30">
        <f>SUM(D6:D12)</f>
        <v>254.97147534897292</v>
      </c>
      <c r="E5" s="17">
        <f>SUM(E6:E12)</f>
        <v>43.041312582342755</v>
      </c>
      <c r="F5" s="17">
        <f>SUM(F6:F12)</f>
        <v>444.62004708796633</v>
      </c>
      <c r="G5" s="18"/>
      <c r="H5" s="17"/>
      <c r="I5" s="17"/>
      <c r="J5" s="17">
        <f>SUM(J6:J12)</f>
        <v>0</v>
      </c>
      <c r="K5" s="17"/>
      <c r="L5" s="17"/>
      <c r="M5" s="17"/>
      <c r="N5" s="17">
        <f>SUM(N6:N12)</f>
        <v>104.22824530500077</v>
      </c>
      <c r="O5" s="17">
        <f>B38*B39*B40</f>
        <v>0</v>
      </c>
      <c r="P5" s="17">
        <f>B46*B47*B48/1000-B46*B47*B48/1000/B49</f>
        <v>19.066666666666666</v>
      </c>
      <c r="R5" s="32"/>
    </row>
    <row r="6" spans="1:18">
      <c r="A6" s="32" t="s">
        <v>54</v>
      </c>
      <c r="B6" s="37">
        <f>B26</f>
        <v>143.28989999999999</v>
      </c>
      <c r="C6" s="33"/>
      <c r="D6" s="37">
        <f>IF(ISERROR(TER_kantoor_gas_kWh/1000),0,TER_kantoor_gas_kWh/1000)*0.902</f>
        <v>0</v>
      </c>
      <c r="E6" s="33">
        <f>$C$26*'E Balans VL '!I12/100/3.6*1000000</f>
        <v>0.41513186390932205</v>
      </c>
      <c r="F6" s="33">
        <f>$C$26*('E Balans VL '!L12+'E Balans VL '!N12)/100/3.6*1000000</f>
        <v>16.217259758739488</v>
      </c>
      <c r="G6" s="34"/>
      <c r="H6" s="33"/>
      <c r="I6" s="33"/>
      <c r="J6" s="33">
        <f>$C$26*('E Balans VL '!D12+'E Balans VL '!E12)/100/3.6*1000000</f>
        <v>0</v>
      </c>
      <c r="K6" s="33"/>
      <c r="L6" s="33"/>
      <c r="M6" s="33"/>
      <c r="N6" s="33">
        <f>$C$26*'E Balans VL '!Y12/100/3.6*1000000</f>
        <v>1.4342263182876307</v>
      </c>
      <c r="O6" s="33"/>
      <c r="P6" s="33"/>
      <c r="R6" s="32"/>
    </row>
    <row r="7" spans="1:18">
      <c r="A7" s="32" t="s">
        <v>53</v>
      </c>
      <c r="B7" s="37">
        <f t="shared" ref="B7:B12" si="0">B27</f>
        <v>475.60240000000005</v>
      </c>
      <c r="C7" s="33"/>
      <c r="D7" s="37">
        <f>IF(ISERROR(TER_horeca_gas_kWh/1000),0,TER_horeca_gas_kWh/1000)*0.902</f>
        <v>0</v>
      </c>
      <c r="E7" s="33">
        <f>$C$27*'E Balans VL '!I9/100/3.6*1000000</f>
        <v>19.964459945156715</v>
      </c>
      <c r="F7" s="33">
        <f>$C$27*('E Balans VL '!L9+'E Balans VL '!N9)/100/3.6*1000000</f>
        <v>102.19292878579202</v>
      </c>
      <c r="G7" s="34"/>
      <c r="H7" s="33"/>
      <c r="I7" s="33"/>
      <c r="J7" s="33">
        <f>$C$27*('E Balans VL '!D9+'E Balans VL '!E9)/100/3.6*1000000</f>
        <v>0</v>
      </c>
      <c r="K7" s="33"/>
      <c r="L7" s="33"/>
      <c r="M7" s="33"/>
      <c r="N7" s="33">
        <f>$C$27*'E Balans VL '!Y9/100/3.6*1000000</f>
        <v>0.12255857918612402</v>
      </c>
      <c r="O7" s="33"/>
      <c r="P7" s="33"/>
      <c r="R7" s="32"/>
    </row>
    <row r="8" spans="1:18">
      <c r="A8" s="6" t="s">
        <v>52</v>
      </c>
      <c r="B8" s="37">
        <f t="shared" si="0"/>
        <v>1487.3869999999999</v>
      </c>
      <c r="C8" s="33"/>
      <c r="D8" s="37">
        <f>IF(ISERROR(TER_handel_gas_kWh/1000),0,TER_handel_gas_kWh/1000)*0.902</f>
        <v>0</v>
      </c>
      <c r="E8" s="33">
        <f>$C$28*'E Balans VL '!I13/100/3.6*1000000</f>
        <v>15.975774297010341</v>
      </c>
      <c r="F8" s="33">
        <f>$C$28*('E Balans VL '!L13+'E Balans VL '!N13)/100/3.6*1000000</f>
        <v>192.55452973864297</v>
      </c>
      <c r="G8" s="34"/>
      <c r="H8" s="33"/>
      <c r="I8" s="33"/>
      <c r="J8" s="33">
        <f>$C$28*('E Balans VL '!D13+'E Balans VL '!E13)/100/3.6*1000000</f>
        <v>0</v>
      </c>
      <c r="K8" s="33"/>
      <c r="L8" s="33"/>
      <c r="M8" s="33"/>
      <c r="N8" s="33">
        <f>$C$28*'E Balans VL '!Y13/100/3.6*1000000</f>
        <v>12.065764558861384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41.552099999999996</v>
      </c>
      <c r="C10" s="33"/>
      <c r="D10" s="37">
        <f>IF(ISERROR(TER_ander_gas_kWh/1000),0,TER_ander_gas_kWh/1000)*0.902</f>
        <v>0</v>
      </c>
      <c r="E10" s="33">
        <f>$C$30*'E Balans VL '!I14/100/3.6*1000000</f>
        <v>0.14240122956752105</v>
      </c>
      <c r="F10" s="33">
        <f>$C$30*('E Balans VL '!L14+'E Balans VL '!N14)/100/3.6*1000000</f>
        <v>9.2810506615528539</v>
      </c>
      <c r="G10" s="34"/>
      <c r="H10" s="33"/>
      <c r="I10" s="33"/>
      <c r="J10" s="33">
        <f>$C$30*('E Balans VL '!D14+'E Balans VL '!E14)/100/3.6*1000000</f>
        <v>0</v>
      </c>
      <c r="K10" s="33"/>
      <c r="L10" s="33"/>
      <c r="M10" s="33"/>
      <c r="N10" s="33">
        <f>$C$30*'E Balans VL '!Y14/100/3.6*1000000</f>
        <v>29.26952623468517</v>
      </c>
      <c r="O10" s="33"/>
      <c r="P10" s="33"/>
      <c r="R10" s="32"/>
    </row>
    <row r="11" spans="1:18">
      <c r="A11" s="32" t="s">
        <v>55</v>
      </c>
      <c r="B11" s="37">
        <f t="shared" si="0"/>
        <v>70.608649999999997</v>
      </c>
      <c r="C11" s="33"/>
      <c r="D11" s="37">
        <f>IF(ISERROR(TER_onderwijs_gas_kWh/1000),0,TER_onderwijs_gas_kWh/1000)*0.902</f>
        <v>0</v>
      </c>
      <c r="E11" s="33">
        <f>$C$31*'E Balans VL '!I11/100/3.6*1000000</f>
        <v>4.8809585169721767E-2</v>
      </c>
      <c r="F11" s="33">
        <f>$C$31*('E Balans VL '!L11+'E Balans VL '!N11)/100/3.6*1000000</f>
        <v>18.483293527884047</v>
      </c>
      <c r="G11" s="34"/>
      <c r="H11" s="33"/>
      <c r="I11" s="33"/>
      <c r="J11" s="33">
        <f>$C$31*('E Balans VL '!D11+'E Balans VL '!E11)/100/3.6*1000000</f>
        <v>0</v>
      </c>
      <c r="K11" s="33"/>
      <c r="L11" s="33"/>
      <c r="M11" s="33"/>
      <c r="N11" s="33">
        <f>$C$31*'E Balans VL '!Y11/100/3.6*1000000</f>
        <v>7.0284897099332777E-2</v>
      </c>
      <c r="O11" s="33"/>
      <c r="P11" s="33"/>
      <c r="R11" s="32"/>
    </row>
    <row r="12" spans="1:18">
      <c r="A12" s="32" t="s">
        <v>260</v>
      </c>
      <c r="B12" s="37">
        <f t="shared" si="0"/>
        <v>718.3528</v>
      </c>
      <c r="C12" s="33"/>
      <c r="D12" s="37">
        <f>IF(ISERROR(TER_rest_gas_kWh/1000),0,TER_rest_gas_kWh/1000)*0.902</f>
        <v>254.97147534897292</v>
      </c>
      <c r="E12" s="33">
        <f>$C$32*'E Balans VL '!I8/100/3.6*1000000</f>
        <v>6.4947356615291341</v>
      </c>
      <c r="F12" s="33">
        <f>$C$32*('E Balans VL '!L8+'E Balans VL '!N8)/100/3.6*1000000</f>
        <v>105.89098461535499</v>
      </c>
      <c r="G12" s="34"/>
      <c r="H12" s="33"/>
      <c r="I12" s="33"/>
      <c r="J12" s="33">
        <f>$C$32*('E Balans VL '!D8+'E Balans VL '!E8)/100/3.6*1000000</f>
        <v>0</v>
      </c>
      <c r="K12" s="33"/>
      <c r="L12" s="33"/>
      <c r="M12" s="33"/>
      <c r="N12" s="33">
        <f>$C$32*'E Balans VL '!Y8/100/3.6*1000000</f>
        <v>61.265884716881125</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2936.7928500000003</v>
      </c>
      <c r="C16" s="21">
        <f t="shared" ca="1" si="1"/>
        <v>0</v>
      </c>
      <c r="D16" s="21">
        <f t="shared" ca="1" si="1"/>
        <v>254.97147534897292</v>
      </c>
      <c r="E16" s="21">
        <f t="shared" si="1"/>
        <v>43.041312582342755</v>
      </c>
      <c r="F16" s="21">
        <f t="shared" ca="1" si="1"/>
        <v>444.62004708796633</v>
      </c>
      <c r="G16" s="21">
        <f t="shared" si="1"/>
        <v>0</v>
      </c>
      <c r="H16" s="21">
        <f t="shared" si="1"/>
        <v>0</v>
      </c>
      <c r="I16" s="21">
        <f t="shared" si="1"/>
        <v>0</v>
      </c>
      <c r="J16" s="21">
        <f t="shared" si="1"/>
        <v>0</v>
      </c>
      <c r="K16" s="21">
        <f t="shared" si="1"/>
        <v>0</v>
      </c>
      <c r="L16" s="21">
        <f t="shared" ca="1" si="1"/>
        <v>0</v>
      </c>
      <c r="M16" s="21">
        <f t="shared" si="1"/>
        <v>0</v>
      </c>
      <c r="N16" s="21">
        <f t="shared" ca="1" si="1"/>
        <v>104.22824530500077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0.20503241179367723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602.137720973927</v>
      </c>
      <c r="C20" s="23">
        <f t="shared" ref="C20:P20" ca="1" si="2">C16*C18</f>
        <v>0</v>
      </c>
      <c r="D20" s="23">
        <f t="shared" ca="1" si="2"/>
        <v>51.504238020492529</v>
      </c>
      <c r="E20" s="23">
        <f t="shared" si="2"/>
        <v>9.7703779561918065</v>
      </c>
      <c r="F20" s="23">
        <f t="shared" ca="1" si="2"/>
        <v>118.71355257248702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143.28989999999999</v>
      </c>
      <c r="C26" s="39">
        <f>IF(ISERROR(B26*3.6/1000000/'E Balans VL '!Z12*100),0,B26*3.6/1000000/'E Balans VL '!Z12*100)</f>
        <v>3.1475283132131062E-3</v>
      </c>
      <c r="D26" s="237" t="s">
        <v>692</v>
      </c>
      <c r="F26" s="6"/>
    </row>
    <row r="27" spans="1:18">
      <c r="A27" s="231" t="s">
        <v>53</v>
      </c>
      <c r="B27" s="33">
        <f>IF(ISERROR(TER_horeca_ele_kWh/1000),0,TER_horeca_ele_kWh/1000)</f>
        <v>475.60240000000005</v>
      </c>
      <c r="C27" s="39">
        <f>IF(ISERROR(B27*3.6/1000000/'E Balans VL '!Z9*100),0,B27*3.6/1000000/'E Balans VL '!Z9*100)</f>
        <v>3.8219393700717884E-2</v>
      </c>
      <c r="D27" s="237" t="s">
        <v>692</v>
      </c>
      <c r="F27" s="6"/>
    </row>
    <row r="28" spans="1:18">
      <c r="A28" s="171" t="s">
        <v>52</v>
      </c>
      <c r="B28" s="33">
        <f>IF(ISERROR(TER_handel_ele_kWh/1000),0,TER_handel_ele_kWh/1000)</f>
        <v>1487.3869999999999</v>
      </c>
      <c r="C28" s="39">
        <f>IF(ISERROR(B28*3.6/1000000/'E Balans VL '!Z13*100),0,B28*3.6/1000000/'E Balans VL '!Z13*100)</f>
        <v>4.3980994479624044E-2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41.552099999999996</v>
      </c>
      <c r="C30" s="39">
        <f>IF(ISERROR(B30*3.6/1000000/'E Balans VL '!Z14*100),0,B30*3.6/1000000/'E Balans VL '!Z14*100)</f>
        <v>3.1425142928934845E-3</v>
      </c>
      <c r="D30" s="237" t="s">
        <v>692</v>
      </c>
      <c r="F30" s="6"/>
    </row>
    <row r="31" spans="1:18">
      <c r="A31" s="231" t="s">
        <v>55</v>
      </c>
      <c r="B31" s="33">
        <f>IF(ISERROR(TER_onderwijs_ele_kWh/1000),0,TER_onderwijs_ele_kWh/1000)</f>
        <v>70.608649999999997</v>
      </c>
      <c r="C31" s="39">
        <f>IF(ISERROR(B31*3.6/1000000/'E Balans VL '!Z11*100),0,B31*3.6/1000000/'E Balans VL '!Z11*100)</f>
        <v>1.4656716630557912E-2</v>
      </c>
      <c r="D31" s="237" t="s">
        <v>692</v>
      </c>
    </row>
    <row r="32" spans="1:18">
      <c r="A32" s="231" t="s">
        <v>260</v>
      </c>
      <c r="B32" s="33">
        <f>IF(ISERROR(TER_rest_ele_kWh/1000),0,TER_rest_ele_kWh/1000)</f>
        <v>718.3528</v>
      </c>
      <c r="C32" s="39">
        <f>IF(ISERROR(B32*3.6/1000000/'E Balans VL '!Z8*100),0,B32*3.6/1000000/'E Balans VL '!Z8*100)</f>
        <v>6.0516997473587086E-3</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373.53578000000005</v>
      </c>
      <c r="C5" s="17">
        <f>IF(ISERROR('Eigen informatie GS &amp; warmtenet'!B59),0,'Eigen informatie GS &amp; warmtenet'!B59)</f>
        <v>0</v>
      </c>
      <c r="D5" s="30">
        <f>SUM(D6:D15)</f>
        <v>0</v>
      </c>
      <c r="E5" s="17">
        <f>SUM(E6:E15)</f>
        <v>36.122252905625487</v>
      </c>
      <c r="F5" s="17">
        <f>SUM(F6:F15)</f>
        <v>139.38812114570004</v>
      </c>
      <c r="G5" s="18"/>
      <c r="H5" s="17"/>
      <c r="I5" s="17"/>
      <c r="J5" s="17">
        <f>SUM(J6:J15)</f>
        <v>0.88976957631412523</v>
      </c>
      <c r="K5" s="17"/>
      <c r="L5" s="17"/>
      <c r="M5" s="17"/>
      <c r="N5" s="17">
        <f>SUM(N6:N15)</f>
        <v>69.342202143617982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76.258020000000002</v>
      </c>
      <c r="C8" s="33"/>
      <c r="D8" s="37">
        <f>IF( ISERROR(IND_metaal_Gas_kWH/1000),0,IND_metaal_Gas_kWH/1000)*0.902</f>
        <v>0</v>
      </c>
      <c r="E8" s="33">
        <f>C30*'E Balans VL '!I18/100/3.6*1000000</f>
        <v>1.9084713432479037</v>
      </c>
      <c r="F8" s="33">
        <f>C30*'E Balans VL '!L18/100/3.6*1000000+C30*'E Balans VL '!N18/100/3.6*1000000</f>
        <v>23.899642794899496</v>
      </c>
      <c r="G8" s="34"/>
      <c r="H8" s="33"/>
      <c r="I8" s="33"/>
      <c r="J8" s="40">
        <f>C30*'E Balans VL '!D18/100/3.6*1000000+C30*'E Balans VL '!E18/100/3.6*1000000</f>
        <v>0</v>
      </c>
      <c r="K8" s="33"/>
      <c r="L8" s="33"/>
      <c r="M8" s="33"/>
      <c r="N8" s="33">
        <f>C30*'E Balans VL '!Y18/100/3.6*1000000</f>
        <v>1.9157993692195083</v>
      </c>
      <c r="O8" s="33"/>
      <c r="P8" s="33"/>
      <c r="R8" s="32"/>
    </row>
    <row r="9" spans="1:18">
      <c r="A9" s="6" t="s">
        <v>33</v>
      </c>
      <c r="B9" s="37">
        <f t="shared" si="0"/>
        <v>85.192059999999998</v>
      </c>
      <c r="C9" s="33"/>
      <c r="D9" s="37">
        <f>IF( ISERROR(IND_andere_gas_kWh/1000),0,IND_andere_gas_kWh/1000)*0.902</f>
        <v>0</v>
      </c>
      <c r="E9" s="33">
        <f>C31*'E Balans VL '!I19/100/3.6*1000000</f>
        <v>23.424322342922917</v>
      </c>
      <c r="F9" s="33">
        <f>C31*'E Balans VL '!L19/100/3.6*1000000+C31*'E Balans VL '!N19/100/3.6*1000000</f>
        <v>67.146167762807622</v>
      </c>
      <c r="G9" s="34"/>
      <c r="H9" s="33"/>
      <c r="I9" s="33"/>
      <c r="J9" s="40">
        <f>C31*'E Balans VL '!D19/100/3.6*1000000+C31*'E Balans VL '!E19/100/3.6*1000000</f>
        <v>0</v>
      </c>
      <c r="K9" s="33"/>
      <c r="L9" s="33"/>
      <c r="M9" s="33"/>
      <c r="N9" s="33">
        <f>C31*'E Balans VL '!Y19/100/3.6*1000000</f>
        <v>27.578918516089452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212.0857</v>
      </c>
      <c r="C15" s="33"/>
      <c r="D15" s="37">
        <f>IF( ISERROR(IND_rest_gas_kWh/1000),0,IND_rest_gas_kWh/1000)*0.902</f>
        <v>0</v>
      </c>
      <c r="E15" s="33">
        <f>C37*'E Balans VL '!I15/100/3.6*1000000</f>
        <v>10.789459219454667</v>
      </c>
      <c r="F15" s="33">
        <f>C37*'E Balans VL '!L15/100/3.6*1000000+C37*'E Balans VL '!N15/100/3.6*1000000</f>
        <v>48.342310587992927</v>
      </c>
      <c r="G15" s="34"/>
      <c r="H15" s="33"/>
      <c r="I15" s="33"/>
      <c r="J15" s="40">
        <f>C37*'E Balans VL '!D15/100/3.6*1000000+C37*'E Balans VL '!E15/100/3.6*1000000</f>
        <v>0.88976957631412523</v>
      </c>
      <c r="K15" s="33"/>
      <c r="L15" s="33"/>
      <c r="M15" s="33"/>
      <c r="N15" s="33">
        <f>C37*'E Balans VL '!Y15/100/3.6*1000000</f>
        <v>39.847484258309024</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373.53578000000005</v>
      </c>
      <c r="C18" s="21">
        <f>C5+C16</f>
        <v>0</v>
      </c>
      <c r="D18" s="21">
        <f>MAX((D5+D16),0)</f>
        <v>0</v>
      </c>
      <c r="E18" s="21">
        <f>MAX((E5+E16),0)</f>
        <v>36.122252905625487</v>
      </c>
      <c r="F18" s="21">
        <f>MAX((F5+F16),0)</f>
        <v>139.38812114570004</v>
      </c>
      <c r="G18" s="21"/>
      <c r="H18" s="21"/>
      <c r="I18" s="21"/>
      <c r="J18" s="21">
        <f>MAX((J5+J16),0)</f>
        <v>0.88976957631412523</v>
      </c>
      <c r="K18" s="21"/>
      <c r="L18" s="21">
        <f>MAX((L5+L16),0)</f>
        <v>0</v>
      </c>
      <c r="M18" s="21"/>
      <c r="N18" s="21">
        <f>MAX((N5+N16),0)</f>
        <v>69.342202143617982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0.20503241179367723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76.586941864632436</v>
      </c>
      <c r="C22" s="23">
        <f ca="1">C18*C20</f>
        <v>0</v>
      </c>
      <c r="D22" s="23">
        <f>D18*D20</f>
        <v>0</v>
      </c>
      <c r="E22" s="23">
        <f>E18*E20</f>
        <v>8.1997514095769866</v>
      </c>
      <c r="F22" s="23">
        <f>F18*F20</f>
        <v>37.21662834590191</v>
      </c>
      <c r="G22" s="23"/>
      <c r="H22" s="23"/>
      <c r="I22" s="23"/>
      <c r="J22" s="23">
        <f>J18*J20</f>
        <v>0.31497843001520032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76.258020000000002</v>
      </c>
      <c r="C30" s="39">
        <f>IF(ISERROR(B30*3.6/1000000/'E Balans VL '!Z18*100),0,B30*3.6/1000000/'E Balans VL '!Z18*100)</f>
        <v>1.0673581473408692E-2</v>
      </c>
      <c r="D30" s="237" t="s">
        <v>692</v>
      </c>
    </row>
    <row r="31" spans="1:18">
      <c r="A31" s="6" t="s">
        <v>33</v>
      </c>
      <c r="B31" s="37">
        <f>IF( ISERROR(IND_ander_ele_kWh/1000),0,IND_ander_ele_kWh/1000)</f>
        <v>85.192059999999998</v>
      </c>
      <c r="C31" s="39">
        <f>IF(ISERROR(B31*3.6/1000000/'E Balans VL '!Z19*100),0,B31*3.6/1000000/'E Balans VL '!Z19*100)</f>
        <v>3.7288426460843844E-3</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212.0857</v>
      </c>
      <c r="C37" s="39">
        <f>IF(ISERROR(B37*3.6/1000000/'E Balans VL '!Z15*100),0,B37*3.6/1000000/'E Balans VL '!Z15*100)</f>
        <v>1.5725791548916242E-3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966.40599999999995</v>
      </c>
      <c r="C5" s="17">
        <f>'Eigen informatie GS &amp; warmtenet'!B60</f>
        <v>0</v>
      </c>
      <c r="D5" s="30">
        <f>IF(ISERROR(SUM(LB_lb_gas_kWh,LB_rest_gas_kWh)/1000),0,SUM(LB_lb_gas_kWh,LB_rest_gas_kWh)/1000)*0.902</f>
        <v>956.33838281088879</v>
      </c>
      <c r="E5" s="17">
        <f>B17*'E Balans VL '!I25/3.6*1000000/100</f>
        <v>8.9512571400398553</v>
      </c>
      <c r="F5" s="17">
        <f>B17*('E Balans VL '!L25/3.6*1000000+'E Balans VL '!N25/3.6*1000000)/100</f>
        <v>2451.956122154073</v>
      </c>
      <c r="G5" s="18"/>
      <c r="H5" s="17"/>
      <c r="I5" s="17"/>
      <c r="J5" s="17">
        <f>('E Balans VL '!D25+'E Balans VL '!E25)/3.6*1000000*landbouw!B17/100</f>
        <v>148.16082492243743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966.40599999999995</v>
      </c>
      <c r="C8" s="21">
        <f>C5+C6</f>
        <v>0</v>
      </c>
      <c r="D8" s="21">
        <f>MAX((D5+D6),0)</f>
        <v>956.33838281088879</v>
      </c>
      <c r="E8" s="21">
        <f>MAX((E5+E6),0)</f>
        <v>8.9512571400398553</v>
      </c>
      <c r="F8" s="21">
        <f>MAX((F5+F6),0)</f>
        <v>2451.956122154073</v>
      </c>
      <c r="G8" s="21"/>
      <c r="H8" s="21"/>
      <c r="I8" s="21"/>
      <c r="J8" s="21">
        <f>MAX((J5+J6),0)</f>
        <v>148.16082492243743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0.20503241179367723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198.14455295188043</v>
      </c>
      <c r="C12" s="23">
        <f ca="1">C8*C10</f>
        <v>0</v>
      </c>
      <c r="D12" s="23">
        <f>D8*D10</f>
        <v>193.18035332779954</v>
      </c>
      <c r="E12" s="23">
        <f>E8*E10</f>
        <v>2.0319353707890473</v>
      </c>
      <c r="F12" s="23">
        <f>F8*F10</f>
        <v>654.67228461513753</v>
      </c>
      <c r="G12" s="23"/>
      <c r="H12" s="23"/>
      <c r="I12" s="23"/>
      <c r="J12" s="23">
        <f>J8*J10</f>
        <v>52.448932022542849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0.13740244185088937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154.88986558144805</v>
      </c>
      <c r="C26" s="247">
        <f>B26*'GWP N2O_CH4'!B5</f>
        <v>3252.6871772104091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87.850212211850206</v>
      </c>
      <c r="C27" s="247">
        <f>B27*'GWP N2O_CH4'!B5</f>
        <v>1844.8544564488543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2.1462494194487967</v>
      </c>
      <c r="C28" s="247">
        <f>B28*'GWP N2O_CH4'!B4</f>
        <v>665.337320029127</v>
      </c>
      <c r="D28" s="50"/>
    </row>
    <row r="29" spans="1:4">
      <c r="A29" s="41" t="s">
        <v>277</v>
      </c>
      <c r="B29" s="247">
        <f>B34*'ha_N2O bodem landbouw'!B4</f>
        <v>3.0451020878911139</v>
      </c>
      <c r="C29" s="247">
        <f>B29*'GWP N2O_CH4'!B4</f>
        <v>943.9816472462453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6.8296275180539719E-4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3.1123989558939681E-6</v>
      </c>
      <c r="C5" s="464" t="s">
        <v>211</v>
      </c>
      <c r="D5" s="449">
        <f>SUM(D6:D11)</f>
        <v>8.7433831816392294E-6</v>
      </c>
      <c r="E5" s="449">
        <f>SUM(E6:E11)</f>
        <v>5.5147976868039265E-5</v>
      </c>
      <c r="F5" s="462" t="s">
        <v>211</v>
      </c>
      <c r="G5" s="449">
        <f>SUM(G6:G11)</f>
        <v>1.8490397560062211E-2</v>
      </c>
      <c r="H5" s="449">
        <f>SUM(H6:H11)</f>
        <v>3.2915205973234945E-3</v>
      </c>
      <c r="I5" s="464" t="s">
        <v>211</v>
      </c>
      <c r="J5" s="464" t="s">
        <v>211</v>
      </c>
      <c r="K5" s="464" t="s">
        <v>211</v>
      </c>
      <c r="L5" s="464" t="s">
        <v>211</v>
      </c>
      <c r="M5" s="449">
        <f>SUM(M6:M11)</f>
        <v>1.1709102309951263E-3</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2.2440243924847963E-6</v>
      </c>
      <c r="C6" s="450"/>
      <c r="D6" s="893">
        <f>vkm_2011_GW_PW*SUMIFS(TableVerdeelsleutelVkm[CNG],TableVerdeelsleutelVkm[Voertuigtype],"Lichte voertuigen")*SUMIFS(TableECFTransport[EnergieConsumptieFactor (PJ per km)],TableECFTransport[Index],CONCATENATE($A6,"_CNG_CNG"))</f>
        <v>5.1906754766686924E-6</v>
      </c>
      <c r="E6" s="893">
        <f>vkm_2011_GW_PW*SUMIFS(TableVerdeelsleutelVkm[LPG],TableVerdeelsleutelVkm[Voertuigtype],"Lichte voertuigen")*SUMIFS(TableECFTransport[EnergieConsumptieFactor (PJ per km)],TableECFTransport[Index],CONCATENATE($A6,"_LPG_LPG"))</f>
        <v>3.3798544142947386E-5</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7.0213974949451261E-3</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1.9791868523105554E-3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4.6708366920712317E-4</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6.9239982520354496E-3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2.3678816565303466E-6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4.0059254588342485E-4</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8.6837456340917183E-7</v>
      </c>
      <c r="C8" s="450"/>
      <c r="D8" s="452">
        <f>vkm_2011_NGW_PW*SUMIFS(TableVerdeelsleutelVkm[CNG],TableVerdeelsleutelVkm[Voertuigtype],"Lichte voertuigen")*SUMIFS(TableECFTransport[EnergieConsumptieFactor (PJ per km)],TableECFTransport[Index],CONCATENATE($A8,"_CNG_CNG"))</f>
        <v>3.5527077049705366E-6</v>
      </c>
      <c r="E8" s="452">
        <f>vkm_2011_NGW_PW*SUMIFS(TableVerdeelsleutelVkm[LPG],TableVerdeelsleutelVkm[Voertuigtype],"Lichte voertuigen")*SUMIFS(TableECFTransport[EnergieConsumptieFactor (PJ per km)],TableECFTransport[Index],CONCATENATE($A8,"_LPG_LPG"))</f>
        <v>2.1349432725091875E-5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4.1460284715186171E-3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1.3098367602305937E-3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2.8015137253021747E-4</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3.9897334156301903E-4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1.2910312581512357E-7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2.3082643374360633E-5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0.86455526552610218</v>
      </c>
      <c r="C14" s="21"/>
      <c r="D14" s="21">
        <f t="shared" ref="D14:M14" si="0">((D5)*10^9/3600)+D12</f>
        <v>2.4287175504553411</v>
      </c>
      <c r="E14" s="21">
        <f t="shared" si="0"/>
        <v>15.31888246334424</v>
      </c>
      <c r="F14" s="21"/>
      <c r="G14" s="21">
        <f t="shared" si="0"/>
        <v>5136.221544461725</v>
      </c>
      <c r="H14" s="21">
        <f t="shared" si="0"/>
        <v>914.311277034304</v>
      </c>
      <c r="I14" s="21"/>
      <c r="J14" s="21"/>
      <c r="K14" s="21"/>
      <c r="L14" s="21"/>
      <c r="M14" s="21">
        <f t="shared" si="0"/>
        <v>325.25284194309063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0.20503241179367723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0.17726185121973975</v>
      </c>
      <c r="C18" s="23"/>
      <c r="D18" s="23">
        <f t="shared" ref="D18:M18" si="1">D14*D16</f>
        <v>0.49060094519197894</v>
      </c>
      <c r="E18" s="23">
        <f t="shared" si="1"/>
        <v>3.4773863191791423</v>
      </c>
      <c r="F18" s="23"/>
      <c r="G18" s="23">
        <f t="shared" si="1"/>
        <v>1371.3711523712807</v>
      </c>
      <c r="H18" s="23">
        <f t="shared" si="1"/>
        <v>227.6635079815417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3.1811810376792399E-4</v>
      </c>
      <c r="H50" s="321">
        <f t="shared" si="2"/>
        <v>0</v>
      </c>
      <c r="I50" s="321">
        <f t="shared" si="2"/>
        <v>0</v>
      </c>
      <c r="J50" s="321">
        <f t="shared" si="2"/>
        <v>0</v>
      </c>
      <c r="K50" s="321">
        <f t="shared" si="2"/>
        <v>0</v>
      </c>
      <c r="L50" s="321">
        <f t="shared" si="2"/>
        <v>0</v>
      </c>
      <c r="M50" s="321">
        <f t="shared" si="2"/>
        <v>1.8141348093516232E-5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3.1811810376792399E-4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1.8141348093516232E-5</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88.366139935534449</v>
      </c>
      <c r="H54" s="21">
        <f t="shared" si="3"/>
        <v>0</v>
      </c>
      <c r="I54" s="21">
        <f t="shared" si="3"/>
        <v>0</v>
      </c>
      <c r="J54" s="21">
        <f t="shared" si="3"/>
        <v>0</v>
      </c>
      <c r="K54" s="21">
        <f t="shared" si="3"/>
        <v>0</v>
      </c>
      <c r="L54" s="21">
        <f t="shared" si="3"/>
        <v>0</v>
      </c>
      <c r="M54" s="21">
        <f t="shared" si="3"/>
        <v>5.0392633593100644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0.20503241179367723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23.593759362787701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3108.5898500000003</v>
      </c>
      <c r="D10" s="1025">
        <f ca="1">tertiair!C16</f>
        <v>0</v>
      </c>
      <c r="E10" s="1025">
        <f ca="1">tertiair!D16</f>
        <v>254.97147534897292</v>
      </c>
      <c r="F10" s="1025">
        <f>tertiair!E16</f>
        <v>43.041312582342755</v>
      </c>
      <c r="G10" s="1025">
        <f ca="1">tertiair!F16</f>
        <v>444.62004708796633</v>
      </c>
      <c r="H10" s="1025">
        <f>tertiair!G16</f>
        <v>0</v>
      </c>
      <c r="I10" s="1025">
        <f>tertiair!H16</f>
        <v>0</v>
      </c>
      <c r="J10" s="1025">
        <f>tertiair!I16</f>
        <v>0</v>
      </c>
      <c r="K10" s="1025">
        <f>tertiair!J16</f>
        <v>0</v>
      </c>
      <c r="L10" s="1025">
        <f>tertiair!K16</f>
        <v>0</v>
      </c>
      <c r="M10" s="1025">
        <f ca="1">tertiair!L16</f>
        <v>0</v>
      </c>
      <c r="N10" s="1025">
        <f>tertiair!M16</f>
        <v>0</v>
      </c>
      <c r="O10" s="1025">
        <f ca="1">tertiair!N16</f>
        <v>104.22824530500077</v>
      </c>
      <c r="P10" s="1025">
        <f>tertiair!O16</f>
        <v>0</v>
      </c>
      <c r="Q10" s="1026">
        <f>tertiair!P16</f>
        <v>19.066666666666666</v>
      </c>
      <c r="R10" s="701">
        <f ca="1">SUM(C10:Q10)</f>
        <v>3974.5175969909496</v>
      </c>
      <c r="S10" s="67"/>
    </row>
    <row r="11" spans="1:19" s="474" customFormat="1">
      <c r="A11" s="810" t="s">
        <v>225</v>
      </c>
      <c r="B11" s="815"/>
      <c r="C11" s="1025">
        <f>huishoudens!B8</f>
        <v>4857.9813258241966</v>
      </c>
      <c r="D11" s="1025">
        <f>huishoudens!C8</f>
        <v>0</v>
      </c>
      <c r="E11" s="1025">
        <f>huishoudens!D8</f>
        <v>22707.335243164358</v>
      </c>
      <c r="F11" s="1025">
        <f>huishoudens!E8</f>
        <v>0</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0</v>
      </c>
      <c r="P11" s="1025">
        <f>huishoudens!O8</f>
        <v>21.88666666666667</v>
      </c>
      <c r="Q11" s="1026">
        <f>huishoudens!P8</f>
        <v>209.73333333333335</v>
      </c>
      <c r="R11" s="701">
        <f>SUM(C11:Q11)</f>
        <v>27796.936568988553</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373.53578000000005</v>
      </c>
      <c r="D13" s="1025">
        <f>industrie!C18</f>
        <v>0</v>
      </c>
      <c r="E13" s="1025">
        <f>industrie!D18</f>
        <v>0</v>
      </c>
      <c r="F13" s="1025">
        <f>industrie!E18</f>
        <v>36.122252905625487</v>
      </c>
      <c r="G13" s="1025">
        <f>industrie!F18</f>
        <v>139.38812114570004</v>
      </c>
      <c r="H13" s="1025">
        <f>industrie!G18</f>
        <v>0</v>
      </c>
      <c r="I13" s="1025">
        <f>industrie!H18</f>
        <v>0</v>
      </c>
      <c r="J13" s="1025">
        <f>industrie!I18</f>
        <v>0</v>
      </c>
      <c r="K13" s="1025">
        <f>industrie!J18</f>
        <v>0.88976957631412523</v>
      </c>
      <c r="L13" s="1025">
        <f>industrie!K18</f>
        <v>0</v>
      </c>
      <c r="M13" s="1025">
        <f>industrie!L18</f>
        <v>0</v>
      </c>
      <c r="N13" s="1025">
        <f>industrie!M18</f>
        <v>0</v>
      </c>
      <c r="O13" s="1025">
        <f>industrie!N18</f>
        <v>69.342202143617982</v>
      </c>
      <c r="P13" s="1025">
        <f>industrie!O18</f>
        <v>0</v>
      </c>
      <c r="Q13" s="1026">
        <f>industrie!P18</f>
        <v>0</v>
      </c>
      <c r="R13" s="701">
        <f>SUM(C13:Q13)</f>
        <v>619.27812577125781</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8340.1069558241961</v>
      </c>
      <c r="D16" s="733">
        <f t="shared" ref="D16:R16" ca="1" si="0">SUM(D9:D15)</f>
        <v>0</v>
      </c>
      <c r="E16" s="733">
        <f t="shared" ca="1" si="0"/>
        <v>22962.30671851333</v>
      </c>
      <c r="F16" s="733">
        <f t="shared" si="0"/>
        <v>79.163565487968242</v>
      </c>
      <c r="G16" s="733">
        <f t="shared" ca="1" si="0"/>
        <v>584.00816823366631</v>
      </c>
      <c r="H16" s="733">
        <f t="shared" si="0"/>
        <v>0</v>
      </c>
      <c r="I16" s="733">
        <f t="shared" si="0"/>
        <v>0</v>
      </c>
      <c r="J16" s="733">
        <f t="shared" si="0"/>
        <v>0</v>
      </c>
      <c r="K16" s="733">
        <f t="shared" si="0"/>
        <v>0.88976957631412523</v>
      </c>
      <c r="L16" s="733">
        <f t="shared" si="0"/>
        <v>0</v>
      </c>
      <c r="M16" s="733">
        <f t="shared" ca="1" si="0"/>
        <v>0</v>
      </c>
      <c r="N16" s="733">
        <f t="shared" si="0"/>
        <v>0</v>
      </c>
      <c r="O16" s="733">
        <f t="shared" ca="1" si="0"/>
        <v>173.57044744861875</v>
      </c>
      <c r="P16" s="733">
        <f t="shared" si="0"/>
        <v>21.88666666666667</v>
      </c>
      <c r="Q16" s="733">
        <f t="shared" si="0"/>
        <v>228.8</v>
      </c>
      <c r="R16" s="733">
        <f t="shared" ca="1" si="0"/>
        <v>32390.732291750763</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88.366139935534449</v>
      </c>
      <c r="I19" s="1025">
        <f>transport!H54</f>
        <v>0</v>
      </c>
      <c r="J19" s="1025">
        <f>transport!I54</f>
        <v>0</v>
      </c>
      <c r="K19" s="1025">
        <f>transport!J54</f>
        <v>0</v>
      </c>
      <c r="L19" s="1025">
        <f>transport!K54</f>
        <v>0</v>
      </c>
      <c r="M19" s="1025">
        <f>transport!L54</f>
        <v>0</v>
      </c>
      <c r="N19" s="1025">
        <f>transport!M54</f>
        <v>5.0392633593100644</v>
      </c>
      <c r="O19" s="1025">
        <f>transport!N54</f>
        <v>0</v>
      </c>
      <c r="P19" s="1025">
        <f>transport!O54</f>
        <v>0</v>
      </c>
      <c r="Q19" s="1026">
        <f>transport!P54</f>
        <v>0</v>
      </c>
      <c r="R19" s="701">
        <f>SUM(C19:Q19)</f>
        <v>93.405403294844518</v>
      </c>
      <c r="S19" s="67"/>
    </row>
    <row r="20" spans="1:19" s="474" customFormat="1">
      <c r="A20" s="810" t="s">
        <v>307</v>
      </c>
      <c r="B20" s="815"/>
      <c r="C20" s="1025">
        <f>transport!B14</f>
        <v>0.86455526552610218</v>
      </c>
      <c r="D20" s="1025">
        <f>transport!C14</f>
        <v>0</v>
      </c>
      <c r="E20" s="1025">
        <f>transport!D14</f>
        <v>2.4287175504553411</v>
      </c>
      <c r="F20" s="1025">
        <f>transport!E14</f>
        <v>15.31888246334424</v>
      </c>
      <c r="G20" s="1025">
        <f>transport!F14</f>
        <v>0</v>
      </c>
      <c r="H20" s="1025">
        <f>transport!G14</f>
        <v>5136.221544461725</v>
      </c>
      <c r="I20" s="1025">
        <f>transport!H14</f>
        <v>914.311277034304</v>
      </c>
      <c r="J20" s="1025">
        <f>transport!I14</f>
        <v>0</v>
      </c>
      <c r="K20" s="1025">
        <f>transport!J14</f>
        <v>0</v>
      </c>
      <c r="L20" s="1025">
        <f>transport!K14</f>
        <v>0</v>
      </c>
      <c r="M20" s="1025">
        <f>transport!L14</f>
        <v>0</v>
      </c>
      <c r="N20" s="1025">
        <f>transport!M14</f>
        <v>325.25284194309063</v>
      </c>
      <c r="O20" s="1025">
        <f>transport!N14</f>
        <v>0</v>
      </c>
      <c r="P20" s="1025">
        <f>transport!O14</f>
        <v>0</v>
      </c>
      <c r="Q20" s="1026">
        <f>transport!P14</f>
        <v>0</v>
      </c>
      <c r="R20" s="701">
        <f>SUM(C20:Q20)</f>
        <v>6394.3978187184457</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0.86455526552610218</v>
      </c>
      <c r="D22" s="813">
        <f t="shared" ref="D22:R22" si="1">SUM(D18:D21)</f>
        <v>0</v>
      </c>
      <c r="E22" s="813">
        <f t="shared" si="1"/>
        <v>2.4287175504553411</v>
      </c>
      <c r="F22" s="813">
        <f t="shared" si="1"/>
        <v>15.31888246334424</v>
      </c>
      <c r="G22" s="813">
        <f t="shared" si="1"/>
        <v>0</v>
      </c>
      <c r="H22" s="813">
        <f t="shared" si="1"/>
        <v>5224.5876843972592</v>
      </c>
      <c r="I22" s="813">
        <f t="shared" si="1"/>
        <v>914.311277034304</v>
      </c>
      <c r="J22" s="813">
        <f t="shared" si="1"/>
        <v>0</v>
      </c>
      <c r="K22" s="813">
        <f t="shared" si="1"/>
        <v>0</v>
      </c>
      <c r="L22" s="813">
        <f t="shared" si="1"/>
        <v>0</v>
      </c>
      <c r="M22" s="813">
        <f t="shared" si="1"/>
        <v>0</v>
      </c>
      <c r="N22" s="813">
        <f t="shared" si="1"/>
        <v>330.29210530240067</v>
      </c>
      <c r="O22" s="813">
        <f t="shared" si="1"/>
        <v>0</v>
      </c>
      <c r="P22" s="813">
        <f t="shared" si="1"/>
        <v>0</v>
      </c>
      <c r="Q22" s="813">
        <f t="shared" si="1"/>
        <v>0</v>
      </c>
      <c r="R22" s="813">
        <f t="shared" si="1"/>
        <v>6487.80322201329</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966.40599999999995</v>
      </c>
      <c r="D24" s="1025">
        <f>+landbouw!C8</f>
        <v>0</v>
      </c>
      <c r="E24" s="1025">
        <f>+landbouw!D8</f>
        <v>956.33838281088879</v>
      </c>
      <c r="F24" s="1025">
        <f>+landbouw!E8</f>
        <v>8.9512571400398553</v>
      </c>
      <c r="G24" s="1025">
        <f>+landbouw!F8</f>
        <v>2451.956122154073</v>
      </c>
      <c r="H24" s="1025">
        <f>+landbouw!G8</f>
        <v>0</v>
      </c>
      <c r="I24" s="1025">
        <f>+landbouw!H8</f>
        <v>0</v>
      </c>
      <c r="J24" s="1025">
        <f>+landbouw!I8</f>
        <v>0</v>
      </c>
      <c r="K24" s="1025">
        <f>+landbouw!J8</f>
        <v>148.16082492243743</v>
      </c>
      <c r="L24" s="1025">
        <f>+landbouw!K8</f>
        <v>0</v>
      </c>
      <c r="M24" s="1025">
        <f>+landbouw!L8</f>
        <v>0</v>
      </c>
      <c r="N24" s="1025">
        <f>+landbouw!M8</f>
        <v>0</v>
      </c>
      <c r="O24" s="1025">
        <f>+landbouw!N8</f>
        <v>0</v>
      </c>
      <c r="P24" s="1025">
        <f>+landbouw!O8</f>
        <v>0</v>
      </c>
      <c r="Q24" s="1026">
        <f>+landbouw!P8</f>
        <v>0</v>
      </c>
      <c r="R24" s="701">
        <f>SUM(C24:Q24)</f>
        <v>4531.8125870274389</v>
      </c>
      <c r="S24" s="67"/>
    </row>
    <row r="25" spans="1:19" s="474" customFormat="1" ht="15" thickBot="1">
      <c r="A25" s="832" t="s">
        <v>864</v>
      </c>
      <c r="B25" s="1028"/>
      <c r="C25" s="1029">
        <f>IF(Onbekend_ele_kWh="---",0,Onbekend_ele_kWh)/1000+IF(REST_rest_ele_kWh="---",0,REST_rest_ele_kWh)/1000</f>
        <v>488.44870000000003</v>
      </c>
      <c r="D25" s="1029"/>
      <c r="E25" s="1029">
        <f>IF(onbekend_gas_kWh="---",0,onbekend_gas_kWh)/1000+IF(REST_rest_gas_kWh="---",0,REST_rest_gas_kWh)/1000</f>
        <v>38.757526345840596</v>
      </c>
      <c r="F25" s="1029"/>
      <c r="G25" s="1029"/>
      <c r="H25" s="1029"/>
      <c r="I25" s="1029"/>
      <c r="J25" s="1029"/>
      <c r="K25" s="1029"/>
      <c r="L25" s="1029"/>
      <c r="M25" s="1029"/>
      <c r="N25" s="1029"/>
      <c r="O25" s="1029"/>
      <c r="P25" s="1029"/>
      <c r="Q25" s="1030"/>
      <c r="R25" s="701">
        <f>SUM(C25:Q25)</f>
        <v>527.20622634584061</v>
      </c>
      <c r="S25" s="67"/>
    </row>
    <row r="26" spans="1:19" s="474" customFormat="1" ht="15.75" thickBot="1">
      <c r="A26" s="706" t="s">
        <v>865</v>
      </c>
      <c r="B26" s="818"/>
      <c r="C26" s="813">
        <f>SUM(C24:C25)</f>
        <v>1454.8546999999999</v>
      </c>
      <c r="D26" s="813">
        <f t="shared" ref="D26:R26" si="2">SUM(D24:D25)</f>
        <v>0</v>
      </c>
      <c r="E26" s="813">
        <f t="shared" si="2"/>
        <v>995.09590915672936</v>
      </c>
      <c r="F26" s="813">
        <f t="shared" si="2"/>
        <v>8.9512571400398553</v>
      </c>
      <c r="G26" s="813">
        <f t="shared" si="2"/>
        <v>2451.956122154073</v>
      </c>
      <c r="H26" s="813">
        <f t="shared" si="2"/>
        <v>0</v>
      </c>
      <c r="I26" s="813">
        <f t="shared" si="2"/>
        <v>0</v>
      </c>
      <c r="J26" s="813">
        <f t="shared" si="2"/>
        <v>0</v>
      </c>
      <c r="K26" s="813">
        <f t="shared" si="2"/>
        <v>148.16082492243743</v>
      </c>
      <c r="L26" s="813">
        <f t="shared" si="2"/>
        <v>0</v>
      </c>
      <c r="M26" s="813">
        <f t="shared" si="2"/>
        <v>0</v>
      </c>
      <c r="N26" s="813">
        <f t="shared" si="2"/>
        <v>0</v>
      </c>
      <c r="O26" s="813">
        <f t="shared" si="2"/>
        <v>0</v>
      </c>
      <c r="P26" s="813">
        <f t="shared" si="2"/>
        <v>0</v>
      </c>
      <c r="Q26" s="813">
        <f t="shared" si="2"/>
        <v>0</v>
      </c>
      <c r="R26" s="813">
        <f t="shared" si="2"/>
        <v>5059.018813373279</v>
      </c>
      <c r="S26" s="67"/>
    </row>
    <row r="27" spans="1:19" s="474" customFormat="1" ht="17.25" thickTop="1" thickBot="1">
      <c r="A27" s="707" t="s">
        <v>116</v>
      </c>
      <c r="B27" s="806"/>
      <c r="C27" s="708">
        <f ca="1">C22+C16+C26</f>
        <v>9795.8262110897213</v>
      </c>
      <c r="D27" s="708">
        <f t="shared" ref="D27:R27" ca="1" si="3">D22+D16+D26</f>
        <v>0</v>
      </c>
      <c r="E27" s="708">
        <f t="shared" ca="1" si="3"/>
        <v>23959.831345220515</v>
      </c>
      <c r="F27" s="708">
        <f t="shared" si="3"/>
        <v>103.43370509135234</v>
      </c>
      <c r="G27" s="708">
        <f t="shared" ca="1" si="3"/>
        <v>3035.9642903877393</v>
      </c>
      <c r="H27" s="708">
        <f t="shared" si="3"/>
        <v>5224.5876843972592</v>
      </c>
      <c r="I27" s="708">
        <f t="shared" si="3"/>
        <v>914.311277034304</v>
      </c>
      <c r="J27" s="708">
        <f t="shared" si="3"/>
        <v>0</v>
      </c>
      <c r="K27" s="708">
        <f t="shared" si="3"/>
        <v>149.05059449875156</v>
      </c>
      <c r="L27" s="708">
        <f t="shared" si="3"/>
        <v>0</v>
      </c>
      <c r="M27" s="708">
        <f t="shared" ca="1" si="3"/>
        <v>0</v>
      </c>
      <c r="N27" s="708">
        <f t="shared" si="3"/>
        <v>330.29210530240067</v>
      </c>
      <c r="O27" s="708">
        <f t="shared" ca="1" si="3"/>
        <v>173.57044744861875</v>
      </c>
      <c r="P27" s="708">
        <f t="shared" si="3"/>
        <v>21.88666666666667</v>
      </c>
      <c r="Q27" s="708">
        <f t="shared" si="3"/>
        <v>228.8</v>
      </c>
      <c r="R27" s="708">
        <f t="shared" ca="1" si="3"/>
        <v>43937.554327137332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637.36167422284541</v>
      </c>
      <c r="D40" s="1025">
        <f ca="1">tertiair!C20</f>
        <v>0</v>
      </c>
      <c r="E40" s="1025">
        <f ca="1">tertiair!D20</f>
        <v>51.504238020492529</v>
      </c>
      <c r="F40" s="1025">
        <f>tertiair!E20</f>
        <v>9.7703779561918065</v>
      </c>
      <c r="G40" s="1025">
        <f ca="1">tertiair!F20</f>
        <v>118.71355257248702</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817.34984277201681</v>
      </c>
    </row>
    <row r="41" spans="1:18">
      <c r="A41" s="823" t="s">
        <v>225</v>
      </c>
      <c r="B41" s="830"/>
      <c r="C41" s="1025">
        <f ca="1">huishoudens!B12</f>
        <v>996.04362768238082</v>
      </c>
      <c r="D41" s="1025">
        <f ca="1">huishoudens!C12</f>
        <v>0</v>
      </c>
      <c r="E41" s="1025">
        <f>huishoudens!D12</f>
        <v>4586.8817191192002</v>
      </c>
      <c r="F41" s="1025">
        <f>huishoudens!E12</f>
        <v>0</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5582.9253468015813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76.586941864632436</v>
      </c>
      <c r="D43" s="1025">
        <f ca="1">industrie!C22</f>
        <v>0</v>
      </c>
      <c r="E43" s="1025">
        <f>industrie!D22</f>
        <v>0</v>
      </c>
      <c r="F43" s="1025">
        <f>industrie!E22</f>
        <v>8.1997514095769866</v>
      </c>
      <c r="G43" s="1025">
        <f>industrie!F22</f>
        <v>37.21662834590191</v>
      </c>
      <c r="H43" s="1025">
        <f>industrie!G22</f>
        <v>0</v>
      </c>
      <c r="I43" s="1025">
        <f>industrie!H22</f>
        <v>0</v>
      </c>
      <c r="J43" s="1025">
        <f>industrie!I22</f>
        <v>0</v>
      </c>
      <c r="K43" s="1025">
        <f>industrie!J22</f>
        <v>0.31497843001520032</v>
      </c>
      <c r="L43" s="1025">
        <f>industrie!K22</f>
        <v>0</v>
      </c>
      <c r="M43" s="1025">
        <f>industrie!L22</f>
        <v>0</v>
      </c>
      <c r="N43" s="1025">
        <f>industrie!M22</f>
        <v>0</v>
      </c>
      <c r="O43" s="1025">
        <f>industrie!N22</f>
        <v>0</v>
      </c>
      <c r="P43" s="1025">
        <f>industrie!O22</f>
        <v>0</v>
      </c>
      <c r="Q43" s="775">
        <f>industrie!P22</f>
        <v>0</v>
      </c>
      <c r="R43" s="850">
        <f t="shared" ca="1" si="4"/>
        <v>122.31830005012654</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1709.9922437698588</v>
      </c>
      <c r="D46" s="733">
        <f t="shared" ref="D46:Q46" ca="1" si="5">SUM(D39:D45)</f>
        <v>0</v>
      </c>
      <c r="E46" s="733">
        <f t="shared" ca="1" si="5"/>
        <v>4638.3859571396924</v>
      </c>
      <c r="F46" s="733">
        <f t="shared" si="5"/>
        <v>17.970129365768791</v>
      </c>
      <c r="G46" s="733">
        <f t="shared" ca="1" si="5"/>
        <v>155.93018091838894</v>
      </c>
      <c r="H46" s="733">
        <f t="shared" si="5"/>
        <v>0</v>
      </c>
      <c r="I46" s="733">
        <f t="shared" si="5"/>
        <v>0</v>
      </c>
      <c r="J46" s="733">
        <f t="shared" si="5"/>
        <v>0</v>
      </c>
      <c r="K46" s="733">
        <f t="shared" si="5"/>
        <v>0.31497843001520032</v>
      </c>
      <c r="L46" s="733">
        <f t="shared" si="5"/>
        <v>0</v>
      </c>
      <c r="M46" s="733">
        <f t="shared" ca="1" si="5"/>
        <v>0</v>
      </c>
      <c r="N46" s="733">
        <f t="shared" si="5"/>
        <v>0</v>
      </c>
      <c r="O46" s="733">
        <f t="shared" ca="1" si="5"/>
        <v>0</v>
      </c>
      <c r="P46" s="733">
        <f t="shared" si="5"/>
        <v>0</v>
      </c>
      <c r="Q46" s="733">
        <f t="shared" si="5"/>
        <v>0</v>
      </c>
      <c r="R46" s="733">
        <f ca="1">SUM(R39:R45)</f>
        <v>6522.593489623725</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23.593759362787701</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23.593759362787701</v>
      </c>
    </row>
    <row r="50" spans="1:18">
      <c r="A50" s="826" t="s">
        <v>307</v>
      </c>
      <c r="B50" s="836"/>
      <c r="C50" s="704">
        <f ca="1">transport!B18</f>
        <v>0.17726185121973975</v>
      </c>
      <c r="D50" s="704">
        <f>transport!C18</f>
        <v>0</v>
      </c>
      <c r="E50" s="704">
        <f>transport!D18</f>
        <v>0.49060094519197894</v>
      </c>
      <c r="F50" s="704">
        <f>transport!E18</f>
        <v>3.4773863191791423</v>
      </c>
      <c r="G50" s="704">
        <f>transport!F18</f>
        <v>0</v>
      </c>
      <c r="H50" s="704">
        <f>transport!G18</f>
        <v>1371.3711523712807</v>
      </c>
      <c r="I50" s="704">
        <f>transport!H18</f>
        <v>227.6635079815417</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1603.1799094684131</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0.17726185121973975</v>
      </c>
      <c r="D52" s="733">
        <f t="shared" ref="D52:Q52" ca="1" si="6">SUM(D48:D51)</f>
        <v>0</v>
      </c>
      <c r="E52" s="733">
        <f t="shared" si="6"/>
        <v>0.49060094519197894</v>
      </c>
      <c r="F52" s="733">
        <f t="shared" si="6"/>
        <v>3.4773863191791423</v>
      </c>
      <c r="G52" s="733">
        <f t="shared" si="6"/>
        <v>0</v>
      </c>
      <c r="H52" s="733">
        <f t="shared" si="6"/>
        <v>1394.9649117340684</v>
      </c>
      <c r="I52" s="733">
        <f t="shared" si="6"/>
        <v>227.6635079815417</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1626.7736688312009</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198.14455295188043</v>
      </c>
      <c r="D54" s="704">
        <f ca="1">+landbouw!C12</f>
        <v>0</v>
      </c>
      <c r="E54" s="704">
        <f>+landbouw!D12</f>
        <v>193.18035332779954</v>
      </c>
      <c r="F54" s="704">
        <f>+landbouw!E12</f>
        <v>2.0319353707890473</v>
      </c>
      <c r="G54" s="704">
        <f>+landbouw!F12</f>
        <v>654.67228461513753</v>
      </c>
      <c r="H54" s="704">
        <f>+landbouw!G12</f>
        <v>0</v>
      </c>
      <c r="I54" s="704">
        <f>+landbouw!H12</f>
        <v>0</v>
      </c>
      <c r="J54" s="704">
        <f>+landbouw!I12</f>
        <v>0</v>
      </c>
      <c r="K54" s="704">
        <f>+landbouw!J12</f>
        <v>52.448932022542849</v>
      </c>
      <c r="L54" s="704">
        <f>+landbouw!K12</f>
        <v>0</v>
      </c>
      <c r="M54" s="704">
        <f>+landbouw!L12</f>
        <v>0</v>
      </c>
      <c r="N54" s="704">
        <f>+landbouw!M12</f>
        <v>0</v>
      </c>
      <c r="O54" s="704">
        <f>+landbouw!N12</f>
        <v>0</v>
      </c>
      <c r="P54" s="704">
        <f>+landbouw!O12</f>
        <v>0</v>
      </c>
      <c r="Q54" s="705">
        <f>+landbouw!P12</f>
        <v>0</v>
      </c>
      <c r="R54" s="732">
        <f ca="1">SUM(C54:Q54)</f>
        <v>1100.4780582881492</v>
      </c>
    </row>
    <row r="55" spans="1:18" ht="15" thickBot="1">
      <c r="A55" s="826" t="s">
        <v>864</v>
      </c>
      <c r="B55" s="836"/>
      <c r="C55" s="704">
        <f ca="1">C25*'EF ele_warmte'!B12</f>
        <v>100.14781499848633</v>
      </c>
      <c r="D55" s="704"/>
      <c r="E55" s="704">
        <f>E25*EF_CO2_aardgas</f>
        <v>7.8290203218598009</v>
      </c>
      <c r="F55" s="704"/>
      <c r="G55" s="704"/>
      <c r="H55" s="704"/>
      <c r="I55" s="704"/>
      <c r="J55" s="704"/>
      <c r="K55" s="704"/>
      <c r="L55" s="704"/>
      <c r="M55" s="704"/>
      <c r="N55" s="704"/>
      <c r="O55" s="704"/>
      <c r="P55" s="704"/>
      <c r="Q55" s="705"/>
      <c r="R55" s="732">
        <f ca="1">SUM(C55:Q55)</f>
        <v>107.97683532034613</v>
      </c>
    </row>
    <row r="56" spans="1:18" ht="15.75" thickBot="1">
      <c r="A56" s="824" t="s">
        <v>865</v>
      </c>
      <c r="B56" s="837"/>
      <c r="C56" s="733">
        <f ca="1">SUM(C54:C55)</f>
        <v>298.29236795036672</v>
      </c>
      <c r="D56" s="733">
        <f t="shared" ref="D56:Q56" ca="1" si="7">SUM(D54:D55)</f>
        <v>0</v>
      </c>
      <c r="E56" s="733">
        <f t="shared" si="7"/>
        <v>201.00937364965932</v>
      </c>
      <c r="F56" s="733">
        <f t="shared" si="7"/>
        <v>2.0319353707890473</v>
      </c>
      <c r="G56" s="733">
        <f t="shared" si="7"/>
        <v>654.67228461513753</v>
      </c>
      <c r="H56" s="733">
        <f t="shared" si="7"/>
        <v>0</v>
      </c>
      <c r="I56" s="733">
        <f t="shared" si="7"/>
        <v>0</v>
      </c>
      <c r="J56" s="733">
        <f t="shared" si="7"/>
        <v>0</v>
      </c>
      <c r="K56" s="733">
        <f t="shared" si="7"/>
        <v>52.448932022542849</v>
      </c>
      <c r="L56" s="733">
        <f t="shared" si="7"/>
        <v>0</v>
      </c>
      <c r="M56" s="733">
        <f t="shared" si="7"/>
        <v>0</v>
      </c>
      <c r="N56" s="733">
        <f t="shared" si="7"/>
        <v>0</v>
      </c>
      <c r="O56" s="733">
        <f t="shared" si="7"/>
        <v>0</v>
      </c>
      <c r="P56" s="733">
        <f t="shared" si="7"/>
        <v>0</v>
      </c>
      <c r="Q56" s="734">
        <f t="shared" si="7"/>
        <v>0</v>
      </c>
      <c r="R56" s="735">
        <f ca="1">SUM(R54:R55)</f>
        <v>1208.4548936084952</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2008.4618735714453</v>
      </c>
      <c r="D61" s="741">
        <f t="shared" ref="D61:Q61" ca="1" si="8">D46+D52+D56</f>
        <v>0</v>
      </c>
      <c r="E61" s="741">
        <f t="shared" ca="1" si="8"/>
        <v>4839.8859317345432</v>
      </c>
      <c r="F61" s="741">
        <f t="shared" si="8"/>
        <v>23.47945105573698</v>
      </c>
      <c r="G61" s="741">
        <f t="shared" ca="1" si="8"/>
        <v>810.60246553352647</v>
      </c>
      <c r="H61" s="741">
        <f t="shared" si="8"/>
        <v>1394.9649117340684</v>
      </c>
      <c r="I61" s="741">
        <f t="shared" si="8"/>
        <v>227.6635079815417</v>
      </c>
      <c r="J61" s="741">
        <f t="shared" si="8"/>
        <v>0</v>
      </c>
      <c r="K61" s="741">
        <f t="shared" si="8"/>
        <v>52.763910452558051</v>
      </c>
      <c r="L61" s="741">
        <f t="shared" si="8"/>
        <v>0</v>
      </c>
      <c r="M61" s="741">
        <f t="shared" ca="1" si="8"/>
        <v>0</v>
      </c>
      <c r="N61" s="741">
        <f t="shared" si="8"/>
        <v>0</v>
      </c>
      <c r="O61" s="741">
        <f t="shared" ca="1" si="8"/>
        <v>0</v>
      </c>
      <c r="P61" s="741">
        <f t="shared" si="8"/>
        <v>0</v>
      </c>
      <c r="Q61" s="741">
        <f t="shared" si="8"/>
        <v>0</v>
      </c>
      <c r="R61" s="741">
        <f ca="1">R46+R52+R56</f>
        <v>9357.8220520634204</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0.20503241179367729</v>
      </c>
      <c r="D63" s="782">
        <f t="shared" ca="1" si="9"/>
        <v>0</v>
      </c>
      <c r="E63" s="1036">
        <f t="shared" ca="1" si="9"/>
        <v>0.20199999999999996</v>
      </c>
      <c r="F63" s="782">
        <f t="shared" si="9"/>
        <v>0.22700000000000001</v>
      </c>
      <c r="G63" s="782">
        <f t="shared" ca="1" si="9"/>
        <v>0.26700000000000002</v>
      </c>
      <c r="H63" s="782">
        <f t="shared" si="9"/>
        <v>0.26700000000000007</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0</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707.76343474834266</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707.76343474834266</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0</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707.76343474834266</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707.76343474834266</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4857.9813258241966</v>
      </c>
      <c r="C4" s="478">
        <f>huishoudens!C8</f>
        <v>0</v>
      </c>
      <c r="D4" s="478">
        <f>huishoudens!D8</f>
        <v>22707.335243164358</v>
      </c>
      <c r="E4" s="478">
        <f>huishoudens!E8</f>
        <v>0</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0</v>
      </c>
      <c r="O4" s="478">
        <f>huishoudens!O8</f>
        <v>21.88666666666667</v>
      </c>
      <c r="P4" s="479">
        <f>huishoudens!P8</f>
        <v>209.73333333333335</v>
      </c>
      <c r="Q4" s="480">
        <f>SUM(B4:P4)</f>
        <v>27796.936568988553</v>
      </c>
    </row>
    <row r="5" spans="1:17">
      <c r="A5" s="477" t="s">
        <v>156</v>
      </c>
      <c r="B5" s="478">
        <f ca="1">tertiair!B16</f>
        <v>2936.7928500000003</v>
      </c>
      <c r="C5" s="478">
        <f ca="1">tertiair!C16</f>
        <v>0</v>
      </c>
      <c r="D5" s="478">
        <f ca="1">tertiair!D16</f>
        <v>254.97147534897292</v>
      </c>
      <c r="E5" s="478">
        <f>tertiair!E16</f>
        <v>43.041312582342755</v>
      </c>
      <c r="F5" s="478">
        <f ca="1">tertiair!F16</f>
        <v>444.62004708796633</v>
      </c>
      <c r="G5" s="478">
        <f>tertiair!G16</f>
        <v>0</v>
      </c>
      <c r="H5" s="478">
        <f>tertiair!H16</f>
        <v>0</v>
      </c>
      <c r="I5" s="478">
        <f>tertiair!I16</f>
        <v>0</v>
      </c>
      <c r="J5" s="478">
        <f>tertiair!J16</f>
        <v>0</v>
      </c>
      <c r="K5" s="478">
        <f>tertiair!K16</f>
        <v>0</v>
      </c>
      <c r="L5" s="478">
        <f ca="1">tertiair!L16</f>
        <v>0</v>
      </c>
      <c r="M5" s="478">
        <f>tertiair!M16</f>
        <v>0</v>
      </c>
      <c r="N5" s="478">
        <f ca="1">tertiair!N16</f>
        <v>104.22824530500077</v>
      </c>
      <c r="O5" s="478">
        <f>tertiair!O16</f>
        <v>0</v>
      </c>
      <c r="P5" s="479">
        <f>tertiair!P16</f>
        <v>19.066666666666666</v>
      </c>
      <c r="Q5" s="477">
        <f t="shared" ref="Q5:Q14" ca="1" si="0">SUM(B5:P5)</f>
        <v>3802.7205969909496</v>
      </c>
    </row>
    <row r="6" spans="1:17">
      <c r="A6" s="477" t="s">
        <v>194</v>
      </c>
      <c r="B6" s="478">
        <f>'openbare verlichting'!B8</f>
        <v>171.797</v>
      </c>
      <c r="C6" s="478"/>
      <c r="D6" s="478"/>
      <c r="E6" s="478"/>
      <c r="F6" s="478"/>
      <c r="G6" s="478"/>
      <c r="H6" s="478"/>
      <c r="I6" s="478"/>
      <c r="J6" s="478"/>
      <c r="K6" s="478"/>
      <c r="L6" s="478"/>
      <c r="M6" s="478"/>
      <c r="N6" s="478"/>
      <c r="O6" s="478"/>
      <c r="P6" s="479"/>
      <c r="Q6" s="477">
        <f t="shared" si="0"/>
        <v>171.797</v>
      </c>
    </row>
    <row r="7" spans="1:17">
      <c r="A7" s="477" t="s">
        <v>112</v>
      </c>
      <c r="B7" s="478">
        <f>landbouw!B8</f>
        <v>966.40599999999995</v>
      </c>
      <c r="C7" s="478">
        <f>landbouw!C8</f>
        <v>0</v>
      </c>
      <c r="D7" s="478">
        <f>landbouw!D8</f>
        <v>956.33838281088879</v>
      </c>
      <c r="E7" s="478">
        <f>landbouw!E8</f>
        <v>8.9512571400398553</v>
      </c>
      <c r="F7" s="478">
        <f>landbouw!F8</f>
        <v>2451.956122154073</v>
      </c>
      <c r="G7" s="478">
        <f>landbouw!G8</f>
        <v>0</v>
      </c>
      <c r="H7" s="478">
        <f>landbouw!H8</f>
        <v>0</v>
      </c>
      <c r="I7" s="478">
        <f>landbouw!I8</f>
        <v>0</v>
      </c>
      <c r="J7" s="478">
        <f>landbouw!J8</f>
        <v>148.16082492243743</v>
      </c>
      <c r="K7" s="478">
        <f>landbouw!K8</f>
        <v>0</v>
      </c>
      <c r="L7" s="478">
        <f>landbouw!L8</f>
        <v>0</v>
      </c>
      <c r="M7" s="478">
        <f>landbouw!M8</f>
        <v>0</v>
      </c>
      <c r="N7" s="478">
        <f>landbouw!N8</f>
        <v>0</v>
      </c>
      <c r="O7" s="478">
        <f>landbouw!O8</f>
        <v>0</v>
      </c>
      <c r="P7" s="479">
        <f>landbouw!P8</f>
        <v>0</v>
      </c>
      <c r="Q7" s="477">
        <f t="shared" si="0"/>
        <v>4531.8125870274389</v>
      </c>
    </row>
    <row r="8" spans="1:17">
      <c r="A8" s="477" t="s">
        <v>650</v>
      </c>
      <c r="B8" s="478">
        <f>industrie!B18</f>
        <v>373.53578000000005</v>
      </c>
      <c r="C8" s="478">
        <f>industrie!C18</f>
        <v>0</v>
      </c>
      <c r="D8" s="478">
        <f>industrie!D18</f>
        <v>0</v>
      </c>
      <c r="E8" s="478">
        <f>industrie!E18</f>
        <v>36.122252905625487</v>
      </c>
      <c r="F8" s="478">
        <f>industrie!F18</f>
        <v>139.38812114570004</v>
      </c>
      <c r="G8" s="478">
        <f>industrie!G18</f>
        <v>0</v>
      </c>
      <c r="H8" s="478">
        <f>industrie!H18</f>
        <v>0</v>
      </c>
      <c r="I8" s="478">
        <f>industrie!I18</f>
        <v>0</v>
      </c>
      <c r="J8" s="478">
        <f>industrie!J18</f>
        <v>0.88976957631412523</v>
      </c>
      <c r="K8" s="478">
        <f>industrie!K18</f>
        <v>0</v>
      </c>
      <c r="L8" s="478">
        <f>industrie!L18</f>
        <v>0</v>
      </c>
      <c r="M8" s="478">
        <f>industrie!M18</f>
        <v>0</v>
      </c>
      <c r="N8" s="478">
        <f>industrie!N18</f>
        <v>69.342202143617982</v>
      </c>
      <c r="O8" s="478">
        <f>industrie!O18</f>
        <v>0</v>
      </c>
      <c r="P8" s="479">
        <f>industrie!P18</f>
        <v>0</v>
      </c>
      <c r="Q8" s="477">
        <f t="shared" si="0"/>
        <v>619.27812577125781</v>
      </c>
    </row>
    <row r="9" spans="1:17" s="483" customFormat="1">
      <c r="A9" s="481" t="s">
        <v>571</v>
      </c>
      <c r="B9" s="482">
        <f>transport!B14</f>
        <v>0.86455526552610218</v>
      </c>
      <c r="C9" s="482">
        <f>transport!C14</f>
        <v>0</v>
      </c>
      <c r="D9" s="482">
        <f>transport!D14</f>
        <v>2.4287175504553411</v>
      </c>
      <c r="E9" s="482">
        <f>transport!E14</f>
        <v>15.31888246334424</v>
      </c>
      <c r="F9" s="482">
        <f>transport!F14</f>
        <v>0</v>
      </c>
      <c r="G9" s="482">
        <f>transport!G14</f>
        <v>5136.221544461725</v>
      </c>
      <c r="H9" s="482">
        <f>transport!H14</f>
        <v>914.311277034304</v>
      </c>
      <c r="I9" s="482">
        <f>transport!I14</f>
        <v>0</v>
      </c>
      <c r="J9" s="482">
        <f>transport!J14</f>
        <v>0</v>
      </c>
      <c r="K9" s="482">
        <f>transport!K14</f>
        <v>0</v>
      </c>
      <c r="L9" s="482">
        <f>transport!L14</f>
        <v>0</v>
      </c>
      <c r="M9" s="482">
        <f>transport!M14</f>
        <v>325.25284194309063</v>
      </c>
      <c r="N9" s="482">
        <f>transport!N14</f>
        <v>0</v>
      </c>
      <c r="O9" s="482">
        <f>transport!O14</f>
        <v>0</v>
      </c>
      <c r="P9" s="482">
        <f>transport!P14</f>
        <v>0</v>
      </c>
      <c r="Q9" s="481">
        <f>SUM(B9:P9)</f>
        <v>6394.3978187184457</v>
      </c>
    </row>
    <row r="10" spans="1:17">
      <c r="A10" s="477" t="s">
        <v>561</v>
      </c>
      <c r="B10" s="478">
        <f>transport!B54</f>
        <v>0</v>
      </c>
      <c r="C10" s="478">
        <f>transport!C54</f>
        <v>0</v>
      </c>
      <c r="D10" s="478">
        <f>transport!D54</f>
        <v>0</v>
      </c>
      <c r="E10" s="478">
        <f>transport!E54</f>
        <v>0</v>
      </c>
      <c r="F10" s="478">
        <f>transport!F54</f>
        <v>0</v>
      </c>
      <c r="G10" s="478">
        <f>transport!G54</f>
        <v>88.366139935534449</v>
      </c>
      <c r="H10" s="478">
        <f>transport!H54</f>
        <v>0</v>
      </c>
      <c r="I10" s="478">
        <f>transport!I54</f>
        <v>0</v>
      </c>
      <c r="J10" s="478">
        <f>transport!J54</f>
        <v>0</v>
      </c>
      <c r="K10" s="478">
        <f>transport!K54</f>
        <v>0</v>
      </c>
      <c r="L10" s="478">
        <f>transport!L54</f>
        <v>0</v>
      </c>
      <c r="M10" s="478">
        <f>transport!M54</f>
        <v>5.0392633593100644</v>
      </c>
      <c r="N10" s="478">
        <f>transport!N54</f>
        <v>0</v>
      </c>
      <c r="O10" s="478">
        <f>transport!O54</f>
        <v>0</v>
      </c>
      <c r="P10" s="479">
        <f>transport!P54</f>
        <v>0</v>
      </c>
      <c r="Q10" s="477">
        <f t="shared" si="0"/>
        <v>93.405403294844518</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488.44870000000003</v>
      </c>
      <c r="C14" s="485"/>
      <c r="D14" s="485">
        <f>'SEAP template'!E25</f>
        <v>38.757526345840596</v>
      </c>
      <c r="E14" s="485"/>
      <c r="F14" s="485"/>
      <c r="G14" s="485"/>
      <c r="H14" s="485"/>
      <c r="I14" s="485"/>
      <c r="J14" s="485"/>
      <c r="K14" s="485"/>
      <c r="L14" s="485"/>
      <c r="M14" s="485"/>
      <c r="N14" s="485"/>
      <c r="O14" s="485"/>
      <c r="P14" s="486"/>
      <c r="Q14" s="477">
        <f t="shared" si="0"/>
        <v>527.20622634584061</v>
      </c>
    </row>
    <row r="15" spans="1:17" s="487" customFormat="1">
      <c r="A15" s="1051" t="s">
        <v>565</v>
      </c>
      <c r="B15" s="991">
        <f ca="1">SUM(B4:B14)</f>
        <v>9795.8262110897231</v>
      </c>
      <c r="C15" s="991">
        <f t="shared" ref="C15:Q15" ca="1" si="1">SUM(C4:C14)</f>
        <v>0</v>
      </c>
      <c r="D15" s="991">
        <f t="shared" ca="1" si="1"/>
        <v>23959.831345220515</v>
      </c>
      <c r="E15" s="991">
        <f t="shared" si="1"/>
        <v>103.43370509135234</v>
      </c>
      <c r="F15" s="991">
        <f t="shared" ca="1" si="1"/>
        <v>3035.9642903877393</v>
      </c>
      <c r="G15" s="991">
        <f t="shared" si="1"/>
        <v>5224.5876843972592</v>
      </c>
      <c r="H15" s="991">
        <f t="shared" si="1"/>
        <v>914.311277034304</v>
      </c>
      <c r="I15" s="991">
        <f t="shared" si="1"/>
        <v>0</v>
      </c>
      <c r="J15" s="991">
        <f t="shared" si="1"/>
        <v>149.05059449875156</v>
      </c>
      <c r="K15" s="991">
        <f t="shared" si="1"/>
        <v>0</v>
      </c>
      <c r="L15" s="991">
        <f t="shared" ca="1" si="1"/>
        <v>0</v>
      </c>
      <c r="M15" s="991">
        <f t="shared" si="1"/>
        <v>330.29210530240067</v>
      </c>
      <c r="N15" s="991">
        <f t="shared" ca="1" si="1"/>
        <v>173.57044744861875</v>
      </c>
      <c r="O15" s="991">
        <f t="shared" si="1"/>
        <v>21.88666666666667</v>
      </c>
      <c r="P15" s="991">
        <f t="shared" si="1"/>
        <v>228.8</v>
      </c>
      <c r="Q15" s="991">
        <f t="shared" ca="1" si="1"/>
        <v>43937.554327137332</v>
      </c>
    </row>
    <row r="17" spans="1:17">
      <c r="A17" s="488" t="s">
        <v>566</v>
      </c>
      <c r="B17" s="787">
        <f ca="1">huishoudens!B10</f>
        <v>0.20503241179367723</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996.04362768238082</v>
      </c>
      <c r="C22" s="478">
        <f t="shared" ref="C22:C32" ca="1" si="3">C4*$C$17</f>
        <v>0</v>
      </c>
      <c r="D22" s="478">
        <f t="shared" ref="D22:D32" si="4">D4*$D$17</f>
        <v>4586.8817191192002</v>
      </c>
      <c r="E22" s="478">
        <f t="shared" ref="E22:E32" si="5">E4*$E$17</f>
        <v>0</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5582.9253468015813</v>
      </c>
    </row>
    <row r="23" spans="1:17">
      <c r="A23" s="477" t="s">
        <v>156</v>
      </c>
      <c r="B23" s="478">
        <f t="shared" ca="1" si="2"/>
        <v>602.137720973927</v>
      </c>
      <c r="C23" s="478">
        <f t="shared" ca="1" si="3"/>
        <v>0</v>
      </c>
      <c r="D23" s="478">
        <f t="shared" ca="1" si="4"/>
        <v>51.504238020492529</v>
      </c>
      <c r="E23" s="478">
        <f t="shared" si="5"/>
        <v>9.7703779561918065</v>
      </c>
      <c r="F23" s="478">
        <f t="shared" ca="1" si="6"/>
        <v>118.71355257248702</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782.12588952309841</v>
      </c>
    </row>
    <row r="24" spans="1:17">
      <c r="A24" s="477" t="s">
        <v>194</v>
      </c>
      <c r="B24" s="478">
        <f t="shared" ca="1" si="2"/>
        <v>35.22395324891837</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35.22395324891837</v>
      </c>
    </row>
    <row r="25" spans="1:17">
      <c r="A25" s="477" t="s">
        <v>112</v>
      </c>
      <c r="B25" s="478">
        <f t="shared" ca="1" si="2"/>
        <v>198.14455295188043</v>
      </c>
      <c r="C25" s="478">
        <f t="shared" ca="1" si="3"/>
        <v>0</v>
      </c>
      <c r="D25" s="478">
        <f t="shared" si="4"/>
        <v>193.18035332779954</v>
      </c>
      <c r="E25" s="478">
        <f t="shared" si="5"/>
        <v>2.0319353707890473</v>
      </c>
      <c r="F25" s="478">
        <f t="shared" si="6"/>
        <v>654.67228461513753</v>
      </c>
      <c r="G25" s="478">
        <f t="shared" si="7"/>
        <v>0</v>
      </c>
      <c r="H25" s="478">
        <f t="shared" si="8"/>
        <v>0</v>
      </c>
      <c r="I25" s="478">
        <f t="shared" si="9"/>
        <v>0</v>
      </c>
      <c r="J25" s="478">
        <f t="shared" si="10"/>
        <v>52.448932022542849</v>
      </c>
      <c r="K25" s="478">
        <f t="shared" si="11"/>
        <v>0</v>
      </c>
      <c r="L25" s="478">
        <f t="shared" si="12"/>
        <v>0</v>
      </c>
      <c r="M25" s="478">
        <f t="shared" si="13"/>
        <v>0</v>
      </c>
      <c r="N25" s="478">
        <f t="shared" si="14"/>
        <v>0</v>
      </c>
      <c r="O25" s="478">
        <f t="shared" si="15"/>
        <v>0</v>
      </c>
      <c r="P25" s="479">
        <f t="shared" si="16"/>
        <v>0</v>
      </c>
      <c r="Q25" s="477">
        <f t="shared" ca="1" si="17"/>
        <v>1100.4780582881492</v>
      </c>
    </row>
    <row r="26" spans="1:17">
      <c r="A26" s="477" t="s">
        <v>650</v>
      </c>
      <c r="B26" s="478">
        <f t="shared" ca="1" si="2"/>
        <v>76.586941864632436</v>
      </c>
      <c r="C26" s="478">
        <f t="shared" ca="1" si="3"/>
        <v>0</v>
      </c>
      <c r="D26" s="478">
        <f t="shared" si="4"/>
        <v>0</v>
      </c>
      <c r="E26" s="478">
        <f t="shared" si="5"/>
        <v>8.1997514095769866</v>
      </c>
      <c r="F26" s="478">
        <f t="shared" si="6"/>
        <v>37.21662834590191</v>
      </c>
      <c r="G26" s="478">
        <f t="shared" si="7"/>
        <v>0</v>
      </c>
      <c r="H26" s="478">
        <f t="shared" si="8"/>
        <v>0</v>
      </c>
      <c r="I26" s="478">
        <f t="shared" si="9"/>
        <v>0</v>
      </c>
      <c r="J26" s="478">
        <f t="shared" si="10"/>
        <v>0.31497843001520032</v>
      </c>
      <c r="K26" s="478">
        <f t="shared" si="11"/>
        <v>0</v>
      </c>
      <c r="L26" s="478">
        <f t="shared" si="12"/>
        <v>0</v>
      </c>
      <c r="M26" s="478">
        <f t="shared" si="13"/>
        <v>0</v>
      </c>
      <c r="N26" s="478">
        <f t="shared" si="14"/>
        <v>0</v>
      </c>
      <c r="O26" s="478">
        <f t="shared" si="15"/>
        <v>0</v>
      </c>
      <c r="P26" s="479">
        <f t="shared" si="16"/>
        <v>0</v>
      </c>
      <c r="Q26" s="477">
        <f t="shared" ca="1" si="17"/>
        <v>122.31830005012654</v>
      </c>
    </row>
    <row r="27" spans="1:17" s="483" customFormat="1">
      <c r="A27" s="481" t="s">
        <v>571</v>
      </c>
      <c r="B27" s="781">
        <f t="shared" ca="1" si="2"/>
        <v>0.17726185121973975</v>
      </c>
      <c r="C27" s="482">
        <f t="shared" ca="1" si="3"/>
        <v>0</v>
      </c>
      <c r="D27" s="482">
        <f t="shared" si="4"/>
        <v>0.49060094519197894</v>
      </c>
      <c r="E27" s="482">
        <f t="shared" si="5"/>
        <v>3.4773863191791423</v>
      </c>
      <c r="F27" s="482">
        <f t="shared" si="6"/>
        <v>0</v>
      </c>
      <c r="G27" s="482">
        <f t="shared" si="7"/>
        <v>1371.3711523712807</v>
      </c>
      <c r="H27" s="482">
        <f t="shared" si="8"/>
        <v>227.6635079815417</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1603.1799094684131</v>
      </c>
    </row>
    <row r="28" spans="1:17">
      <c r="A28" s="477" t="s">
        <v>561</v>
      </c>
      <c r="B28" s="478">
        <f t="shared" ca="1" si="2"/>
        <v>0</v>
      </c>
      <c r="C28" s="478">
        <f t="shared" ca="1" si="3"/>
        <v>0</v>
      </c>
      <c r="D28" s="478">
        <f t="shared" si="4"/>
        <v>0</v>
      </c>
      <c r="E28" s="478">
        <f t="shared" si="5"/>
        <v>0</v>
      </c>
      <c r="F28" s="478">
        <f t="shared" si="6"/>
        <v>0</v>
      </c>
      <c r="G28" s="478">
        <f t="shared" si="7"/>
        <v>23.593759362787701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23.593759362787701</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100.14781499848633</v>
      </c>
      <c r="C32" s="478">
        <f t="shared" ca="1" si="3"/>
        <v>0</v>
      </c>
      <c r="D32" s="478">
        <f t="shared" si="4"/>
        <v>7.8290203218598009</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107.97683532034613</v>
      </c>
    </row>
    <row r="33" spans="1:17" s="487" customFormat="1">
      <c r="A33" s="1051" t="s">
        <v>565</v>
      </c>
      <c r="B33" s="991">
        <f ca="1">SUM(B22:B32)</f>
        <v>2008.4618735714455</v>
      </c>
      <c r="C33" s="991">
        <f t="shared" ref="C33:Q33" ca="1" si="18">SUM(C22:C32)</f>
        <v>0</v>
      </c>
      <c r="D33" s="991">
        <f t="shared" ca="1" si="18"/>
        <v>4839.8859317345432</v>
      </c>
      <c r="E33" s="991">
        <f t="shared" si="18"/>
        <v>23.479451055736984</v>
      </c>
      <c r="F33" s="991">
        <f t="shared" ca="1" si="18"/>
        <v>810.60246553352647</v>
      </c>
      <c r="G33" s="991">
        <f t="shared" si="18"/>
        <v>1394.9649117340684</v>
      </c>
      <c r="H33" s="991">
        <f t="shared" si="18"/>
        <v>227.6635079815417</v>
      </c>
      <c r="I33" s="991">
        <f t="shared" si="18"/>
        <v>0</v>
      </c>
      <c r="J33" s="991">
        <f t="shared" si="18"/>
        <v>52.763910452558051</v>
      </c>
      <c r="K33" s="991">
        <f t="shared" si="18"/>
        <v>0</v>
      </c>
      <c r="L33" s="991">
        <f t="shared" ca="1" si="18"/>
        <v>0</v>
      </c>
      <c r="M33" s="991">
        <f t="shared" si="18"/>
        <v>0</v>
      </c>
      <c r="N33" s="991">
        <f t="shared" ca="1" si="18"/>
        <v>0</v>
      </c>
      <c r="O33" s="991">
        <f t="shared" si="18"/>
        <v>0</v>
      </c>
      <c r="P33" s="991">
        <f t="shared" si="18"/>
        <v>0</v>
      </c>
      <c r="Q33" s="991">
        <f t="shared" ca="1" si="18"/>
        <v>9357.8220520634204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0</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707.76343474834266</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707.76343474834266</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0.20503241179367723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0.20503241179367723</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2019-08-12T08:06:53Z</dcterms:modified>
</cp:coreProperties>
</file>