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K10" s="1"/>
  <c r="I9"/>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2"/>
  <c r="R44"/>
  <c r="E25"/>
  <c r="E55" s="1"/>
  <c r="C25"/>
  <c r="B14" i="48" s="1"/>
  <c r="Q26" i="14"/>
  <c r="N26"/>
  <c r="L26"/>
  <c r="J26"/>
  <c r="I26"/>
  <c r="H26"/>
  <c r="K22"/>
  <c r="G22"/>
  <c r="R12"/>
  <c r="L90" l="1"/>
  <c r="L18" i="59"/>
  <c r="L20" s="1"/>
  <c r="O10"/>
  <c r="E89" i="14"/>
  <c r="E19" i="59" s="1"/>
  <c r="E20" s="1"/>
  <c r="K78" i="14"/>
  <c r="N77"/>
  <c r="B17" i="18"/>
  <c r="B20" s="1"/>
  <c r="M77" i="14"/>
  <c r="M9" i="59" s="1"/>
  <c r="H9" i="18"/>
  <c r="O9" s="1"/>
  <c r="L10"/>
  <c r="L78" i="14"/>
  <c r="L10" i="59"/>
  <c r="D22" i="14"/>
  <c r="L22"/>
  <c r="E10" i="59"/>
  <c r="F13" i="15"/>
  <c r="H90" i="14"/>
  <c r="H18" i="59"/>
  <c r="H20" s="1"/>
  <c r="C98" i="18"/>
  <c r="I101" s="1"/>
  <c r="H8" s="1"/>
  <c r="P22" i="14"/>
  <c r="D14" i="48"/>
  <c r="Q22" i="14"/>
  <c r="I77"/>
  <c r="I9" i="59" s="1"/>
  <c r="B13" i="15"/>
  <c r="B10" i="18"/>
  <c r="N13" i="15"/>
  <c r="L13"/>
  <c r="F77" i="14"/>
  <c r="F9" i="59" s="1"/>
  <c r="E101" i="18"/>
  <c r="E8" s="1"/>
  <c r="F101"/>
  <c r="H101"/>
  <c r="D101"/>
  <c r="C10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Q77" i="14"/>
  <c r="P9" i="59" s="1"/>
  <c r="E90" i="14"/>
  <c r="R9"/>
  <c r="R25"/>
  <c r="K90"/>
  <c r="N78" l="1"/>
  <c r="N9" i="59"/>
  <c r="N10" s="1"/>
  <c r="N90" i="14"/>
  <c r="N18" i="59"/>
  <c r="N20" s="1"/>
  <c r="B89" i="14"/>
  <c r="B19" i="59" s="1"/>
  <c r="J17" i="18"/>
  <c r="G101"/>
  <c r="I8" s="1"/>
  <c r="I76" i="14" s="1"/>
  <c r="I8" i="59" s="1"/>
  <c r="I10" s="1"/>
  <c r="Q14" i="48"/>
  <c r="B101" i="18"/>
  <c r="C8" s="1"/>
  <c r="O90" i="14"/>
  <c r="O18" i="59"/>
  <c r="O20" s="1"/>
  <c r="H78" i="14"/>
  <c r="H9" i="59"/>
  <c r="H10" s="1"/>
  <c r="Q89" i="14"/>
  <c r="P19" i="59" s="1"/>
  <c r="C77" i="14"/>
  <c r="C9" i="59" s="1"/>
  <c r="J87" i="14"/>
  <c r="J20" i="18"/>
  <c r="H20"/>
  <c r="M87" i="14"/>
  <c r="F76"/>
  <c r="E10" i="18"/>
  <c r="C20"/>
  <c r="O17"/>
  <c r="O20" s="1"/>
  <c r="D87" i="14"/>
  <c r="D17" i="59" s="1"/>
  <c r="D20" s="1"/>
  <c r="H10" i="18"/>
  <c r="M76" i="14"/>
  <c r="B88"/>
  <c r="B18" i="59" s="1"/>
  <c r="I17" i="18"/>
  <c r="D76" i="14"/>
  <c r="D8" i="59" s="1"/>
  <c r="D10" s="1"/>
  <c r="C10" i="18"/>
  <c r="J8"/>
  <c r="C88" i="14"/>
  <c r="C18" i="59" s="1"/>
  <c r="B77" i="14"/>
  <c r="B9" i="59" s="1"/>
  <c r="E20" i="18"/>
  <c r="F87" i="14"/>
  <c r="Q88"/>
  <c r="P18" i="59" s="1"/>
  <c r="H14" i="15"/>
  <c r="H16" s="1"/>
  <c r="G14"/>
  <c r="G16" s="1"/>
  <c r="F90" i="14" l="1"/>
  <c r="F17" i="59"/>
  <c r="F20" s="1"/>
  <c r="O8" i="18"/>
  <c r="O10" s="1"/>
  <c r="I10"/>
  <c r="J90" i="14"/>
  <c r="J17" i="59"/>
  <c r="J20" s="1"/>
  <c r="H5" i="48"/>
  <c r="I10" i="14"/>
  <c r="I16" s="1"/>
  <c r="H10"/>
  <c r="H16" s="1"/>
  <c r="G5" i="48"/>
  <c r="M78" i="14"/>
  <c r="M8" i="59"/>
  <c r="M10" s="1"/>
  <c r="M90" i="14"/>
  <c r="M17" i="59"/>
  <c r="M20" s="1"/>
  <c r="F78" i="14"/>
  <c r="F8" i="59"/>
  <c r="F10" s="1"/>
  <c r="Q76" i="14"/>
  <c r="D78"/>
  <c r="I78"/>
  <c r="B76"/>
  <c r="J10" i="18"/>
  <c r="J76" i="14"/>
  <c r="I87"/>
  <c r="I17" i="59" s="1"/>
  <c r="I20" s="1"/>
  <c r="I20" i="18"/>
  <c r="Q87" i="14"/>
  <c r="D90"/>
  <c r="C87"/>
  <c r="A31" i="23"/>
  <c r="A32"/>
  <c r="A33"/>
  <c r="Q78" i="14" l="1"/>
  <c r="B9" i="6" s="1"/>
  <c r="P8" i="59"/>
  <c r="P10" s="1"/>
  <c r="B78" i="14"/>
  <c r="B8" i="59"/>
  <c r="B10" s="1"/>
  <c r="J78" i="14"/>
  <c r="J8" i="59"/>
  <c r="J10" s="1"/>
  <c r="Q90" i="14"/>
  <c r="B17" i="6" s="1"/>
  <c r="P17" i="59"/>
  <c r="P20" s="1"/>
  <c r="C90" i="14"/>
  <c r="C17" i="59"/>
  <c r="C2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8" i="48" l="1"/>
  <c r="H32"/>
  <c r="H29"/>
  <c r="H26"/>
  <c r="H25"/>
  <c r="H30"/>
  <c r="H22"/>
  <c r="H24"/>
  <c r="H23"/>
  <c r="D11" i="14"/>
  <c r="C4" i="48"/>
  <c r="G25"/>
  <c r="G32"/>
  <c r="G22"/>
  <c r="G29"/>
  <c r="G30"/>
  <c r="G24"/>
  <c r="G26"/>
  <c r="G23"/>
  <c r="B7"/>
  <c r="C24" i="14"/>
  <c r="C26" s="1"/>
  <c r="J24" i="48"/>
  <c r="J27"/>
  <c r="J30"/>
  <c r="J32"/>
  <c r="J31"/>
  <c r="J28"/>
  <c r="J29"/>
  <c r="P11" i="14"/>
  <c r="O4" i="48"/>
  <c r="D4"/>
  <c r="D22" s="1"/>
  <c r="E11" i="14"/>
  <c r="F32" i="48"/>
  <c r="F30"/>
  <c r="F31"/>
  <c r="F24"/>
  <c r="F29"/>
  <c r="F27"/>
  <c r="F28"/>
  <c r="B10"/>
  <c r="C19" i="14"/>
  <c r="E32" i="48"/>
  <c r="E30"/>
  <c r="E24"/>
  <c r="E29"/>
  <c r="E31"/>
  <c r="E28"/>
  <c r="M32"/>
  <c r="M26"/>
  <c r="M22"/>
  <c r="M25"/>
  <c r="M30"/>
  <c r="M29"/>
  <c r="M24"/>
  <c r="M23"/>
  <c r="B8" i="9"/>
  <c r="B6" i="48" s="1"/>
  <c r="Q6" s="1"/>
  <c r="K28"/>
  <c r="K32"/>
  <c r="K26"/>
  <c r="K22"/>
  <c r="K27"/>
  <c r="K30"/>
  <c r="K31"/>
  <c r="K24"/>
  <c r="K25"/>
  <c r="K29"/>
  <c r="Q11" i="14"/>
  <c r="P4" i="48"/>
  <c r="I31"/>
  <c r="I28"/>
  <c r="I22"/>
  <c r="I26"/>
  <c r="I32"/>
  <c r="I24"/>
  <c r="I30"/>
  <c r="I25"/>
  <c r="I29"/>
  <c r="I27"/>
  <c r="B4"/>
  <c r="C11" i="14"/>
  <c r="N32" i="48"/>
  <c r="N31"/>
  <c r="N30"/>
  <c r="N24"/>
  <c r="N29"/>
  <c r="N27"/>
  <c r="N28"/>
  <c r="L10" i="14"/>
  <c r="L16" s="1"/>
  <c r="L27" s="1"/>
  <c r="K5" i="48"/>
  <c r="D30"/>
  <c r="D29"/>
  <c r="D24"/>
  <c r="D31"/>
  <c r="D28"/>
  <c r="D32"/>
  <c r="L28"/>
  <c r="L32"/>
  <c r="L27"/>
  <c r="L31"/>
  <c r="L24"/>
  <c r="L29"/>
  <c r="L22"/>
  <c r="L30"/>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P22" i="16"/>
  <c r="Q43" i="14" s="1"/>
  <c r="Q13"/>
  <c r="P8" i="48"/>
  <c r="P26" s="1"/>
  <c r="J10" i="14"/>
  <c r="J16" s="1"/>
  <c r="J27" s="1"/>
  <c r="I5" i="48"/>
  <c r="K23"/>
  <c r="K33" s="1"/>
  <c r="K15"/>
  <c r="E9"/>
  <c r="E27" s="1"/>
  <c r="F20" i="14"/>
  <c r="F22" s="1"/>
  <c r="Q16"/>
  <c r="Q27" s="1"/>
  <c r="Q63" s="1"/>
  <c r="E20"/>
  <c r="E22" s="1"/>
  <c r="D9" i="48"/>
  <c r="D27" s="1"/>
  <c r="P10" i="14"/>
  <c r="O5" i="48"/>
  <c r="O23" s="1"/>
  <c r="J7"/>
  <c r="J25" s="1"/>
  <c r="K24" i="14"/>
  <c r="K26" s="1"/>
  <c r="C20"/>
  <c r="B9" i="48"/>
  <c r="P15"/>
  <c r="P22"/>
  <c r="D10" i="14"/>
  <c r="J12" i="17"/>
  <c r="K54" i="14" s="1"/>
  <c r="K56" s="1"/>
  <c r="L46"/>
  <c r="L61" s="1"/>
  <c r="O22" i="48"/>
  <c r="G13"/>
  <c r="H18" i="14"/>
  <c r="R18" s="1"/>
  <c r="H13" i="48"/>
  <c r="H31" s="1"/>
  <c r="I18" i="14"/>
  <c r="G11"/>
  <c r="F4" i="48"/>
  <c r="F22" s="1"/>
  <c r="L63" i="14"/>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I23" i="48"/>
  <c r="I33" s="1"/>
  <c r="I15"/>
  <c r="G31"/>
  <c r="Q13"/>
  <c r="N19" i="14"/>
  <c r="M10" i="48"/>
  <c r="M28" s="1"/>
  <c r="E12" i="13"/>
  <c r="F41" i="14" s="1"/>
  <c r="F11"/>
  <c r="R11" s="1"/>
  <c r="E4" i="48"/>
  <c r="N22" i="14"/>
  <c r="N27" s="1"/>
  <c r="P46"/>
  <c r="P61" s="1"/>
  <c r="C22"/>
  <c r="M9" i="48"/>
  <c r="N20" i="14"/>
  <c r="G9" i="48"/>
  <c r="H20" i="14"/>
  <c r="O22" i="16"/>
  <c r="P43" i="14" s="1"/>
  <c r="P13"/>
  <c r="P16" s="1"/>
  <c r="P27" s="1"/>
  <c r="P63" s="1"/>
  <c r="O8" i="48"/>
  <c r="H19" i="14"/>
  <c r="R19" s="1"/>
  <c r="G10" i="48"/>
  <c r="K11" i="14"/>
  <c r="J4" i="48"/>
  <c r="E7"/>
  <c r="E25" s="1"/>
  <c r="F24" i="14"/>
  <c r="F26"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22" i="48"/>
  <c r="O26"/>
  <c r="O33" s="1"/>
  <c r="O15"/>
  <c r="M27"/>
  <c r="M33" s="1"/>
  <c r="M15"/>
  <c r="G27"/>
  <c r="G33" s="1"/>
  <c r="G15"/>
  <c r="G28"/>
  <c r="Q10"/>
  <c r="H22" i="14"/>
  <c r="H27" s="1"/>
  <c r="H9" i="48"/>
  <c r="I20" i="14"/>
  <c r="E22" i="48"/>
  <c r="Q4"/>
  <c r="J5"/>
  <c r="J23" s="1"/>
  <c r="K10"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R20" l="1"/>
  <c r="R22" s="1"/>
  <c r="I22"/>
  <c r="I27" s="1"/>
  <c r="I63" s="1"/>
  <c r="J22" i="16"/>
  <c r="K43" i="14" s="1"/>
  <c r="J8" i="48"/>
  <c r="J26" s="1"/>
  <c r="K13" i="14"/>
  <c r="K16" s="1"/>
  <c r="K27" s="1"/>
  <c r="F46"/>
  <c r="F61" s="1"/>
  <c r="K46"/>
  <c r="K61" s="1"/>
  <c r="F13"/>
  <c r="F16" s="1"/>
  <c r="F27" s="1"/>
  <c r="E8" i="48"/>
  <c r="H27"/>
  <c r="H33" s="1"/>
  <c r="H15"/>
  <c r="Q9"/>
  <c r="J33"/>
  <c r="H63" i="14"/>
  <c r="O13"/>
  <c r="N8" i="48"/>
  <c r="N26" s="1"/>
  <c r="F8"/>
  <c r="G13" i="14"/>
  <c r="E26" i="48" l="1"/>
  <c r="E33" s="1"/>
  <c r="E15"/>
  <c r="K63" i="14"/>
  <c r="R13"/>
  <c r="F6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<sst xmlns="http://schemas.openxmlformats.org/spreadsheetml/2006/main" count="2662" uniqueCount="994">
  <si>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</si>
  <si>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</si>
  <si>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</si>
  <si>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</si>
  <si>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</si>
  <si>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</si>
  <si>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</si>
  <si>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</si>
  <si>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</si>
  <si>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</si>
  <si>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</si>
  <si>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</si>
  <si>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</si>
  <si>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</si>
  <si>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</si>
  <si>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</si>
  <si>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</si>
  <si>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</si>
  <si>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</si>
  <si>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</si>
  <si>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</si>
  <si>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</si>
  <si>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</si>
  <si>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</si>
  <si>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</si>
  <si>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</si>
  <si>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</si>
  <si>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</si>
  <si>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</si>
  <si>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</si>
  <si>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</si>
  <si>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</si>
  <si>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</si>
  <si>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</si>
  <si>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</si>
  <si>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</si>
  <si>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</si>
  <si>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</si>
  <si>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</si>
  <si>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</si>
  <si>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</si>
  <si>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</si>
  <si>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</si>
  <si>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</si>
  <si>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</si>
  <si>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</si>
  <si>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</si>
  <si>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</si>
  <si>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</si>
  <si>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</si>
  <si>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</si>
  <si>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</si>
  <si>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</si>
  <si>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</si>
  <si>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</si>
  <si>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</si>
  <si>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</si>
  <si>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</si>
  <si>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</si>
  <si>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</si>
  <si>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</si>
  <si>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</si>
  <si>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</si>
  <si>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</si>
  <si>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</si>
  <si>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</si>
  <si>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</si>
  <si>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</si>
  <si>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</si>
  <si>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</si>
  <si>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</si>
  <si>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</si>
  <si>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</si>
  <si>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</si>
  <si>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</si>
  <si>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</si>
  <si>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</si>
  <si>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</si>
  <si>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</si>
  <si>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</si>
  <si>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</si>
  <si>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</si>
  <si>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</si>
  <si>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</si>
  <si>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</si>
  <si>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</si>
  <si>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</si>
  <si>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</si>
  <si>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</si>
  <si>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</si>
  <si>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</si>
  <si>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</si>
  <si>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</si>
  <si>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</si>
  <si>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</si>
  <si>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</si>
  <si>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</si>
  <si>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</si>
  <si>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</si>
  <si>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</si>
  <si>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</si>
  <si>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</si>
  <si>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</si>
  <si>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</si>
  <si>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</si>
  <si>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</si>
  <si>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</si>
  <si>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</si>
  <si>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</si>
  <si>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</si>
  <si>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</si>
  <si>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</si>
  <si>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</si>
  <si>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</si>
  <si>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</si>
  <si>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</si>
  <si>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</si>
  <si>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</si>
  <si>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</si>
  <si>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</si>
  <si>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</si>
  <si>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</si>
  <si>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</si>
  <si>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</si>
  <si>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</si>
  <si>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</si>
  <si>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</si>
  <si>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</si>
  <si>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</si>
  <si>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</si>
  <si>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</si>
  <si>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</si>
  <si>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</si>
  <si>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</si>
  <si>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</si>
  <si>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</si>
  <si>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</si>
  <si>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</si>
  <si>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</si>
  <si>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</si>
  <si>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</si>
  <si>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</si>
  <si>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</si>
  <si>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</si>
  <si>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</si>
  <si>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</si>
  <si>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</si>
  <si>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</si>
  <si>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</si>
  <si>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</si>
  <si>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</si>
  <si>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</si>
  <si>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</si>
  <si>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</si>
  <si>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</si>
  <si>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</si>
  <si>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</si>
  <si>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</si>
  <si>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</si>
  <si>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</si>
  <si>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</si>
  <si>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</si>
  <si>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</si>
  <si>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</si>
  <si>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</si>
  <si>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</si>
  <si>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</si>
  <si>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</si>
  <si>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</si>
  <si>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</si>
  <si>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</si>
  <si>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</si>
  <si>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</si>
  <si>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</si>
  <si>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</si>
  <si>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</si>
  <si>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</si>
  <si>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</si>
  <si>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</si>
  <si>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</si>
  <si>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</si>
  <si>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</si>
  <si>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</si>
  <si>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</si>
  <si>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</si>
  <si>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</si>
  <si>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</si>
  <si>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</si>
  <si>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</si>
  <si>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</si>
  <si>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</si>
  <si>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</si>
  <si>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</si>
  <si>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</si>
  <si>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</si>
  <si>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</si>
  <si>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</si>
  <si>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</si>
  <si>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</si>
  <si>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</si>
  <si>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</si>
  <si>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</si>
  <si>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</si>
  <si>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</si>
  <si>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</si>
  <si>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</si>
  <si>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</si>
  <si>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</si>
  <si>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</si>
  <si>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</si>
  <si>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</si>
  <si>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</si>
  <si>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</si>
  <si>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</si>
  <si>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</si>
  <si>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</si>
  <si>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</si>
  <si>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</si>
  <si>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</si>
  <si>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</si>
  <si>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</si>
  <si>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</si>
  <si>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</si>
  <si>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</si>
  <si>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</si>
  <si>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</si>
  <si>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</si>
  <si>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</si>
  <si>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</si>
  <si>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</si>
  <si>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</si>
  <si>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</si>
  <si>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</si>
  <si>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</si>
  <si>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</si>
  <si>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</si>
  <si>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</si>
  <si>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</si>
  <si>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</si>
  <si>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</si>
  <si>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</si>
  <si>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</si>
  <si>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</si>
  <si>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</si>
  <si>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</si>
  <si>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</si>
  <si>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</si>
  <si>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</si>
  <si>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</si>
  <si>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</si>
  <si>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</si>
  <si>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</si>
  <si>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</si>
  <si>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</si>
  <si>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</si>
  <si>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</si>
  <si>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</si>
  <si>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</si>
  <si>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</si>
  <si>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</si>
  <si>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</si>
  <si>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</si>
  <si>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</si>
  <si>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</si>
  <si>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</si>
  <si>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</si>
  <si>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</si>
  <si>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</si>
  <si>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</si>
  <si>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</si>
  <si>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</si>
  <si>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</si>
  <si>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</si>
  <si>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</si>
  <si>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</si>
  <si>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</si>
  <si>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</si>
  <si>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</si>
  <si>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</si>
  <si>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</si>
  <si>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</si>
  <si>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</si>
  <si>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</si>
  <si>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</si>
  <si>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</si>
  <si>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</si>
  <si>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</si>
  <si>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</si>
  <si>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</si>
  <si>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</si>
  <si>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</si>
  <si>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</si>
  <si>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</si>
  <si>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</si>
  <si>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</si>
  <si>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</si>
  <si>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</si>
  <si>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</si>
  <si>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</si>
  <si>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</si>
  <si>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</si>
  <si>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</si>
  <si>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</si>
  <si>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</si>
  <si>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</si>
  <si>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</si>
  <si>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</si>
  <si>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</si>
  <si>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</si>
  <si>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</si>
  <si>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</si>
  <si>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</si>
  <si>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</si>
  <si>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</si>
  <si>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</si>
  <si>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</si>
  <si>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</si>
  <si>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</si>
  <si>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</si>
  <si>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</si>
  <si>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</si>
  <si>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</si>
  <si>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</si>
  <si>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</si>
  <si>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</si>
  <si>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</si>
  <si>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</si>
  <si>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</si>
  <si>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</si>
  <si>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</si>
  <si>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</si>
  <si>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</si>
  <si>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</si>
  <si>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</si>
  <si>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</si>
  <si>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</si>
  <si>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</si>
  <si>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</si>
  <si>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</si>
  <si>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</si>
  <si>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</si>
  <si>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</si>
  <si>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</si>
  <si>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</si>
  <si>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</si>
  <si>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</si>
  <si>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</si>
  <si>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</si>
  <si>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</si>
  <si>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</si>
  <si>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</si>
  <si>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</si>
  <si>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</si>
  <si>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</si>
  <si>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</si>
  <si>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</si>
  <si>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</si>
  <si>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</si>
  <si>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</si>
  <si>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</si>
  <si>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</si>
  <si>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</si>
  <si>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</si>
  <si>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</si>
  <si>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</si>
  <si>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</si>
  <si>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</si>
  <si>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</si>
  <si>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</si>
  <si>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</si>
  <si>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</si>
  <si>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</si>
  <si>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</si>
  <si>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</si>
  <si>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</si>
  <si>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</si>
  <si>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</si>
  <si>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</si>
  <si>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</si>
  <si>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</si>
  <si>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</si>
  <si>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</si>
  <si>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</si>
  <si>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</si>
  <si>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</si>
  <si>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</si>
  <si>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</si>
  <si>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</si>
  <si>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</si>
  <si>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</si>
  <si>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</si>
  <si>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</si>
  <si>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</si>
  <si>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</si>
  <si>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</si>
  <si>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</si>
  <si>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</si>
  <si>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</si>
  <si>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</si>
  <si>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</si>
  <si>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</si>
  <si>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</si>
  <si>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</si>
  <si>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</si>
  <si>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</si>
  <si>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</si>
  <si>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</si>
  <si>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</si>
  <si>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</si>
  <si>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</si>
  <si>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</si>
  <si>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</si>
  <si>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</si>
  <si>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</si>
  <si>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</si>
  <si>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</si>
  <si>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</si>
  <si>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</si>
  <si>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</si>
  <si>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</si>
  <si>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</si>
  <si>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</si>
  <si>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</si>
  <si>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</si>
  <si>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</si>
  <si>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</si>
  <si>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</si>
  <si>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</si>
  <si>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</si>
  <si>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</si>
  <si>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</si>
  <si>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</si>
  <si>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</si>
  <si>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</si>
  <si>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</si>
  <si>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</si>
  <si>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</si>
  <si>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</si>
  <si>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</si>
  <si>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</si>
  <si>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</si>
  <si>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</si>
  <si>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</si>
  <si>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</si>
  <si>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</si>
  <si>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</si>
  <si>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</si>
  <si>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</si>
  <si>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</si>
  <si>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</si>
  <si>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</si>
  <si>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</si>
  <si>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</si>
  <si>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</si>
  <si>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</si>
  <si>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</si>
  <si>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</si>
  <si>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</si>
  <si>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</si>
  <si>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</si>
  <si>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</si>
  <si>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</si>
  <si>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</si>
  <si>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</si>
  <si>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</si>
  <si>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</si>
  <si>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</si>
  <si>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</si>
  <si>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</si>
  <si>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</si>
  <si>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</si>
  <si>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</si>
  <si>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</si>
  <si>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</si>
  <si>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</si>
  <si>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</si>
  <si>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</si>
  <si>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</si>
  <si>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</si>
  <si>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</si>
  <si>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</si>
  <si>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</si>
  <si>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</si>
  <si>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</si>
  <si>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</si>
  <si>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</si>
  <si>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</si>
  <si>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</si>
  <si>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</si>
  <si>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</si>
  <si>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</si>
  <si>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</si>
  <si>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</si>
  <si>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</si>
  <si>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</si>
  <si>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</si>
  <si>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</si>
  <si>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</si>
  <si>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</si>
  <si>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</si>
  <si>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</si>
  <si>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</si>
  <si>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</si>
  <si>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</si>
  <si>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</si>
  <si>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</si>
  <si>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</si>
  <si>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</si>
  <si>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</si>
  <si>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</si>
  <si>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</si>
  <si>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</si>
  <si>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</si>
  <si>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</si>
  <si>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</si>
  <si>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</si>
  <si>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</si>
  <si>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</si>
  <si>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</si>
  <si>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</si>
  <si>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</si>
  <si>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</si>
  <si>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</si>
  <si>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</si>
  <si>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</si>
  <si>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</si>
  <si>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</si>
  <si>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</si>
  <si>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</si>
  <si>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</si>
  <si>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</si>
  <si>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</si>
  <si>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</si>
  <si>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</si>
  <si>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</si>
  <si>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</si>
  <si>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</si>
  <si>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</si>
  <si>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</si>
  <si>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</si>
  <si>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</si>
  <si>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</si>
  <si>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</si>
  <si>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</si>
  <si>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</si>
  <si>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</si>
  <si>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</si>
  <si>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</si>
  <si>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</si>
  <si>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</si>
  <si>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</si>
  <si>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</si>
  <si>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</si>
  <si>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</si>
  <si>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</si>
  <si>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</si>
  <si>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</si>
  <si>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</si>
  <si>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</si>
  <si>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</si>
  <si>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</si>
  <si>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</si>
  <si>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</si>
  <si>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</si>
  <si>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</si>
  <si>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</si>
  <si>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</si>
  <si>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</si>
  <si>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</si>
  <si>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</si>
  <si>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</si>
  <si>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</si>
  <si>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</si>
  <si>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</si>
  <si>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</si>
  <si>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</si>
  <si>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</si>
  <si>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</si>
  <si>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</si>
  <si>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</si>
  <si>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</si>
  <si>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</si>
  <si>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</si>
  <si>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</si>
  <si>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</si>
  <si>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</si>
  <si>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</si>
  <si>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</si>
  <si>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</si>
  <si>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</si>
  <si>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</si>
  <si>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</si>
  <si>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</si>
  <si>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</si>
  <si>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</si>
  <si>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</si>
  <si>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</si>
  <si>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</si>
  <si>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</si>
  <si>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</si>
  <si>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</si>
  <si>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</si>
  <si>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</si>
  <si>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</si>
  <si>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</si>
  <si>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</si>
  <si>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</si>
  <si>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</si>
  <si>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</si>
  <si>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</si>
  <si>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</si>
  <si>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</si>
  <si>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</si>
  <si>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</si>
  <si>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</si>
  <si>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</si>
  <si>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</si>
  <si>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</si>
  <si>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</si>
  <si>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</si>
  <si>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</si>
  <si>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</si>
  <si>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</si>
  <si>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</si>
  <si>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</si>
  <si>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</si>
  <si>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</si>
  <si>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</si>
  <si>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</si>
  <si>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</si>
  <si>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</si>
  <si>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</si>
  <si>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</si>
  <si>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</si>
  <si>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</si>
  <si>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</si>
  <si>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</si>
  <si>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</si>
  <si>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</si>
  <si>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</si>
  <si>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</si>
  <si>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</si>
  <si>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</si>
  <si>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</si>
  <si>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</si>
  <si>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</si>
  <si>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</si>
  <si>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</si>
  <si>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</si>
  <si>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</si>
  <si>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</si>
  <si>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</si>
  <si>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</si>
  <si>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</si>
  <si>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</si>
  <si>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</si>
  <si>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</si>
  <si>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</si>
  <si>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</si>
  <si>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</si>
  <si>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</si>
  <si>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</si>
  <si>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</si>
  <si>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</si>
  <si>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</si>
  <si>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</si>
  <si>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</si>
  <si>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</si>
  <si>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</si>
  <si>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</si>
  <si>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</si>
  <si>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</si>
  <si>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</si>
  <si>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</si>
  <si>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</si>
  <si>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</si>
  <si>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</si>
  <si>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</si>
  <si>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</si>
  <si>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</si>
  <si>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</si>
  <si>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</si>
  <si>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</si>
  <si>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</si>
  <si>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</si>
  <si>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</si>
  <si>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</si>
  <si>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</si>
  <si>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</si>
  <si>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</si>
  <si>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</si>
  <si>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</si>
  <si>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</si>
  <si>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</si>
  <si>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</si>
  <si>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</si>
  <si>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</si>
  <si>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</si>
  <si>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</si>
  <si>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</si>
  <si>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</si>
  <si>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</si>
  <si>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</si>
  <si>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</si>
  <si>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</si>
  <si>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</si>
  <si>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</si>
  <si>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</si>
  <si>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</si>
  <si>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</si>
  <si>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</si>
  <si>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</si>
  <si>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</si>
  <si>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</si>
  <si>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</si>
  <si>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</si>
  <si>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</si>
  <si>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</si>
  <si>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</si>
  <si>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</si>
  <si>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</si>
  <si>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</si>
  <si>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</si>
  <si>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</si>
  <si>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</si>
  <si>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</si>
  <si>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</si>
  <si>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</si>
  <si>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</si>
  <si>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</si>
  <si>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</si>
  <si>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</si>
  <si>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</si>
  <si>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</si>
  <si>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</si>
  <si>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</si>
  <si>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</si>
  <si>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</si>
  <si>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</si>
  <si>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</si>
  <si>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</si>
  <si>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</si>
  <si>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</si>
  <si>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</si>
  <si>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</si>
  <si>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</si>
  <si>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</si>
  <si>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</si>
  <si>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</si>
  <si>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</si>
  <si>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</si>
  <si>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</si>
  <si>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</si>
  <si>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</si>
  <si>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</si>
  <si>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</si>
  <si>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</si>
  <si>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</si>
  <si>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</si>
  <si>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</si>
  <si>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</si>
  <si>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</si>
  <si>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</si>
  <si>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</si>
  <si>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</si>
  <si>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</si>
  <si>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</si>
  <si>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</si>
  <si>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</si>
  <si>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</si>
  <si>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</si>
  <si>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</si>
  <si>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</si>
  <si>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</si>
  <si>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</si>
  <si>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</si>
  <si>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</si>
  <si>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</si>
  <si>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</si>
  <si>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</si>
  <si>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</si>
  <si>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</si>
  <si>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</si>
  <si>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</si>
  <si>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</si>
  <si>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</si>
  <si>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</si>
  <si>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</si>
  <si>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</si>
  <si>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</si>
  <si>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</si>
  <si>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</si>
  <si>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</si>
  <si>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</si>
  <si>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</si>
  <si>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</si>
  <si>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</si>
  <si>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</si>
  <si>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</si>
  <si>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</si>
  <si>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</si>
  <si>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</si>
  <si>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</si>
  <si>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</si>
  <si>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</si>
  <si>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</si>
  <si>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</si>
  <si>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</si>
  <si>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</si>
  <si>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</si>
  <si>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</si>
  <si>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</si>
  <si>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</si>
  <si>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</si>
  <si>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</si>
  <si>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</si>
  <si>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</si>
  <si>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</si>
  <si>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</si>
  <si>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</si>
  <si>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</si>
  <si>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</si>
  <si>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</si>
  <si>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</si>
  <si>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</si>
  <si>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</si>
  <si>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</si>
  <si>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</si>
  <si>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</si>
  <si>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</si>
  <si>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</si>
  <si>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</si>
  <si>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</si>
  <si>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</si>
  <si>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</si>
  <si>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</si>
  <si>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</si>
  <si>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</si>
  <si>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</si>
  <si>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</si>
  <si>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</si>
  <si>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</si>
  <si>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</si>
  <si>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</si>
  <si>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</si>
  <si>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</si>
  <si>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</si>
  <si>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</si>
  <si>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</si>
  <si>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</si>
  <si>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</si>
  <si>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</si>
  <si>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</si>
  <si>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</si>
  <si>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</si>
  <si>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</si>
  <si>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</si>
  <si>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</si>
  <si>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</si>
  <si>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</si>
  <si>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</si>
  <si>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</si>
  <si>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</si>
  <si>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</si>
  <si>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</si>
  <si>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</si>
  <si>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</si>
  <si>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</si>
  <si>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</si>
  <si>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</si>
  <si>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</si>
  <si>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</si>
  <si>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</si>
  <si>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</si>
  <si>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</si>
  <si>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</si>
  <si>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</si>
  <si>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</si>
  <si>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</si>
  <si>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</si>
  <si>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</si>
  <si>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</si>
  <si>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</si>
  <si>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</si>
  <si>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</si>
  <si>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</si>
  <si>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</si>
  <si>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</si>
  <si>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</si>
  <si>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</si>
  <si>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</si>
  <si>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</si>
  <si>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</si>
  <si>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</si>
  <si>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</si>
  <si>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</si>
  <si>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</si>
  <si>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</si>
  <si>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</si>
  <si>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12035</t>
  </si>
  <si>
    <t>SINT-KATELIJNE-WAVER</t>
  </si>
  <si>
    <t>Paarden&amp;pony's 200 - 600 kg</t>
  </si>
  <si>
    <t>Paarden&amp;pony's &lt; 200 kg</t>
  </si>
  <si>
    <t>referentietaak LNE (2017); Jaarverslag De Lijn (2014)</t>
  </si>
  <si>
    <t>op basis van VEA (maart 2018) en Inventaris Hernieuwbare Energiebronnen (juni 2018)</t>
  </si>
  <si>
    <t>VEA (maart 2016)</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</si>
  <si>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</si>
  <si>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</si>
  <si>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</si>
  <si>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</si>
  <si>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</si>
  <si>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</si>
  <si>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</si>
  <si>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</si>
  <si>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</si>
  <si>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</si>
  <si>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</si>
  <si>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</si>
  <si>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</si>
  <si>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</si>
  <si>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</si>
  <si>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</si>
  <si>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</si>
  <si>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</si>
  <si>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</si>
  <si>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</si>
  <si>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</si>
  <si>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</si>
  <si>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</si>
  <si>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</si>
  <si>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</si>
  <si>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</si>
  <si>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</si>
  <si>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</si>
  <si>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</si>
  <si>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</si>
  <si>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</si>
  <si>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</si>
  <si>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</si>
  <si>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</si>
  <si>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</si>
  <si>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</si>
  <si>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</si>
  <si>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</si>
  <si>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</si>
  <si>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</si>
  <si>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</si>
  <si>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</si>
  <si>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</si>
  <si>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</si>
  <si>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</si>
  <si>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</si>
  <si>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</si>
  <si>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</si>
  <si>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</si>
  <si>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</si>
  <si>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</si>
  <si>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</si>
  <si>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</si>
  <si>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</si>
  <si>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</si>
  <si>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</si>
  <si>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</si>
  <si>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</si>
  <si>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</si>
  <si>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</si>
  <si>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</si>
  <si>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</si>
  <si>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</si>
  <si>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</si>
  <si>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</si>
  <si>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</si>
  <si>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</si>
  <si>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</si>
  <si>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</si>
  <si>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</si>
  <si>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De Becker Elektrogroep</t>
  </si>
  <si>
    <t>Z.4 Broekooi 300, 1730 Asse</t>
  </si>
  <si>
    <t>WKK-0329 Costermans</t>
  </si>
  <si>
    <t>Koelarenveld 4 , 2861 Onze-Lieve-Vrouw-Waver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</si>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</sst>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154723.38316674484</c:v>
                </c:pt>
                <c:pt idx="1">
                  <c:v>108310.39107301366</c:v>
                </c:pt>
                <c:pt idx="2">
                  <c:v>1518.3810000000001</c:v>
                </c:pt>
                <c:pt idx="3">
                  <c:v>229868.29173503997</c:v>
                </c:pt>
                <c:pt idx="4">
                  <c:v>17334.420868872927</c:v>
                </c:pt>
                <c:pt idx="5">
                  <c:v>66275.649873478571</c:v>
                </c:pt>
                <c:pt idx="6">
                  <c:v>2541.3220039911275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154723.38316674484</c:v>
                </c:pt>
                <c:pt idx="1">
                  <c:v>108310.39107301366</c:v>
                </c:pt>
                <c:pt idx="2">
                  <c:v>1518.3810000000001</c:v>
                </c:pt>
                <c:pt idx="3">
                  <c:v>229868.29173503997</c:v>
                </c:pt>
                <c:pt idx="4">
                  <c:v>17334.420868872927</c:v>
                </c:pt>
                <c:pt idx="5">
                  <c:v>66275.649873478571</c:v>
                </c:pt>
                <c:pt idx="6">
                  <c:v>2541.3220039911275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31912.303134272668</c:v>
                </c:pt>
                <c:pt idx="2">
                  <c:v>22173.781140503317</c:v>
                </c:pt>
                <c:pt idx="3">
                  <c:v>309.42336421204521</c:v>
                </c:pt>
                <c:pt idx="4">
                  <c:v>49840.733515536784</c:v>
                </c:pt>
                <c:pt idx="5">
                  <c:v>3462.8961357972448</c:v>
                </c:pt>
                <c:pt idx="6">
                  <c:v>16599.113329254713</c:v>
                </c:pt>
                <c:pt idx="7">
                  <c:v>641.92581703497126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34208"/>
      </c:barChart>
      <c:catAx>
        <c:axId val="18228326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31912.303134272668</c:v>
                </c:pt>
                <c:pt idx="2">
                  <c:v>22173.781140503317</c:v>
                </c:pt>
                <c:pt idx="3">
                  <c:v>309.42336421204521</c:v>
                </c:pt>
                <c:pt idx="4">
                  <c:v>49840.733515536784</c:v>
                </c:pt>
                <c:pt idx="5">
                  <c:v>3462.8961357972448</c:v>
                </c:pt>
                <c:pt idx="6">
                  <c:v>16599.113329254713</c:v>
                </c:pt>
                <c:pt idx="7">
                  <c:v>641.92581703497126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12035</v>
      </c>
      <c r="B6" s="416"/>
      <c r="C6" s="417"/>
    </row>
    <row r="7" spans="1:7" s="414" customFormat="1" ht="15.75" customHeight="1">
      <c r="A7" s="418" t="str">
        <f>txtMunicipality</f>
        <v>SINT-KATELIJNE-WAVER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0.20378506067452451</v>
      </c>
      <c r="C17" s="525">
        <f ca="1">'EF ele_warmte'!B22</f>
        <v>0.21560546636224565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0.20378506067452451</v>
      </c>
      <c r="C29" s="526">
        <f ca="1">'EF ele_warmte'!B22</f>
        <v>0.21560546636224565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7921</v>
      </c>
      <c r="C9" s="342">
        <v>8507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1163</v>
      </c>
    </row>
    <row r="15" spans="1:6">
      <c r="A15" s="348" t="s">
        <v>184</v>
      </c>
      <c r="B15" s="334">
        <v>4</v>
      </c>
    </row>
    <row r="16" spans="1:6">
      <c r="A16" s="348" t="s">
        <v>6</v>
      </c>
      <c r="B16" s="334">
        <v>363</v>
      </c>
    </row>
    <row r="17" spans="1:6">
      <c r="A17" s="348" t="s">
        <v>7</v>
      </c>
      <c r="B17" s="334">
        <v>181</v>
      </c>
    </row>
    <row r="18" spans="1:6">
      <c r="A18" s="348" t="s">
        <v>8</v>
      </c>
      <c r="B18" s="334">
        <v>307</v>
      </c>
    </row>
    <row r="19" spans="1:6">
      <c r="A19" s="348" t="s">
        <v>9</v>
      </c>
      <c r="B19" s="334">
        <v>248</v>
      </c>
    </row>
    <row r="20" spans="1:6">
      <c r="A20" s="348" t="s">
        <v>10</v>
      </c>
      <c r="B20" s="334">
        <v>259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121</v>
      </c>
    </row>
    <row r="27" spans="1:6">
      <c r="A27" s="348" t="s">
        <v>17</v>
      </c>
      <c r="B27" s="334">
        <v>0</v>
      </c>
    </row>
    <row r="28" spans="1:6" s="356" customFormat="1">
      <c r="A28" s="355" t="s">
        <v>18</v>
      </c>
      <c r="B28" s="355">
        <v>15619</v>
      </c>
    </row>
    <row r="29" spans="1:6">
      <c r="A29" s="355" t="s">
        <v>901</v>
      </c>
      <c r="B29" s="355">
        <v>474</v>
      </c>
      <c r="C29" s="356"/>
      <c r="D29" s="356"/>
      <c r="E29" s="356"/>
      <c r="F29" s="356"/>
    </row>
    <row r="30" spans="1:6">
      <c r="A30" s="341" t="s">
        <v>902</v>
      </c>
      <c r="B30" s="341">
        <v>91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26192745.767020401</v>
      </c>
      <c r="E38" s="334">
        <v>5</v>
      </c>
      <c r="F38" s="334">
        <v>463336</v>
      </c>
    </row>
    <row r="39" spans="1:6">
      <c r="A39" s="348" t="s">
        <v>30</v>
      </c>
      <c r="B39" s="348" t="s">
        <v>31</v>
      </c>
      <c r="C39" s="334">
        <v>4985</v>
      </c>
      <c r="D39" s="334">
        <v>80332980.199706897</v>
      </c>
      <c r="E39" s="334">
        <v>7571</v>
      </c>
      <c r="F39" s="334">
        <v>31215172</v>
      </c>
    </row>
    <row r="40" spans="1:6">
      <c r="A40" s="348" t="s">
        <v>30</v>
      </c>
      <c r="B40" s="348" t="s">
        <v>29</v>
      </c>
      <c r="C40" s="334">
        <v>0</v>
      </c>
      <c r="D40" s="334">
        <v>0</v>
      </c>
      <c r="E40" s="334">
        <v>0</v>
      </c>
      <c r="F40" s="334">
        <v>0</v>
      </c>
    </row>
    <row r="41" spans="1:6">
      <c r="A41" s="348" t="s">
        <v>32</v>
      </c>
      <c r="B41" s="348" t="s">
        <v>33</v>
      </c>
      <c r="C41" s="334">
        <v>58</v>
      </c>
      <c r="D41" s="334">
        <v>1343501.6335122101</v>
      </c>
      <c r="E41" s="334">
        <v>131</v>
      </c>
      <c r="F41" s="334">
        <v>1558868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304189.33093395602</v>
      </c>
      <c r="E44" s="334">
        <v>8</v>
      </c>
      <c r="F44" s="334">
        <v>419178.1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42</v>
      </c>
      <c r="D48" s="334">
        <v>5201705.4482755298</v>
      </c>
      <c r="E48" s="334">
        <v>59</v>
      </c>
      <c r="F48" s="334">
        <v>2763247</v>
      </c>
    </row>
    <row r="49" spans="1:6">
      <c r="A49" s="348" t="s">
        <v>32</v>
      </c>
      <c r="B49" s="348" t="s">
        <v>40</v>
      </c>
      <c r="C49" s="334">
        <v>0</v>
      </c>
      <c r="D49" s="334">
        <v>0</v>
      </c>
      <c r="E49" s="334">
        <v>0</v>
      </c>
      <c r="F49" s="334">
        <v>0</v>
      </c>
    </row>
    <row r="50" spans="1:6">
      <c r="A50" s="348" t="s">
        <v>32</v>
      </c>
      <c r="B50" s="348" t="s">
        <v>41</v>
      </c>
      <c r="C50" s="334">
        <v>5</v>
      </c>
      <c r="D50" s="334">
        <v>281356.48576485302</v>
      </c>
      <c r="E50" s="334">
        <v>14</v>
      </c>
      <c r="F50" s="334">
        <v>737827.3</v>
      </c>
    </row>
    <row r="51" spans="1:6">
      <c r="A51" s="348" t="s">
        <v>42</v>
      </c>
      <c r="B51" s="348" t="s">
        <v>43</v>
      </c>
      <c r="C51" s="334">
        <v>49</v>
      </c>
      <c r="D51" s="334">
        <v>399202271.42999798</v>
      </c>
      <c r="E51" s="334">
        <v>163</v>
      </c>
      <c r="F51" s="334">
        <v>5792055</v>
      </c>
    </row>
    <row r="52" spans="1:6">
      <c r="A52" s="348" t="s">
        <v>42</v>
      </c>
      <c r="B52" s="348" t="s">
        <v>29</v>
      </c>
      <c r="C52" s="334">
        <v>9</v>
      </c>
      <c r="D52" s="334">
        <v>6610978.1293129399</v>
      </c>
      <c r="E52" s="334">
        <v>15</v>
      </c>
      <c r="F52" s="334">
        <v>473577.8</v>
      </c>
    </row>
    <row r="53" spans="1:6">
      <c r="A53" s="348" t="s">
        <v>44</v>
      </c>
      <c r="B53" s="348" t="s">
        <v>45</v>
      </c>
      <c r="C53" s="334">
        <v>111</v>
      </c>
      <c r="D53" s="334">
        <v>2723311.6502774302</v>
      </c>
      <c r="E53" s="334">
        <v>226</v>
      </c>
      <c r="F53" s="334">
        <v>1006774</v>
      </c>
    </row>
    <row r="54" spans="1:6">
      <c r="A54" s="348" t="s">
        <v>46</v>
      </c>
      <c r="B54" s="348" t="s">
        <v>47</v>
      </c>
      <c r="C54" s="334">
        <v>0</v>
      </c>
      <c r="D54" s="334">
        <v>0</v>
      </c>
      <c r="E54" s="334">
        <v>1</v>
      </c>
      <c r="F54" s="334">
        <v>1518381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1365125.85132805</v>
      </c>
      <c r="E57" s="334">
        <v>66</v>
      </c>
      <c r="F57" s="334">
        <v>777155.8</v>
      </c>
    </row>
    <row r="58" spans="1:6">
      <c r="A58" s="348" t="s">
        <v>49</v>
      </c>
      <c r="B58" s="348" t="s">
        <v>51</v>
      </c>
      <c r="C58" s="334">
        <v>26</v>
      </c>
      <c r="D58" s="334">
        <v>6415476.2764538899</v>
      </c>
      <c r="E58" s="334">
        <v>40</v>
      </c>
      <c r="F58" s="334">
        <v>1675410</v>
      </c>
    </row>
    <row r="59" spans="1:6">
      <c r="A59" s="348" t="s">
        <v>49</v>
      </c>
      <c r="B59" s="348" t="s">
        <v>52</v>
      </c>
      <c r="C59" s="334">
        <v>97</v>
      </c>
      <c r="D59" s="334">
        <v>5452074.8301178599</v>
      </c>
      <c r="E59" s="334">
        <v>204</v>
      </c>
      <c r="F59" s="334">
        <v>30966142</v>
      </c>
    </row>
    <row r="60" spans="1:6">
      <c r="A60" s="348" t="s">
        <v>49</v>
      </c>
      <c r="B60" s="348" t="s">
        <v>53</v>
      </c>
      <c r="C60" s="334">
        <v>69</v>
      </c>
      <c r="D60" s="334">
        <v>4508847.3699226398</v>
      </c>
      <c r="E60" s="334">
        <v>121</v>
      </c>
      <c r="F60" s="334">
        <v>2644931</v>
      </c>
    </row>
    <row r="61" spans="1:6">
      <c r="A61" s="348" t="s">
        <v>49</v>
      </c>
      <c r="B61" s="348" t="s">
        <v>54</v>
      </c>
      <c r="C61" s="334">
        <v>107</v>
      </c>
      <c r="D61" s="334">
        <v>5512710.7722585304</v>
      </c>
      <c r="E61" s="334">
        <v>226</v>
      </c>
      <c r="F61" s="334">
        <v>3227806</v>
      </c>
    </row>
    <row r="62" spans="1:6">
      <c r="A62" s="348" t="s">
        <v>49</v>
      </c>
      <c r="B62" s="348" t="s">
        <v>55</v>
      </c>
      <c r="C62" s="334">
        <v>9</v>
      </c>
      <c r="D62" s="334">
        <v>1913620.6758727001</v>
      </c>
      <c r="E62" s="334">
        <v>14</v>
      </c>
      <c r="F62" s="334">
        <v>769958.9</v>
      </c>
    </row>
    <row r="63" spans="1:6">
      <c r="A63" s="348" t="s">
        <v>49</v>
      </c>
      <c r="B63" s="348" t="s">
        <v>29</v>
      </c>
      <c r="C63" s="334">
        <v>134</v>
      </c>
      <c r="D63" s="334">
        <v>25460608.101115499</v>
      </c>
      <c r="E63" s="334">
        <v>158</v>
      </c>
      <c r="F63" s="334">
        <v>14519094</v>
      </c>
    </row>
    <row r="64" spans="1:6">
      <c r="A64" s="348" t="s">
        <v>56</v>
      </c>
      <c r="B64" s="348" t="s">
        <v>57</v>
      </c>
      <c r="C64" s="334">
        <v>0</v>
      </c>
      <c r="D64" s="334">
        <v>0</v>
      </c>
      <c r="E64" s="334">
        <v>0</v>
      </c>
      <c r="F64" s="334">
        <v>0</v>
      </c>
    </row>
    <row r="65" spans="1:6">
      <c r="A65" s="348" t="s">
        <v>56</v>
      </c>
      <c r="B65" s="348" t="s">
        <v>29</v>
      </c>
      <c r="C65" s="334">
        <v>4</v>
      </c>
      <c r="D65" s="334">
        <v>177520.32489585399</v>
      </c>
      <c r="E65" s="334">
        <v>6</v>
      </c>
      <c r="F65" s="334">
        <v>70473.100000000006</v>
      </c>
    </row>
    <row r="66" spans="1:6">
      <c r="A66" s="348" t="s">
        <v>56</v>
      </c>
      <c r="B66" s="348" t="s">
        <v>58</v>
      </c>
      <c r="C66" s="334">
        <v>0</v>
      </c>
      <c r="D66" s="334">
        <v>0</v>
      </c>
      <c r="E66" s="334">
        <v>11</v>
      </c>
      <c r="F66" s="334">
        <v>190351.2</v>
      </c>
    </row>
    <row r="67" spans="1:6">
      <c r="A67" s="355" t="s">
        <v>56</v>
      </c>
      <c r="B67" s="355" t="s">
        <v>59</v>
      </c>
      <c r="C67" s="334">
        <v>0</v>
      </c>
      <c r="D67" s="334">
        <v>0</v>
      </c>
      <c r="E67" s="334">
        <v>0</v>
      </c>
      <c r="F67" s="334">
        <v>0</v>
      </c>
    </row>
    <row r="68" spans="1:6">
      <c r="A68" s="341" t="s">
        <v>56</v>
      </c>
      <c r="B68" s="341" t="s">
        <v>60</v>
      </c>
      <c r="C68" s="334">
        <v>6</v>
      </c>
      <c r="D68" s="334">
        <v>254865.61455458199</v>
      </c>
      <c r="E68" s="334">
        <v>12</v>
      </c>
      <c r="F68" s="334">
        <v>864660.7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64146981</v>
      </c>
      <c r="E73" s="476">
        <v>71680464.487665668</v>
      </c>
    </row>
    <row r="74" spans="1:6">
      <c r="A74" s="348" t="s">
        <v>64</v>
      </c>
      <c r="B74" s="348" t="s">
        <v>714</v>
      </c>
      <c r="C74" s="1311" t="s">
        <v>716</v>
      </c>
      <c r="D74" s="476">
        <v>4953521.0438103043</v>
      </c>
      <c r="E74" s="476">
        <v>5539265.7813266115</v>
      </c>
    </row>
    <row r="75" spans="1:6">
      <c r="A75" s="348" t="s">
        <v>65</v>
      </c>
      <c r="B75" s="348" t="s">
        <v>713</v>
      </c>
      <c r="C75" s="1311" t="s">
        <v>717</v>
      </c>
      <c r="D75" s="476">
        <v>15380964</v>
      </c>
      <c r="E75" s="476">
        <v>16905058.577839609</v>
      </c>
    </row>
    <row r="76" spans="1:6">
      <c r="A76" s="348" t="s">
        <v>65</v>
      </c>
      <c r="B76" s="348" t="s">
        <v>714</v>
      </c>
      <c r="C76" s="1311" t="s">
        <v>718</v>
      </c>
      <c r="D76" s="476">
        <v>414974.04381030385</v>
      </c>
      <c r="E76" s="476">
        <v>492064.90704583691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679101.91237939231</v>
      </c>
      <c r="C83" s="476">
        <v>671407.63101007068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4323.4440180063984</v>
      </c>
    </row>
    <row r="92" spans="1:6">
      <c r="A92" s="341" t="s">
        <v>69</v>
      </c>
      <c r="B92" s="342">
        <v>5137.721074031947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3</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109799.92150289413</v>
      </c>
      <c r="C3" s="43" t="s">
        <v>170</v>
      </c>
      <c r="D3" s="43"/>
      <c r="E3" s="154"/>
      <c r="F3" s="43"/>
      <c r="G3" s="43"/>
      <c r="H3" s="43"/>
      <c r="I3" s="43"/>
      <c r="J3" s="43"/>
      <c r="K3" s="96"/>
    </row>
    <row r="4" spans="1:11">
      <c r="A4" s="384" t="s">
        <v>171</v>
      </c>
      <c r="B4" s="49">
        <f>IF(ISERROR('SEAP template'!B78+'SEAP template'!C78),0,'SEAP template'!B78+'SEAP template'!C78)</f>
        <v>172572.66509203834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35167.731026545429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0.20378506067452451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48729.253259168843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226011.2142857142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0.21560546636224565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1518.3810000000001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1518.3810000000001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0.20378506067452451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309.42336421204521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31215.171999999999</v>
      </c>
      <c r="C5" s="17">
        <f>IF(ISERROR('Eigen informatie GS &amp; warmtenet'!B57),0,'Eigen informatie GS &amp; warmtenet'!B57)</f>
        <v>0</v>
      </c>
      <c r="D5" s="30">
        <f>(SUM(HH_hh_gas_kWh,HH_rest_gas_kWh)/1000)*0.902</f>
        <v>72460.348140135626</v>
      </c>
      <c r="E5" s="17">
        <f>B46*B57</f>
        <v>2430.9544233678116</v>
      </c>
      <c r="F5" s="17">
        <f>B51*B62</f>
        <v>34335.074603344503</v>
      </c>
      <c r="G5" s="18"/>
      <c r="H5" s="17"/>
      <c r="I5" s="17"/>
      <c r="J5" s="17">
        <f>B50*B61+C50*C61</f>
        <v>886.39043855856357</v>
      </c>
      <c r="K5" s="17"/>
      <c r="L5" s="17"/>
      <c r="M5" s="17"/>
      <c r="N5" s="17">
        <f>B48*B59+C48*C59</f>
        <v>7743.802876665266</v>
      </c>
      <c r="O5" s="17">
        <f>B69*B70*B71</f>
        <v>298.59666666666669</v>
      </c>
      <c r="P5" s="17">
        <f>B77*B78*B79/1000-B77*B78*B79/1000/B80</f>
        <v>1029.5999999999999</v>
      </c>
    </row>
    <row r="6" spans="1:16">
      <c r="A6" s="16" t="s">
        <v>631</v>
      </c>
      <c r="B6" s="789">
        <f>kWh_PV_kleiner_dan_10kW</f>
        <v>4323.4440180063984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35538.616018006396</v>
      </c>
      <c r="C8" s="21">
        <f>C5</f>
        <v>0</v>
      </c>
      <c r="D8" s="21">
        <f>D5</f>
        <v>72460.348140135626</v>
      </c>
      <c r="E8" s="21">
        <f>E5</f>
        <v>2430.9544233678116</v>
      </c>
      <c r="F8" s="21">
        <f>F5</f>
        <v>34335.074603344503</v>
      </c>
      <c r="G8" s="21"/>
      <c r="H8" s="21"/>
      <c r="I8" s="21"/>
      <c r="J8" s="21">
        <f>J5</f>
        <v>886.39043855856357</v>
      </c>
      <c r="K8" s="21"/>
      <c r="L8" s="21">
        <f>L5</f>
        <v>0</v>
      </c>
      <c r="M8" s="21">
        <f>M5</f>
        <v>0</v>
      </c>
      <c r="N8" s="21">
        <f>N5</f>
        <v>7743.802876665266</v>
      </c>
      <c r="O8" s="21">
        <f>O5</f>
        <v>298.59666666666669</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0.20378506067452451</v>
      </c>
      <c r="C10" s="25">
        <f ca="1">'EF ele_warmte'!B22</f>
        <v>0.21560546636224565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7242.2390215180621</v>
      </c>
      <c r="C12" s="23">
        <f ca="1">C10*C8</f>
        <v>0</v>
      </c>
      <c r="D12" s="23">
        <f>D8*D10</f>
        <v>14636.990324307397</v>
      </c>
      <c r="E12" s="23">
        <f>E10*E8</f>
        <v>551.82665410449329</v>
      </c>
      <c r="F12" s="23">
        <f>F10*F8</f>
        <v>9167.4649190929831</v>
      </c>
      <c r="G12" s="23"/>
      <c r="H12" s="23"/>
      <c r="I12" s="23"/>
      <c r="J12" s="23">
        <f>J10*J8</f>
        <v>313.78221524973151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7921</v>
      </c>
      <c r="C28" s="36"/>
      <c r="D28" s="228"/>
    </row>
    <row r="29" spans="1:7" s="15" customFormat="1">
      <c r="A29" s="230" t="s">
        <v>741</v>
      </c>
      <c r="B29" s="37">
        <f>SUM(HH_hh_gas_aantal,HH_rest_gas_aantal)</f>
        <v>4985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4985</v>
      </c>
      <c r="C32" s="167">
        <f>IF(ISERROR(B32/SUM($B$32,$B$34,$B$35,$B$36,$B$38,$B$39)*100),0,B32/SUM($B$32,$B$34,$B$35,$B$36,$B$38,$B$39)*100)</f>
        <v>63.365959069530945</v>
      </c>
      <c r="D32" s="233"/>
      <c r="G32" s="15"/>
    </row>
    <row r="33" spans="1:7">
      <c r="A33" s="171" t="s">
        <v>72</v>
      </c>
      <c r="B33" s="34" t="s">
        <v>111</v>
      </c>
      <c r="C33" s="167"/>
      <c r="D33" s="233"/>
      <c r="G33" s="15"/>
    </row>
    <row r="34" spans="1:7">
      <c r="A34" s="171" t="s">
        <v>73</v>
      </c>
      <c r="B34" s="33">
        <f>IF((($B$28-$B$32-$B$39-$B$77-$B$38)*C20/100)&lt;0,0,($B$28-$B$32-$B$39-$B$77-$B$38)*C20/100)</f>
        <v>162.92719167904906</v>
      </c>
      <c r="C34" s="167">
        <f>IF(ISERROR(B34/SUM($B$32,$B$34,$B$35,$B$36,$B$38,$B$39)*100),0,B34/SUM($B$32,$B$34,$B$35,$B$36,$B$38,$B$39)*100)</f>
        <v>2.0710206136907212</v>
      </c>
      <c r="D34" s="233"/>
      <c r="G34" s="15"/>
    </row>
    <row r="35" spans="1:7">
      <c r="A35" s="171" t="s">
        <v>74</v>
      </c>
      <c r="B35" s="33">
        <f>IF((($B$28-$B$32-$B$39-$B$77-$B$38)*C21/100)&lt;0,0,($B$28-$B$32-$B$39-$B$77-$B$38)*C21/100)</f>
        <v>1162.2139673105498</v>
      </c>
      <c r="C35" s="167">
        <f>IF(ISERROR(B35/SUM($B$32,$B$34,$B$35,$B$36,$B$38,$B$39)*100),0,B35/SUM($B$32,$B$34,$B$35,$B$36,$B$38,$B$39)*100)</f>
        <v>14.773280377660477</v>
      </c>
      <c r="D35" s="233"/>
      <c r="G35" s="15"/>
    </row>
    <row r="36" spans="1:7">
      <c r="A36" s="171" t="s">
        <v>75</v>
      </c>
      <c r="B36" s="33">
        <f>IF((($B$28-$B$32-$B$39-$B$77-$B$38)*C22/100)&lt;0,0,($B$28-$B$32-$B$39-$B$77-$B$38)*C22/100)</f>
        <v>136.85884101040119</v>
      </c>
      <c r="C36" s="167">
        <f>IF(ISERROR(B36/SUM($B$32,$B$34,$B$35,$B$36,$B$38,$B$39)*100),0,B36/SUM($B$32,$B$34,$B$35,$B$36,$B$38,$B$39)*100)</f>
        <v>1.7396573155002055</v>
      </c>
      <c r="D36" s="233"/>
      <c r="G36" s="15"/>
    </row>
    <row r="37" spans="1:7">
      <c r="A37" s="171" t="s">
        <v>76</v>
      </c>
      <c r="B37" s="34" t="s">
        <v>111</v>
      </c>
      <c r="C37" s="167"/>
      <c r="D37" s="173"/>
      <c r="G37" s="15"/>
    </row>
    <row r="38" spans="1:7">
      <c r="A38" s="171" t="s">
        <v>77</v>
      </c>
      <c r="B38" s="33">
        <f>IF((B24-(B29-B18)*0.1)&lt;0,0,B24-(B29-B18)*0.1)</f>
        <v>25.199999999999989</v>
      </c>
      <c r="C38" s="167">
        <f>IF(ISERROR(B38/SUM($B$32,$B$34,$B$35,$B$36,$B$38,$B$39)*100),0,B38/SUM($B$32,$B$34,$B$35,$B$36,$B$38,$B$39)*100)</f>
        <v>0.3203254099402566</v>
      </c>
      <c r="D38" s="234"/>
      <c r="G38" s="15"/>
    </row>
    <row r="39" spans="1:7">
      <c r="A39" s="171" t="s">
        <v>78</v>
      </c>
      <c r="B39" s="33">
        <f>IF((B25-(B29-B18))&lt;0,0,B25-(B29-B18)*0.9)</f>
        <v>1394.8</v>
      </c>
      <c r="C39" s="167">
        <f>IF(ISERROR(B39/SUM($B$32,$B$34,$B$35,$B$36,$B$38,$B$39)*100),0,B39/SUM($B$32,$B$34,$B$35,$B$36,$B$38,$B$39)*100)</f>
        <v>17.729757213677384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4985</v>
      </c>
      <c r="C44" s="34" t="s">
        <v>111</v>
      </c>
      <c r="D44" s="174"/>
    </row>
    <row r="45" spans="1:7">
      <c r="A45" s="171" t="s">
        <v>72</v>
      </c>
      <c r="B45" s="33" t="str">
        <f t="shared" si="0"/>
        <v>-</v>
      </c>
      <c r="C45" s="34" t="s">
        <v>111</v>
      </c>
      <c r="D45" s="174"/>
    </row>
    <row r="46" spans="1:7">
      <c r="A46" s="171" t="s">
        <v>73</v>
      </c>
      <c r="B46" s="33">
        <f t="shared" si="0"/>
        <v>162.92719167904906</v>
      </c>
      <c r="C46" s="34" t="s">
        <v>111</v>
      </c>
      <c r="D46" s="174"/>
    </row>
    <row r="47" spans="1:7">
      <c r="A47" s="171" t="s">
        <v>74</v>
      </c>
      <c r="B47" s="33">
        <f t="shared" si="0"/>
        <v>1162.2139673105498</v>
      </c>
      <c r="C47" s="34" t="s">
        <v>111</v>
      </c>
      <c r="D47" s="174"/>
    </row>
    <row r="48" spans="1:7">
      <c r="A48" s="171" t="s">
        <v>75</v>
      </c>
      <c r="B48" s="33">
        <f t="shared" si="0"/>
        <v>136.85884101040119</v>
      </c>
      <c r="C48" s="33">
        <f>B48*10</f>
        <v>1368.5884101040119</v>
      </c>
      <c r="D48" s="234"/>
    </row>
    <row r="49" spans="1:6">
      <c r="A49" s="171" t="s">
        <v>76</v>
      </c>
      <c r="B49" s="33" t="str">
        <f t="shared" si="0"/>
        <v>-</v>
      </c>
      <c r="C49" s="34" t="s">
        <v>111</v>
      </c>
      <c r="D49" s="234"/>
    </row>
    <row r="50" spans="1:6">
      <c r="A50" s="171" t="s">
        <v>77</v>
      </c>
      <c r="B50" s="33">
        <f t="shared" si="0"/>
        <v>25.199999999999989</v>
      </c>
      <c r="C50" s="33">
        <f>B50*2</f>
        <v>50.399999999999977</v>
      </c>
      <c r="D50" s="234"/>
    </row>
    <row r="51" spans="1:6">
      <c r="A51" s="171" t="s">
        <v>78</v>
      </c>
      <c r="B51" s="33">
        <f t="shared" si="0"/>
        <v>1394.8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54580.4977</v>
      </c>
      <c r="C5" s="17">
        <f>IF(ISERROR('Eigen informatie GS &amp; warmtenet'!B58),0,'Eigen informatie GS &amp; warmtenet'!B58)</f>
        <v>0</v>
      </c>
      <c r="D5" s="30">
        <f>SUM(D6:D12)</f>
        <v>45666.874417116393</v>
      </c>
      <c r="E5" s="17">
        <f>SUM(E6:E12)</f>
        <v>588.77902762082795</v>
      </c>
      <c r="F5" s="17">
        <f>SUM(F6:F12)</f>
        <v>7661.4964995672199</v>
      </c>
      <c r="G5" s="18"/>
      <c r="H5" s="17"/>
      <c r="I5" s="17"/>
      <c r="J5" s="17">
        <f>SUM(J6:J12)</f>
        <v>0</v>
      </c>
      <c r="K5" s="17"/>
      <c r="L5" s="17"/>
      <c r="M5" s="17"/>
      <c r="N5" s="17">
        <f>SUM(N6:N12)</f>
        <v>2084.2058096615979</v>
      </c>
      <c r="O5" s="17">
        <f>B38*B39*B40</f>
        <v>4.6900000000000004</v>
      </c>
      <c r="P5" s="17">
        <f>B46*B47*B48/1000-B46*B47*B48/1000/B49</f>
        <v>38.133333333333333</v>
      </c>
      <c r="R5" s="32"/>
    </row>
    <row r="6" spans="1:18">
      <c r="A6" s="32" t="s">
        <v>54</v>
      </c>
      <c r="B6" s="37">
        <f>B26</f>
        <v>3227.806</v>
      </c>
      <c r="C6" s="33"/>
      <c r="D6" s="37">
        <f>IF(ISERROR(TER_kantoor_gas_kWh/1000),0,TER_kantoor_gas_kWh/1000)*0.902</f>
        <v>4972.4651165771947</v>
      </c>
      <c r="E6" s="33">
        <f>$C$26*'E Balans VL '!I12/100/3.6*1000000</f>
        <v>9.3514275682912302</v>
      </c>
      <c r="F6" s="33">
        <f>$C$26*('E Balans VL '!L12+'E Balans VL '!N12)/100/3.6*1000000</f>
        <v>365.31652512017865</v>
      </c>
      <c r="G6" s="34"/>
      <c r="H6" s="33"/>
      <c r="I6" s="33"/>
      <c r="J6" s="33">
        <f>$C$26*('E Balans VL '!D12+'E Balans VL '!E12)/100/3.6*1000000</f>
        <v>0</v>
      </c>
      <c r="K6" s="33"/>
      <c r="L6" s="33"/>
      <c r="M6" s="33"/>
      <c r="N6" s="33">
        <f>$C$26*'E Balans VL '!Y12/100/3.6*1000000</f>
        <v>32.30795970634864</v>
      </c>
      <c r="O6" s="33"/>
      <c r="P6" s="33"/>
      <c r="R6" s="32"/>
    </row>
    <row r="7" spans="1:18">
      <c r="A7" s="32" t="s">
        <v>53</v>
      </c>
      <c r="B7" s="37">
        <f t="shared" ref="B7:B12" si="0">B27</f>
        <v>2644.931</v>
      </c>
      <c r="C7" s="33"/>
      <c r="D7" s="37">
        <f>IF(ISERROR(TER_horeca_gas_kWh/1000),0,TER_horeca_gas_kWh/1000)*0.902</f>
        <v>4066.980327670221</v>
      </c>
      <c r="E7" s="33">
        <f>$C$27*'E Balans VL '!I9/100/3.6*1000000</f>
        <v>111.02681358883657</v>
      </c>
      <c r="F7" s="33">
        <f>$C$27*('E Balans VL '!L9+'E Balans VL '!N9)/100/3.6*1000000</f>
        <v>568.31766476858331</v>
      </c>
      <c r="G7" s="34"/>
      <c r="H7" s="33"/>
      <c r="I7" s="33"/>
      <c r="J7" s="33">
        <f>$C$27*('E Balans VL '!D9+'E Balans VL '!E9)/100/3.6*1000000</f>
        <v>0</v>
      </c>
      <c r="K7" s="33"/>
      <c r="L7" s="33"/>
      <c r="M7" s="33"/>
      <c r="N7" s="33">
        <f>$C$27*'E Balans VL '!Y9/100/3.6*1000000</f>
        <v>0.68157558793928319</v>
      </c>
      <c r="O7" s="33"/>
      <c r="P7" s="33"/>
      <c r="R7" s="32"/>
    </row>
    <row r="8" spans="1:18">
      <c r="A8" s="6" t="s">
        <v>52</v>
      </c>
      <c r="B8" s="37">
        <f t="shared" si="0"/>
        <v>30966.142</v>
      </c>
      <c r="C8" s="33"/>
      <c r="D8" s="37">
        <f>IF(ISERROR(TER_handel_gas_kWh/1000),0,TER_handel_gas_kWh/1000)*0.902</f>
        <v>4917.7714967663096</v>
      </c>
      <c r="E8" s="33">
        <f>$C$28*'E Balans VL '!I13/100/3.6*1000000</f>
        <v>332.60213746736548</v>
      </c>
      <c r="F8" s="33">
        <f>$C$28*('E Balans VL '!L13+'E Balans VL '!N13)/100/3.6*1000000</f>
        <v>4008.8227950291625</v>
      </c>
      <c r="G8" s="34"/>
      <c r="H8" s="33"/>
      <c r="I8" s="33"/>
      <c r="J8" s="33">
        <f>$C$28*('E Balans VL '!D13+'E Balans VL '!E13)/100/3.6*1000000</f>
        <v>0</v>
      </c>
      <c r="K8" s="33"/>
      <c r="L8" s="33"/>
      <c r="M8" s="33"/>
      <c r="N8" s="33">
        <f>$C$28*'E Balans VL '!Y13/100/3.6*1000000</f>
        <v>251.19903472886944</v>
      </c>
      <c r="O8" s="33"/>
      <c r="P8" s="33"/>
      <c r="R8" s="32"/>
    </row>
    <row r="9" spans="1:18">
      <c r="A9" s="32" t="s">
        <v>51</v>
      </c>
      <c r="B9" s="37">
        <f t="shared" si="0"/>
        <v>1675.41</v>
      </c>
      <c r="C9" s="33"/>
      <c r="D9" s="37">
        <f>IF(ISERROR(TER_gezond_gas_kWh/1000),0,TER_gezond_gas_kWh/1000)*0.902</f>
        <v>5786.7596013614093</v>
      </c>
      <c r="E9" s="33">
        <f>$C$29*'E Balans VL '!I10/100/3.6*1000000</f>
        <v>1.3337347226156799</v>
      </c>
      <c r="F9" s="33">
        <f>$C$29*('E Balans VL '!L10+'E Balans VL '!N10)/100/3.6*1000000</f>
        <v>203.67029735527163</v>
      </c>
      <c r="G9" s="34"/>
      <c r="H9" s="33"/>
      <c r="I9" s="33"/>
      <c r="J9" s="33">
        <f>$C$29*('E Balans VL '!D10+'E Balans VL '!E10)/100/3.6*1000000</f>
        <v>0</v>
      </c>
      <c r="K9" s="33"/>
      <c r="L9" s="33"/>
      <c r="M9" s="33"/>
      <c r="N9" s="33">
        <f>$C$29*'E Balans VL '!Y10/100/3.6*1000000</f>
        <v>13.533518109284451</v>
      </c>
      <c r="O9" s="33"/>
      <c r="P9" s="33"/>
      <c r="R9" s="32"/>
    </row>
    <row r="10" spans="1:18">
      <c r="A10" s="32" t="s">
        <v>50</v>
      </c>
      <c r="B10" s="37">
        <f t="shared" si="0"/>
        <v>777.1558</v>
      </c>
      <c r="C10" s="33"/>
      <c r="D10" s="37">
        <f>IF(ISERROR(TER_ander_gas_kWh/1000),0,TER_ander_gas_kWh/1000)*0.902</f>
        <v>1231.3435178979012</v>
      </c>
      <c r="E10" s="33">
        <f>$C$30*'E Balans VL '!I14/100/3.6*1000000</f>
        <v>2.6633537531323443</v>
      </c>
      <c r="F10" s="33">
        <f>$C$30*('E Balans VL '!L14+'E Balans VL '!N14)/100/3.6*1000000</f>
        <v>173.58502582828879</v>
      </c>
      <c r="G10" s="34"/>
      <c r="H10" s="33"/>
      <c r="I10" s="33"/>
      <c r="J10" s="33">
        <f>$C$30*('E Balans VL '!D14+'E Balans VL '!E14)/100/3.6*1000000</f>
        <v>0</v>
      </c>
      <c r="K10" s="33"/>
      <c r="L10" s="33"/>
      <c r="M10" s="33"/>
      <c r="N10" s="33">
        <f>$C$30*'E Balans VL '!Y14/100/3.6*1000000</f>
        <v>547.43279103914699</v>
      </c>
      <c r="O10" s="33"/>
      <c r="P10" s="33"/>
      <c r="R10" s="32"/>
    </row>
    <row r="11" spans="1:18">
      <c r="A11" s="32" t="s">
        <v>55</v>
      </c>
      <c r="B11" s="37">
        <f t="shared" si="0"/>
        <v>769.95889999999997</v>
      </c>
      <c r="C11" s="33"/>
      <c r="D11" s="37">
        <f>IF(ISERROR(TER_onderwijs_gas_kWh/1000),0,TER_onderwijs_gas_kWh/1000)*0.902</f>
        <v>1726.0858496371754</v>
      </c>
      <c r="E11" s="33">
        <f>$C$31*'E Balans VL '!I11/100/3.6*1000000</f>
        <v>0.53224887470211213</v>
      </c>
      <c r="F11" s="33">
        <f>$C$31*('E Balans VL '!L11+'E Balans VL '!N11)/100/3.6*1000000</f>
        <v>201.55287423151017</v>
      </c>
      <c r="G11" s="34"/>
      <c r="H11" s="33"/>
      <c r="I11" s="33"/>
      <c r="J11" s="33">
        <f>$C$31*('E Balans VL '!D11+'E Balans VL '!E11)/100/3.6*1000000</f>
        <v>0</v>
      </c>
      <c r="K11" s="33"/>
      <c r="L11" s="33"/>
      <c r="M11" s="33"/>
      <c r="N11" s="33">
        <f>$C$31*'E Balans VL '!Y11/100/3.6*1000000</f>
        <v>0.76642850496667847</v>
      </c>
      <c r="O11" s="33"/>
      <c r="P11" s="33"/>
      <c r="R11" s="32"/>
    </row>
    <row r="12" spans="1:18">
      <c r="A12" s="32" t="s">
        <v>260</v>
      </c>
      <c r="B12" s="37">
        <f t="shared" si="0"/>
        <v>14519.093999999999</v>
      </c>
      <c r="C12" s="33"/>
      <c r="D12" s="37">
        <f>IF(ISERROR(TER_rest_gas_kWh/1000),0,TER_rest_gas_kWh/1000)*0.902</f>
        <v>22965.46850720618</v>
      </c>
      <c r="E12" s="33">
        <f>$C$32*'E Balans VL '!I8/100/3.6*1000000</f>
        <v>131.26931164588444</v>
      </c>
      <c r="F12" s="33">
        <f>$C$32*('E Balans VL '!L8+'E Balans VL '!N8)/100/3.6*1000000</f>
        <v>2140.2313172342242</v>
      </c>
      <c r="G12" s="34"/>
      <c r="H12" s="33"/>
      <c r="I12" s="33"/>
      <c r="J12" s="33">
        <f>$C$32*('E Balans VL '!D8+'E Balans VL '!E8)/100/3.6*1000000</f>
        <v>0</v>
      </c>
      <c r="K12" s="33"/>
      <c r="L12" s="33"/>
      <c r="M12" s="33"/>
      <c r="N12" s="33">
        <f>$C$32*'E Balans VL '!Y8/100/3.6*1000000</f>
        <v>1238.2845019850422</v>
      </c>
      <c r="O12" s="33"/>
      <c r="P12" s="33"/>
      <c r="R12" s="32"/>
    </row>
    <row r="13" spans="1:18">
      <c r="A13" s="16" t="s">
        <v>494</v>
      </c>
      <c r="B13" s="247">
        <f ca="1">'lokale energieproductie'!N91+'lokale energieproductie'!N60</f>
        <v>5400</v>
      </c>
      <c r="C13" s="247">
        <f ca="1">'lokale energieproductie'!O91+'lokale energieproductie'!O60</f>
        <v>7714.2857142857147</v>
      </c>
      <c r="D13" s="310">
        <f ca="1">('lokale energieproductie'!P60+'lokale energieproductie'!P91)*(-1)</f>
        <v>-15428.571428571429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59980.4977</v>
      </c>
      <c r="C16" s="21">
        <f t="shared" ca="1" si="1"/>
        <v>7714.2857142857147</v>
      </c>
      <c r="D16" s="21">
        <f t="shared" ca="1" si="1"/>
        <v>30238.302988544965</v>
      </c>
      <c r="E16" s="21">
        <f t="shared" si="1"/>
        <v>588.77902762082795</v>
      </c>
      <c r="F16" s="21">
        <f t="shared" ca="1" si="1"/>
        <v>7661.4964995672199</v>
      </c>
      <c r="G16" s="21">
        <f t="shared" si="1"/>
        <v>0</v>
      </c>
      <c r="H16" s="21">
        <f t="shared" si="1"/>
        <v>0</v>
      </c>
      <c r="I16" s="21">
        <f t="shared" si="1"/>
        <v>0</v>
      </c>
      <c r="J16" s="21">
        <f t="shared" si="1"/>
        <v>0</v>
      </c>
      <c r="K16" s="21">
        <f t="shared" si="1"/>
        <v>0</v>
      </c>
      <c r="L16" s="21">
        <f t="shared" ca="1" si="1"/>
        <v>0</v>
      </c>
      <c r="M16" s="21">
        <f t="shared" si="1"/>
        <v>0</v>
      </c>
      <c r="N16" s="21">
        <f t="shared" ca="1" si="1"/>
        <v>2084.2058096615979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0.20378506067452451</v>
      </c>
      <c r="C18" s="25">
        <f ca="1">'EF ele_warmte'!B22</f>
        <v>0.21560546636224565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12223.129363082679</v>
      </c>
      <c r="C20" s="23">
        <f t="shared" ref="C20:P20" ca="1" si="2">C16*C18</f>
        <v>1663.2421690801807</v>
      </c>
      <c r="D20" s="23">
        <f t="shared" ca="1" si="2"/>
        <v>6108.137203686083</v>
      </c>
      <c r="E20" s="23">
        <f t="shared" si="2"/>
        <v>133.65283926992794</v>
      </c>
      <c r="F20" s="23">
        <f t="shared" ca="1" si="2"/>
        <v>2045.6195653844479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3227.806</v>
      </c>
      <c r="C26" s="39">
        <f>IF(ISERROR(B26*3.6/1000000/'E Balans VL '!Z12*100),0,B26*3.6/1000000/'E Balans VL '!Z12*100)</f>
        <v>7.0902490507419896E-2</v>
      </c>
      <c r="D26" s="237" t="s">
        <v>692</v>
      </c>
      <c r="F26" s="6"/>
    </row>
    <row r="27" spans="1:18">
      <c r="A27" s="231" t="s">
        <v>53</v>
      </c>
      <c r="B27" s="33">
        <f>IF(ISERROR(TER_horeca_ele_kWh/1000),0,TER_horeca_ele_kWh/1000)</f>
        <v>2644.931</v>
      </c>
      <c r="C27" s="39">
        <f>IF(ISERROR(B27*3.6/1000000/'E Balans VL '!Z9*100),0,B27*3.6/1000000/'E Balans VL '!Z9*100)</f>
        <v>0.2125465708336069</v>
      </c>
      <c r="D27" s="237" t="s">
        <v>692</v>
      </c>
      <c r="F27" s="6"/>
    </row>
    <row r="28" spans="1:18">
      <c r="A28" s="171" t="s">
        <v>52</v>
      </c>
      <c r="B28" s="33">
        <f>IF(ISERROR(TER_handel_ele_kWh/1000),0,TER_handel_ele_kWh/1000)</f>
        <v>30966.142</v>
      </c>
      <c r="C28" s="39">
        <f>IF(ISERROR(B28*3.6/1000000/'E Balans VL '!Z13*100),0,B28*3.6/1000000/'E Balans VL '!Z13*100)</f>
        <v>0.91564718553897151</v>
      </c>
      <c r="D28" s="237" t="s">
        <v>692</v>
      </c>
      <c r="F28" s="6"/>
    </row>
    <row r="29" spans="1:18">
      <c r="A29" s="231" t="s">
        <v>51</v>
      </c>
      <c r="B29" s="33">
        <f>IF(ISERROR(TER_gezond_ele_kWh/1000),0,TER_gezond_ele_kWh/1000)</f>
        <v>1675.41</v>
      </c>
      <c r="C29" s="39">
        <f>IF(ISERROR(B29*3.6/1000000/'E Balans VL '!Z10*100),0,B29*3.6/1000000/'E Balans VL '!Z10*100)</f>
        <v>0.18877545172676199</v>
      </c>
      <c r="D29" s="237" t="s">
        <v>692</v>
      </c>
      <c r="F29" s="6"/>
    </row>
    <row r="30" spans="1:18">
      <c r="A30" s="231" t="s">
        <v>50</v>
      </c>
      <c r="B30" s="33">
        <f>IF(ISERROR(TER_ander_ele_kWh/1000),0,TER_ander_ele_kWh/1000)</f>
        <v>777.1558</v>
      </c>
      <c r="C30" s="39">
        <f>IF(ISERROR(B30*3.6/1000000/'E Balans VL '!Z14*100),0,B30*3.6/1000000/'E Balans VL '!Z14*100)</f>
        <v>5.877496466616778E-2</v>
      </c>
      <c r="D30" s="237" t="s">
        <v>692</v>
      </c>
      <c r="F30" s="6"/>
    </row>
    <row r="31" spans="1:18">
      <c r="A31" s="231" t="s">
        <v>55</v>
      </c>
      <c r="B31" s="33">
        <f>IF(ISERROR(TER_onderwijs_ele_kWh/1000),0,TER_onderwijs_ele_kWh/1000)</f>
        <v>769.95889999999997</v>
      </c>
      <c r="C31" s="39">
        <f>IF(ISERROR(B31*3.6/1000000/'E Balans VL '!Z11*100),0,B31*3.6/1000000/'E Balans VL '!Z11*100)</f>
        <v>0.15982559381146755</v>
      </c>
      <c r="D31" s="237" t="s">
        <v>692</v>
      </c>
    </row>
    <row r="32" spans="1:18">
      <c r="A32" s="231" t="s">
        <v>260</v>
      </c>
      <c r="B32" s="33">
        <f>IF(ISERROR(TER_rest_ele_kWh/1000),0,TER_rest_ele_kWh/1000)</f>
        <v>14519.093999999999</v>
      </c>
      <c r="C32" s="39">
        <f>IF(ISERROR(B32*3.6/1000000/'E Balans VL '!Z8*100),0,B32*3.6/1000000/'E Balans VL '!Z8*100)</f>
        <v>0.12231482565624767</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5479.1203999999998</v>
      </c>
      <c r="C5" s="17">
        <f>IF(ISERROR('Eigen informatie GS &amp; warmtenet'!B59),0,'Eigen informatie GS &amp; warmtenet'!B59)</f>
        <v>0</v>
      </c>
      <c r="D5" s="30">
        <f>SUM(D6:D15)</f>
        <v>6431.9391144348674</v>
      </c>
      <c r="E5" s="17">
        <f>SUM(E6:E15)</f>
        <v>587.21203609688496</v>
      </c>
      <c r="F5" s="17">
        <f>SUM(F6:F15)</f>
        <v>3383.6308594823495</v>
      </c>
      <c r="G5" s="18"/>
      <c r="H5" s="17"/>
      <c r="I5" s="17"/>
      <c r="J5" s="17">
        <f>SUM(J6:J15)</f>
        <v>29.251355504509302</v>
      </c>
      <c r="K5" s="17"/>
      <c r="L5" s="17"/>
      <c r="M5" s="17"/>
      <c r="N5" s="17">
        <f>SUM(N6:N15)</f>
        <v>1423.2671033543147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419.17809999999997</v>
      </c>
      <c r="C8" s="33"/>
      <c r="D8" s="37">
        <f>IF( ISERROR(IND_metaal_Gas_kWH/1000),0,IND_metaal_Gas_kWH/1000)*0.902</f>
        <v>274.37877650242831</v>
      </c>
      <c r="E8" s="33">
        <f>C30*'E Balans VL '!I18/100/3.6*1000000</f>
        <v>10.490560751080395</v>
      </c>
      <c r="F8" s="33">
        <f>C30*'E Balans VL '!L18/100/3.6*1000000+C30*'E Balans VL '!N18/100/3.6*1000000</f>
        <v>131.37250163910181</v>
      </c>
      <c r="G8" s="34"/>
      <c r="H8" s="33"/>
      <c r="I8" s="33"/>
      <c r="J8" s="40">
        <f>C30*'E Balans VL '!D18/100/3.6*1000000+C30*'E Balans VL '!E18/100/3.6*1000000</f>
        <v>0</v>
      </c>
      <c r="K8" s="33"/>
      <c r="L8" s="33"/>
      <c r="M8" s="33"/>
      <c r="N8" s="33">
        <f>C30*'E Balans VL '!Y18/100/3.6*1000000</f>
        <v>10.530841734031801</v>
      </c>
      <c r="O8" s="33"/>
      <c r="P8" s="33"/>
      <c r="R8" s="32"/>
    </row>
    <row r="9" spans="1:18">
      <c r="A9" s="6" t="s">
        <v>33</v>
      </c>
      <c r="B9" s="37">
        <f t="shared" si="0"/>
        <v>1558.8679999999999</v>
      </c>
      <c r="C9" s="33"/>
      <c r="D9" s="37">
        <f>IF( ISERROR(IND_andere_gas_kWh/1000),0,IND_andere_gas_kWh/1000)*0.902</f>
        <v>1211.8384734280135</v>
      </c>
      <c r="E9" s="33">
        <f>C31*'E Balans VL '!I19/100/3.6*1000000</f>
        <v>428.62476294231595</v>
      </c>
      <c r="F9" s="33">
        <f>C31*'E Balans VL '!L19/100/3.6*1000000+C31*'E Balans VL '!N19/100/3.6*1000000</f>
        <v>1228.6592465080946</v>
      </c>
      <c r="G9" s="34"/>
      <c r="H9" s="33"/>
      <c r="I9" s="33"/>
      <c r="J9" s="40">
        <f>C31*'E Balans VL '!D19/100/3.6*1000000+C31*'E Balans VL '!E19/100/3.6*1000000</f>
        <v>0</v>
      </c>
      <c r="K9" s="33"/>
      <c r="L9" s="33"/>
      <c r="M9" s="33"/>
      <c r="N9" s="33">
        <f>C31*'E Balans VL '!Y19/100/3.6*1000000</f>
        <v>504.64671882965769</v>
      </c>
      <c r="O9" s="33"/>
      <c r="P9" s="33"/>
      <c r="R9" s="32"/>
    </row>
    <row r="10" spans="1:18">
      <c r="A10" s="6" t="s">
        <v>41</v>
      </c>
      <c r="B10" s="37">
        <f t="shared" si="0"/>
        <v>737.82730000000004</v>
      </c>
      <c r="C10" s="33"/>
      <c r="D10" s="37">
        <f>IF( ISERROR(IND_voed_gas_kWh/1000),0,IND_voed_gas_kWh/1000)*0.902</f>
        <v>253.78355015989743</v>
      </c>
      <c r="E10" s="33">
        <f>C32*'E Balans VL '!I20/100/3.6*1000000</f>
        <v>7.5217428521210943</v>
      </c>
      <c r="F10" s="33">
        <f>C32*'E Balans VL '!L20/100/3.6*1000000+C32*'E Balans VL '!N20/100/3.6*1000000</f>
        <v>1393.7511550356965</v>
      </c>
      <c r="G10" s="34"/>
      <c r="H10" s="33"/>
      <c r="I10" s="33"/>
      <c r="J10" s="40">
        <f>C32*'E Balans VL '!D20/100/3.6*1000000+C32*'E Balans VL '!E20/100/3.6*1000000</f>
        <v>17.658621470855561</v>
      </c>
      <c r="K10" s="33"/>
      <c r="L10" s="33"/>
      <c r="M10" s="33"/>
      <c r="N10" s="33">
        <f>C32*'E Balans VL '!Y20/100/3.6*1000000</f>
        <v>388.91997438351626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2763.2469999999998</v>
      </c>
      <c r="C15" s="33"/>
      <c r="D15" s="37">
        <f>IF( ISERROR(IND_rest_gas_kWh/1000),0,IND_rest_gas_kWh/1000)*0.902</f>
        <v>4691.9383143445284</v>
      </c>
      <c r="E15" s="33">
        <f>C37*'E Balans VL '!I15/100/3.6*1000000</f>
        <v>140.57496955136742</v>
      </c>
      <c r="F15" s="33">
        <f>C37*'E Balans VL '!L15/100/3.6*1000000+C37*'E Balans VL '!N15/100/3.6*1000000</f>
        <v>629.84795629945665</v>
      </c>
      <c r="G15" s="34"/>
      <c r="H15" s="33"/>
      <c r="I15" s="33"/>
      <c r="J15" s="40">
        <f>C37*'E Balans VL '!D15/100/3.6*1000000+C37*'E Balans VL '!E15/100/3.6*1000000</f>
        <v>11.592734033653741</v>
      </c>
      <c r="K15" s="33"/>
      <c r="L15" s="33"/>
      <c r="M15" s="33"/>
      <c r="N15" s="33">
        <f>C37*'E Balans VL '!Y15/100/3.6*1000000</f>
        <v>519.16956840710907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5479.1203999999998</v>
      </c>
      <c r="C18" s="21">
        <f>C5+C16</f>
        <v>0</v>
      </c>
      <c r="D18" s="21">
        <f>MAX((D5+D16),0)</f>
        <v>6431.9391144348674</v>
      </c>
      <c r="E18" s="21">
        <f>MAX((E5+E16),0)</f>
        <v>587.21203609688496</v>
      </c>
      <c r="F18" s="21">
        <f>MAX((F5+F16),0)</f>
        <v>3383.6308594823495</v>
      </c>
      <c r="G18" s="21"/>
      <c r="H18" s="21"/>
      <c r="I18" s="21"/>
      <c r="J18" s="21">
        <f>MAX((J5+J16),0)</f>
        <v>29.251355504509302</v>
      </c>
      <c r="K18" s="21"/>
      <c r="L18" s="21">
        <f>MAX((L5+L16),0)</f>
        <v>0</v>
      </c>
      <c r="M18" s="21"/>
      <c r="N18" s="21">
        <f>MAX((N5+N16),0)</f>
        <v>1423.2671033543147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0.20378506067452451</v>
      </c>
      <c r="C20" s="25">
        <f ca="1">'EF ele_warmte'!B22</f>
        <v>0.21560546636224565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1116.562883157025</v>
      </c>
      <c r="C22" s="23">
        <f ca="1">C18*C20</f>
        <v>0</v>
      </c>
      <c r="D22" s="23">
        <f>D18*D20</f>
        <v>1299.2517011158434</v>
      </c>
      <c r="E22" s="23">
        <f>E18*E20</f>
        <v>133.29713219399289</v>
      </c>
      <c r="F22" s="23">
        <f>F18*F20</f>
        <v>903.42943948178731</v>
      </c>
      <c r="G22" s="23"/>
      <c r="H22" s="23"/>
      <c r="I22" s="23"/>
      <c r="J22" s="23">
        <f>J18*J20</f>
        <v>10.354979848596292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419.17809999999997</v>
      </c>
      <c r="C30" s="39">
        <f>IF(ISERROR(B30*3.6/1000000/'E Balans VL '!Z18*100),0,B30*3.6/1000000/'E Balans VL '!Z18*100)</f>
        <v>5.8670964735494768E-2</v>
      </c>
      <c r="D30" s="237" t="s">
        <v>692</v>
      </c>
    </row>
    <row r="31" spans="1:18">
      <c r="A31" s="6" t="s">
        <v>33</v>
      </c>
      <c r="B31" s="37">
        <f>IF( ISERROR(IND_ander_ele_kWh/1000),0,IND_ander_ele_kWh/1000)</f>
        <v>1558.8679999999999</v>
      </c>
      <c r="C31" s="39">
        <f>IF(ISERROR(B31*3.6/1000000/'E Balans VL '!Z19*100),0,B31*3.6/1000000/'E Balans VL '!Z19*100)</f>
        <v>6.823139947568202E-2</v>
      </c>
      <c r="D31" s="237" t="s">
        <v>692</v>
      </c>
    </row>
    <row r="32" spans="1:18">
      <c r="A32" s="171" t="s">
        <v>41</v>
      </c>
      <c r="B32" s="37">
        <f>IF( ISERROR(IND_voed_ele_kWh/1000),0,IND_voed_ele_kWh/1000)</f>
        <v>737.82730000000004</v>
      </c>
      <c r="C32" s="39">
        <f>IF(ISERROR(B32*3.6/1000000/'E Balans VL '!Z20*100),0,B32*3.6/1000000/'E Balans VL '!Z20*100)</f>
        <v>0.1826615374439417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2763.2469999999998</v>
      </c>
      <c r="C37" s="39">
        <f>IF(ISERROR(B37*3.6/1000000/'E Balans VL '!Z15*100),0,B37*3.6/1000000/'E Balans VL '!Z15*100)</f>
        <v>2.0489003417094198E-2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6265.6327999999994</v>
      </c>
      <c r="C5" s="17">
        <f>'Eigen informatie GS &amp; warmtenet'!B60</f>
        <v>0</v>
      </c>
      <c r="D5" s="30">
        <f>IF(ISERROR(SUM(LB_lb_gas_kWh,LB_rest_gas_kWh)/1000),0,SUM(LB_lb_gas_kWh,LB_rest_gas_kWh)/1000)*0.902</f>
        <v>366043.55110249843</v>
      </c>
      <c r="E5" s="17">
        <f>B17*'E Balans VL '!I25/3.6*1000000/100</f>
        <v>58.034915281846253</v>
      </c>
      <c r="F5" s="17">
        <f>B17*('E Balans VL '!L25/3.6*1000000+'E Balans VL '!N25/3.6*1000000)/100</f>
        <v>15897.1040154235</v>
      </c>
      <c r="G5" s="18"/>
      <c r="H5" s="17"/>
      <c r="I5" s="17"/>
      <c r="J5" s="17">
        <f>('E Balans VL '!D25+'E Balans VL '!E25)/3.6*1000000*landbouw!B17/100</f>
        <v>960.59143290612963</v>
      </c>
      <c r="K5" s="17"/>
      <c r="L5" s="17">
        <f>L6*(-1)</f>
        <v>46080</v>
      </c>
      <c r="M5" s="17"/>
      <c r="N5" s="17">
        <f>N6*(-1)</f>
        <v>115.71428571428572</v>
      </c>
      <c r="O5" s="17"/>
      <c r="P5" s="17"/>
      <c r="R5" s="32"/>
    </row>
    <row r="6" spans="1:18">
      <c r="A6" s="16" t="s">
        <v>494</v>
      </c>
      <c r="B6" s="17" t="s">
        <v>211</v>
      </c>
      <c r="C6" s="17">
        <f>'lokale energieproductie'!O92+'lokale energieproductie'!O61</f>
        <v>218296.92857142849</v>
      </c>
      <c r="D6" s="310">
        <f>('lokale energieproductie'!P61+'lokale energieproductie'!P92)*(-1)</f>
        <v>-384557.14285714284</v>
      </c>
      <c r="E6" s="248"/>
      <c r="F6" s="310">
        <f>('lokale energieproductie'!S61+'lokale energieproductie'!S921)*(-1)</f>
        <v>-11610</v>
      </c>
      <c r="G6" s="249"/>
      <c r="H6" s="248"/>
      <c r="I6" s="248"/>
      <c r="J6" s="248"/>
      <c r="K6" s="248"/>
      <c r="L6" s="310">
        <f>('lokale energieproductie'!T61+'lokale energieproductie'!U61+'lokale energieproductie'!T92+'lokale energieproductie'!U92)*(-1)</f>
        <v>-46080</v>
      </c>
      <c r="M6" s="248"/>
      <c r="N6" s="310">
        <f>('lokale energieproductie'!V61+'lokale energieproductie'!R61+'lokale energieproductie'!Q61+'lokale energieproductie'!Q92+'lokale energieproductie'!R92+'lokale energieproductie'!V92)*(-1)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6265.6327999999994</v>
      </c>
      <c r="C8" s="21">
        <f>C5+C6</f>
        <v>218296.92857142849</v>
      </c>
      <c r="D8" s="21">
        <f>MAX((D5+D6),0)</f>
        <v>0</v>
      </c>
      <c r="E8" s="21">
        <f>MAX((E5+E6),0)</f>
        <v>58.034915281846253</v>
      </c>
      <c r="F8" s="21">
        <f>MAX((F5+F6),0)</f>
        <v>4287.1040154234997</v>
      </c>
      <c r="G8" s="21"/>
      <c r="H8" s="21"/>
      <c r="I8" s="21"/>
      <c r="J8" s="21">
        <f>MAX((J5+J6),0)</f>
        <v>960.59143290612963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0.20378506067452451</v>
      </c>
      <c r="C10" s="31">
        <f ca="1">'EF ele_warmte'!B22</f>
        <v>0.21560546636224565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1276.8423603122908</v>
      </c>
      <c r="C12" s="23">
        <f ca="1">C8*C10</f>
        <v>47066.011090088665</v>
      </c>
      <c r="D12" s="23">
        <f>D8*D10</f>
        <v>0</v>
      </c>
      <c r="E12" s="23">
        <f>E8*E10</f>
        <v>13.1739257689791</v>
      </c>
      <c r="F12" s="23">
        <f>F8*F10</f>
        <v>1144.6567721180745</v>
      </c>
      <c r="G12" s="23"/>
      <c r="H12" s="23"/>
      <c r="I12" s="23"/>
      <c r="J12" s="23">
        <f>J8*J10</f>
        <v>340.0493672487699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0.890840129780884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113.33123487198765</v>
      </c>
      <c r="C26" s="247">
        <f>B26*'GWP N2O_CH4'!B5</f>
        <v>2379.9559323117405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18.728978257408848</v>
      </c>
      <c r="C27" s="247">
        <f>B27*'GWP N2O_CH4'!B5</f>
        <v>393.30854340558579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1.3077247937491194</v>
      </c>
      <c r="C28" s="247">
        <f>B28*'GWP N2O_CH4'!B4</f>
        <v>405.39468606222704</v>
      </c>
      <c r="D28" s="50"/>
    </row>
    <row r="29" spans="1:4">
      <c r="A29" s="41" t="s">
        <v>277</v>
      </c>
      <c r="B29" s="247">
        <f>B34*'ha_N2O bodem landbouw'!B4</f>
        <v>7.6988124526464468</v>
      </c>
      <c r="C29" s="247">
        <f>B29*'GWP N2O_CH4'!B4</f>
        <v>2386.6318603203986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1.7267080007601673E-3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3.923850559583208E-5</v>
      </c>
      <c r="C5" s="464" t="s">
        <v>211</v>
      </c>
      <c r="D5" s="449">
        <f>SUM(D6:D11)</f>
        <v>1.0425676951144312E-4</v>
      </c>
      <c r="E5" s="449">
        <f>SUM(E6:E11)</f>
        <v>6.6326950174042305E-4</v>
      </c>
      <c r="F5" s="462" t="s">
        <v>211</v>
      </c>
      <c r="G5" s="449">
        <f>SUM(G6:G11)</f>
        <v>0.18641163202650957</v>
      </c>
      <c r="H5" s="449">
        <f>SUM(H6:H11)</f>
        <v>3.9378650476541779E-2</v>
      </c>
      <c r="I5" s="464" t="s">
        <v>211</v>
      </c>
      <c r="J5" s="464" t="s">
        <v>211</v>
      </c>
      <c r="K5" s="464" t="s">
        <v>211</v>
      </c>
      <c r="L5" s="464" t="s">
        <v>211</v>
      </c>
      <c r="M5" s="449">
        <f>SUM(M6:M11)</f>
        <v>1.1995292264623821E-2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3.1649650609282487E-5</v>
      </c>
      <c r="C6" s="450"/>
      <c r="D6" s="893">
        <f>vkm_2011_GW_PW*SUMIFS(TableVerdeelsleutelVkm[CNG],TableVerdeelsleutelVkm[Voertuigtype],"Lichte voertuigen")*SUMIFS(TableECFTransport[EnergieConsumptieFactor (PJ per km)],TableECFTransport[Index],CONCATENATE($A6,"_CNG_CNG"))</f>
        <v>7.3209126341458884E-5</v>
      </c>
      <c r="E6" s="893">
        <f>vkm_2011_GW_PW*SUMIFS(TableVerdeelsleutelVkm[LPG],TableVerdeelsleutelVkm[Voertuigtype],"Lichte voertuigen")*SUMIFS(TableECFTransport[EnergieConsumptieFactor (PJ per km)],TableECFTransport[Index],CONCATENATE($A6,"_LPG_LPG"))</f>
        <v>4.766936209825283E-4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9.9029573051047051E-2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2.7914390135818933E-2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6.5877336205503335E-3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4.6210627395490388E-2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1.580319534517123E-5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2.673546728552099E-3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7.5888549865495934E-6</v>
      </c>
      <c r="C8" s="450"/>
      <c r="D8" s="452">
        <f>vkm_2011_NGW_PW*SUMIFS(TableVerdeelsleutelVkm[CNG],TableVerdeelsleutelVkm[Voertuigtype],"Lichte voertuigen")*SUMIFS(TableECFTransport[EnergieConsumptieFactor (PJ per km)],TableECFTransport[Index],CONCATENATE($A8,"_CNG_CNG"))</f>
        <v>3.1047643169984234E-5</v>
      </c>
      <c r="E8" s="452">
        <f>vkm_2011_NGW_PW*SUMIFS(TableVerdeelsleutelVkm[LPG],TableVerdeelsleutelVkm[Voertuigtype],"Lichte voertuigen")*SUMIFS(TableECFTransport[EnergieConsumptieFactor (PJ per km)],TableECFTransport[Index],CONCATENATE($A8,"_LPG_LPG"))</f>
        <v>1.8657588075789473E-4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3.6232761951175703E-2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1.1446859049414801E-2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2.4482846803665355E-3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4.9386696287964252E-3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1.5980959628730586E-6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2.8572723515485218E-4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10.899584887731134</v>
      </c>
      <c r="C14" s="21"/>
      <c r="D14" s="21">
        <f t="shared" ref="D14:M14" si="0">((D5)*10^9/3600)+D12</f>
        <v>28.960213753178643</v>
      </c>
      <c r="E14" s="21">
        <f t="shared" si="0"/>
        <v>184.24152826122861</v>
      </c>
      <c r="F14" s="21"/>
      <c r="G14" s="21">
        <f t="shared" si="0"/>
        <v>51781.008896252657</v>
      </c>
      <c r="H14" s="21">
        <f t="shared" si="0"/>
        <v>10938.514021261606</v>
      </c>
      <c r="I14" s="21"/>
      <c r="J14" s="21"/>
      <c r="K14" s="21"/>
      <c r="L14" s="21"/>
      <c r="M14" s="21">
        <f t="shared" si="0"/>
        <v>3332.0256290621724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0.20378506067452451</v>
      </c>
      <c r="C16" s="56">
        <f ca="1">'EF ele_warmte'!B22</f>
        <v>0.21560546636224565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2.2211725676734195</v>
      </c>
      <c r="C18" s="23"/>
      <c r="D18" s="23">
        <f t="shared" ref="D18:M18" si="1">D14*D16</f>
        <v>5.8499631781420858</v>
      </c>
      <c r="E18" s="23">
        <f t="shared" si="1"/>
        <v>41.822826915298897</v>
      </c>
      <c r="F18" s="23"/>
      <c r="G18" s="23">
        <f t="shared" si="1"/>
        <v>13825.52937529946</v>
      </c>
      <c r="H18" s="23">
        <f t="shared" si="1"/>
        <v>2723.6899912941399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8.6551795555277027E-3</v>
      </c>
      <c r="H50" s="321">
        <f t="shared" si="2"/>
        <v>0</v>
      </c>
      <c r="I50" s="321">
        <f t="shared" si="2"/>
        <v>0</v>
      </c>
      <c r="J50" s="321">
        <f t="shared" si="2"/>
        <v>0</v>
      </c>
      <c r="K50" s="321">
        <f t="shared" si="2"/>
        <v>0</v>
      </c>
      <c r="L50" s="321">
        <f t="shared" si="2"/>
        <v>0</v>
      </c>
      <c r="M50" s="321">
        <f t="shared" si="2"/>
        <v>4.935796588403569E-4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8.6551795555277027E-3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4.935796588403569E-4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2404.2165432021393</v>
      </c>
      <c r="H54" s="21">
        <f t="shared" si="3"/>
        <v>0</v>
      </c>
      <c r="I54" s="21">
        <f t="shared" si="3"/>
        <v>0</v>
      </c>
      <c r="J54" s="21">
        <f t="shared" si="3"/>
        <v>0</v>
      </c>
      <c r="K54" s="21">
        <f t="shared" si="3"/>
        <v>0</v>
      </c>
      <c r="L54" s="21">
        <f t="shared" si="3"/>
        <v>0</v>
      </c>
      <c r="M54" s="21">
        <f t="shared" si="3"/>
        <v>137.10546078898804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0.20378506067452451</v>
      </c>
      <c r="C56" s="56">
        <f ca="1">'EF ele_warmte'!B22</f>
        <v>0.21560546636224565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641.92581703497126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61498.878700000001</v>
      </c>
      <c r="D10" s="1025">
        <f ca="1">tertiair!C16</f>
        <v>7714.2857142857147</v>
      </c>
      <c r="E10" s="1025">
        <f ca="1">tertiair!D16</f>
        <v>30238.302988544965</v>
      </c>
      <c r="F10" s="1025">
        <f>tertiair!E16</f>
        <v>588.77902762082795</v>
      </c>
      <c r="G10" s="1025">
        <f ca="1">tertiair!F16</f>
        <v>7661.4964995672199</v>
      </c>
      <c r="H10" s="1025">
        <f>tertiair!G16</f>
        <v>0</v>
      </c>
      <c r="I10" s="1025">
        <f>tertiair!H16</f>
        <v>0</v>
      </c>
      <c r="J10" s="1025">
        <f>tertiair!I16</f>
        <v>0</v>
      </c>
      <c r="K10" s="1025">
        <f>tertiair!J16</f>
        <v>0</v>
      </c>
      <c r="L10" s="1025">
        <f>tertiair!K16</f>
        <v>0</v>
      </c>
      <c r="M10" s="1025">
        <f ca="1">tertiair!L16</f>
        <v>0</v>
      </c>
      <c r="N10" s="1025">
        <f>tertiair!M16</f>
        <v>0</v>
      </c>
      <c r="O10" s="1025">
        <f ca="1">tertiair!N16</f>
        <v>2084.2058096615979</v>
      </c>
      <c r="P10" s="1025">
        <f>tertiair!O16</f>
        <v>4.6900000000000004</v>
      </c>
      <c r="Q10" s="1026">
        <f>tertiair!P16</f>
        <v>38.133333333333333</v>
      </c>
      <c r="R10" s="701">
        <f ca="1">SUM(C10:Q10)</f>
        <v>109828.77207301365</v>
      </c>
      <c r="S10" s="67"/>
    </row>
    <row r="11" spans="1:19" s="474" customFormat="1">
      <c r="A11" s="810" t="s">
        <v>225</v>
      </c>
      <c r="B11" s="815"/>
      <c r="C11" s="1025">
        <f>huishoudens!B8</f>
        <v>35538.616018006396</v>
      </c>
      <c r="D11" s="1025">
        <f>huishoudens!C8</f>
        <v>0</v>
      </c>
      <c r="E11" s="1025">
        <f>huishoudens!D8</f>
        <v>72460.348140135626</v>
      </c>
      <c r="F11" s="1025">
        <f>huishoudens!E8</f>
        <v>2430.9544233678116</v>
      </c>
      <c r="G11" s="1025">
        <f>huishoudens!F8</f>
        <v>34335.074603344503</v>
      </c>
      <c r="H11" s="1025">
        <f>huishoudens!G8</f>
        <v>0</v>
      </c>
      <c r="I11" s="1025">
        <f>huishoudens!H8</f>
        <v>0</v>
      </c>
      <c r="J11" s="1025">
        <f>huishoudens!I8</f>
        <v>0</v>
      </c>
      <c r="K11" s="1025">
        <f>huishoudens!J8</f>
        <v>886.39043855856357</v>
      </c>
      <c r="L11" s="1025">
        <f>huishoudens!K8</f>
        <v>0</v>
      </c>
      <c r="M11" s="1025">
        <f>huishoudens!L8</f>
        <v>0</v>
      </c>
      <c r="N11" s="1025">
        <f>huishoudens!M8</f>
        <v>0</v>
      </c>
      <c r="O11" s="1025">
        <f>huishoudens!N8</f>
        <v>7743.802876665266</v>
      </c>
      <c r="P11" s="1025">
        <f>huishoudens!O8</f>
        <v>298.59666666666669</v>
      </c>
      <c r="Q11" s="1026">
        <f>huishoudens!P8</f>
        <v>1029.5999999999999</v>
      </c>
      <c r="R11" s="701">
        <f>SUM(C11:Q11)</f>
        <v>154723.38316674484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5479.1203999999998</v>
      </c>
      <c r="D13" s="1025">
        <f>industrie!C18</f>
        <v>0</v>
      </c>
      <c r="E13" s="1025">
        <f>industrie!D18</f>
        <v>6431.9391144348674</v>
      </c>
      <c r="F13" s="1025">
        <f>industrie!E18</f>
        <v>587.21203609688496</v>
      </c>
      <c r="G13" s="1025">
        <f>industrie!F18</f>
        <v>3383.6308594823495</v>
      </c>
      <c r="H13" s="1025">
        <f>industrie!G18</f>
        <v>0</v>
      </c>
      <c r="I13" s="1025">
        <f>industrie!H18</f>
        <v>0</v>
      </c>
      <c r="J13" s="1025">
        <f>industrie!I18</f>
        <v>0</v>
      </c>
      <c r="K13" s="1025">
        <f>industrie!J18</f>
        <v>29.251355504509302</v>
      </c>
      <c r="L13" s="1025">
        <f>industrie!K18</f>
        <v>0</v>
      </c>
      <c r="M13" s="1025">
        <f>industrie!L18</f>
        <v>0</v>
      </c>
      <c r="N13" s="1025">
        <f>industrie!M18</f>
        <v>0</v>
      </c>
      <c r="O13" s="1025">
        <f>industrie!N18</f>
        <v>1423.2671033543147</v>
      </c>
      <c r="P13" s="1025">
        <f>industrie!O18</f>
        <v>0</v>
      </c>
      <c r="Q13" s="1026">
        <f>industrie!P18</f>
        <v>0</v>
      </c>
      <c r="R13" s="701">
        <f>SUM(C13:Q13)</f>
        <v>17334.420868872927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102516.6151180064</v>
      </c>
      <c r="D16" s="733">
        <f t="shared" ref="D16:R16" ca="1" si="0">SUM(D9:D15)</f>
        <v>7714.2857142857147</v>
      </c>
      <c r="E16" s="733">
        <f t="shared" ca="1" si="0"/>
        <v>109130.59024311545</v>
      </c>
      <c r="F16" s="733">
        <f t="shared" si="0"/>
        <v>3606.9454870855243</v>
      </c>
      <c r="G16" s="733">
        <f t="shared" ca="1" si="0"/>
        <v>45380.201962394072</v>
      </c>
      <c r="H16" s="733">
        <f t="shared" si="0"/>
        <v>0</v>
      </c>
      <c r="I16" s="733">
        <f t="shared" si="0"/>
        <v>0</v>
      </c>
      <c r="J16" s="733">
        <f t="shared" si="0"/>
        <v>0</v>
      </c>
      <c r="K16" s="733">
        <f t="shared" si="0"/>
        <v>915.64179406307289</v>
      </c>
      <c r="L16" s="733">
        <f t="shared" si="0"/>
        <v>0</v>
      </c>
      <c r="M16" s="733">
        <f t="shared" ca="1" si="0"/>
        <v>0</v>
      </c>
      <c r="N16" s="733">
        <f t="shared" si="0"/>
        <v>0</v>
      </c>
      <c r="O16" s="733">
        <f t="shared" ca="1" si="0"/>
        <v>11251.275789681178</v>
      </c>
      <c r="P16" s="733">
        <f t="shared" si="0"/>
        <v>303.28666666666669</v>
      </c>
      <c r="Q16" s="733">
        <f t="shared" si="0"/>
        <v>1067.7333333333333</v>
      </c>
      <c r="R16" s="733">
        <f t="shared" ca="1" si="0"/>
        <v>281886.57610863145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2404.2165432021393</v>
      </c>
      <c r="I19" s="1025">
        <f>transport!H54</f>
        <v>0</v>
      </c>
      <c r="J19" s="1025">
        <f>transport!I54</f>
        <v>0</v>
      </c>
      <c r="K19" s="1025">
        <f>transport!J54</f>
        <v>0</v>
      </c>
      <c r="L19" s="1025">
        <f>transport!K54</f>
        <v>0</v>
      </c>
      <c r="M19" s="1025">
        <f>transport!L54</f>
        <v>0</v>
      </c>
      <c r="N19" s="1025">
        <f>transport!M54</f>
        <v>137.10546078898804</v>
      </c>
      <c r="O19" s="1025">
        <f>transport!N54</f>
        <v>0</v>
      </c>
      <c r="P19" s="1025">
        <f>transport!O54</f>
        <v>0</v>
      </c>
      <c r="Q19" s="1026">
        <f>transport!P54</f>
        <v>0</v>
      </c>
      <c r="R19" s="701">
        <f>SUM(C19:Q19)</f>
        <v>2541.3220039911275</v>
      </c>
      <c r="S19" s="67"/>
    </row>
    <row r="20" spans="1:19" s="474" customFormat="1">
      <c r="A20" s="810" t="s">
        <v>307</v>
      </c>
      <c r="B20" s="815"/>
      <c r="C20" s="1025">
        <f>transport!B14</f>
        <v>10.899584887731134</v>
      </c>
      <c r="D20" s="1025">
        <f>transport!C14</f>
        <v>0</v>
      </c>
      <c r="E20" s="1025">
        <f>transport!D14</f>
        <v>28.960213753178643</v>
      </c>
      <c r="F20" s="1025">
        <f>transport!E14</f>
        <v>184.24152826122861</v>
      </c>
      <c r="G20" s="1025">
        <f>transport!F14</f>
        <v>0</v>
      </c>
      <c r="H20" s="1025">
        <f>transport!G14</f>
        <v>51781.008896252657</v>
      </c>
      <c r="I20" s="1025">
        <f>transport!H14</f>
        <v>10938.514021261606</v>
      </c>
      <c r="J20" s="1025">
        <f>transport!I14</f>
        <v>0</v>
      </c>
      <c r="K20" s="1025">
        <f>transport!J14</f>
        <v>0</v>
      </c>
      <c r="L20" s="1025">
        <f>transport!K14</f>
        <v>0</v>
      </c>
      <c r="M20" s="1025">
        <f>transport!L14</f>
        <v>0</v>
      </c>
      <c r="N20" s="1025">
        <f>transport!M14</f>
        <v>3332.0256290621724</v>
      </c>
      <c r="O20" s="1025">
        <f>transport!N14</f>
        <v>0</v>
      </c>
      <c r="P20" s="1025">
        <f>transport!O14</f>
        <v>0</v>
      </c>
      <c r="Q20" s="1026">
        <f>transport!P14</f>
        <v>0</v>
      </c>
      <c r="R20" s="701">
        <f>SUM(C20:Q20)</f>
        <v>66275.649873478571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10.899584887731134</v>
      </c>
      <c r="D22" s="813">
        <f t="shared" ref="D22:R22" si="1">SUM(D18:D21)</f>
        <v>0</v>
      </c>
      <c r="E22" s="813">
        <f t="shared" si="1"/>
        <v>28.960213753178643</v>
      </c>
      <c r="F22" s="813">
        <f t="shared" si="1"/>
        <v>184.24152826122861</v>
      </c>
      <c r="G22" s="813">
        <f t="shared" si="1"/>
        <v>0</v>
      </c>
      <c r="H22" s="813">
        <f t="shared" si="1"/>
        <v>54185.225439454793</v>
      </c>
      <c r="I22" s="813">
        <f t="shared" si="1"/>
        <v>10938.514021261606</v>
      </c>
      <c r="J22" s="813">
        <f t="shared" si="1"/>
        <v>0</v>
      </c>
      <c r="K22" s="813">
        <f t="shared" si="1"/>
        <v>0</v>
      </c>
      <c r="L22" s="813">
        <f t="shared" si="1"/>
        <v>0</v>
      </c>
      <c r="M22" s="813">
        <f t="shared" si="1"/>
        <v>0</v>
      </c>
      <c r="N22" s="813">
        <f t="shared" si="1"/>
        <v>3469.1310898511606</v>
      </c>
      <c r="O22" s="813">
        <f t="shared" si="1"/>
        <v>0</v>
      </c>
      <c r="P22" s="813">
        <f t="shared" si="1"/>
        <v>0</v>
      </c>
      <c r="Q22" s="813">
        <f t="shared" si="1"/>
        <v>0</v>
      </c>
      <c r="R22" s="813">
        <f t="shared" si="1"/>
        <v>68816.971877469696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6265.6327999999994</v>
      </c>
      <c r="D24" s="1025">
        <f>+landbouw!C8</f>
        <v>218296.92857142849</v>
      </c>
      <c r="E24" s="1025">
        <f>+landbouw!D8</f>
        <v>0</v>
      </c>
      <c r="F24" s="1025">
        <f>+landbouw!E8</f>
        <v>58.034915281846253</v>
      </c>
      <c r="G24" s="1025">
        <f>+landbouw!F8</f>
        <v>4287.1040154234997</v>
      </c>
      <c r="H24" s="1025">
        <f>+landbouw!G8</f>
        <v>0</v>
      </c>
      <c r="I24" s="1025">
        <f>+landbouw!H8</f>
        <v>0</v>
      </c>
      <c r="J24" s="1025">
        <f>+landbouw!I8</f>
        <v>0</v>
      </c>
      <c r="K24" s="1025">
        <f>+landbouw!J8</f>
        <v>960.59143290612963</v>
      </c>
      <c r="L24" s="1025">
        <f>+landbouw!K8</f>
        <v>0</v>
      </c>
      <c r="M24" s="1025">
        <f>+landbouw!L8</f>
        <v>0</v>
      </c>
      <c r="N24" s="1025">
        <f>+landbouw!M8</f>
        <v>0</v>
      </c>
      <c r="O24" s="1025">
        <f>+landbouw!N8</f>
        <v>0</v>
      </c>
      <c r="P24" s="1025">
        <f>+landbouw!O8</f>
        <v>0</v>
      </c>
      <c r="Q24" s="1026">
        <f>+landbouw!P8</f>
        <v>0</v>
      </c>
      <c r="R24" s="701">
        <f>SUM(C24:Q24)</f>
        <v>229868.29173503997</v>
      </c>
      <c r="S24" s="67"/>
    </row>
    <row r="25" spans="1:19" s="474" customFormat="1" ht="15" thickBot="1">
      <c r="A25" s="832" t="s">
        <v>864</v>
      </c>
      <c r="B25" s="1028"/>
      <c r="C25" s="1029">
        <f>IF(Onbekend_ele_kWh="---",0,Onbekend_ele_kWh)/1000+IF(REST_rest_ele_kWh="---",0,REST_rest_ele_kWh)/1000</f>
        <v>1006.774</v>
      </c>
      <c r="D25" s="1029"/>
      <c r="E25" s="1029">
        <f>IF(onbekend_gas_kWh="---",0,onbekend_gas_kWh)/1000+IF(REST_rest_gas_kWh="---",0,REST_rest_gas_kWh)/1000</f>
        <v>2723.3116502774301</v>
      </c>
      <c r="F25" s="1029"/>
      <c r="G25" s="1029"/>
      <c r="H25" s="1029"/>
      <c r="I25" s="1029"/>
      <c r="J25" s="1029"/>
      <c r="K25" s="1029"/>
      <c r="L25" s="1029"/>
      <c r="M25" s="1029"/>
      <c r="N25" s="1029"/>
      <c r="O25" s="1029"/>
      <c r="P25" s="1029"/>
      <c r="Q25" s="1030"/>
      <c r="R25" s="701">
        <f>SUM(C25:Q25)</f>
        <v>3730.08565027743</v>
      </c>
      <c r="S25" s="67"/>
    </row>
    <row r="26" spans="1:19" s="474" customFormat="1" ht="15.75" thickBot="1">
      <c r="A26" s="706" t="s">
        <v>865</v>
      </c>
      <c r="B26" s="818"/>
      <c r="C26" s="813">
        <f>SUM(C24:C25)</f>
        <v>7272.4067999999997</v>
      </c>
      <c r="D26" s="813">
        <f t="shared" ref="D26:R26" si="2">SUM(D24:D25)</f>
        <v>218296.92857142849</v>
      </c>
      <c r="E26" s="813">
        <f t="shared" si="2"/>
        <v>2723.3116502774301</v>
      </c>
      <c r="F26" s="813">
        <f t="shared" si="2"/>
        <v>58.034915281846253</v>
      </c>
      <c r="G26" s="813">
        <f t="shared" si="2"/>
        <v>4287.1040154234997</v>
      </c>
      <c r="H26" s="813">
        <f t="shared" si="2"/>
        <v>0</v>
      </c>
      <c r="I26" s="813">
        <f t="shared" si="2"/>
        <v>0</v>
      </c>
      <c r="J26" s="813">
        <f t="shared" si="2"/>
        <v>0</v>
      </c>
      <c r="K26" s="813">
        <f t="shared" si="2"/>
        <v>960.59143290612963</v>
      </c>
      <c r="L26" s="813">
        <f t="shared" si="2"/>
        <v>0</v>
      </c>
      <c r="M26" s="813">
        <f t="shared" si="2"/>
        <v>0</v>
      </c>
      <c r="N26" s="813">
        <f t="shared" si="2"/>
        <v>0</v>
      </c>
      <c r="O26" s="813">
        <f t="shared" si="2"/>
        <v>0</v>
      </c>
      <c r="P26" s="813">
        <f t="shared" si="2"/>
        <v>0</v>
      </c>
      <c r="Q26" s="813">
        <f t="shared" si="2"/>
        <v>0</v>
      </c>
      <c r="R26" s="813">
        <f t="shared" si="2"/>
        <v>233598.37738531741</v>
      </c>
      <c r="S26" s="67"/>
    </row>
    <row r="27" spans="1:19" s="474" customFormat="1" ht="17.25" thickTop="1" thickBot="1">
      <c r="A27" s="707" t="s">
        <v>116</v>
      </c>
      <c r="B27" s="806"/>
      <c r="C27" s="708">
        <f ca="1">C22+C16+C26</f>
        <v>109799.92150289413</v>
      </c>
      <c r="D27" s="708">
        <f t="shared" ref="D27:R27" ca="1" si="3">D22+D16+D26</f>
        <v>226011.2142857142</v>
      </c>
      <c r="E27" s="708">
        <f t="shared" ca="1" si="3"/>
        <v>111882.86210714607</v>
      </c>
      <c r="F27" s="708">
        <f t="shared" si="3"/>
        <v>3849.2219306285992</v>
      </c>
      <c r="G27" s="708">
        <f t="shared" ca="1" si="3"/>
        <v>49667.305977817574</v>
      </c>
      <c r="H27" s="708">
        <f t="shared" si="3"/>
        <v>54185.225439454793</v>
      </c>
      <c r="I27" s="708">
        <f t="shared" si="3"/>
        <v>10938.514021261606</v>
      </c>
      <c r="J27" s="708">
        <f t="shared" si="3"/>
        <v>0</v>
      </c>
      <c r="K27" s="708">
        <f t="shared" si="3"/>
        <v>1876.2332269692024</v>
      </c>
      <c r="L27" s="708">
        <f t="shared" si="3"/>
        <v>0</v>
      </c>
      <c r="M27" s="708">
        <f t="shared" ca="1" si="3"/>
        <v>0</v>
      </c>
      <c r="N27" s="708">
        <f t="shared" si="3"/>
        <v>3469.1310898511606</v>
      </c>
      <c r="O27" s="708">
        <f t="shared" ca="1" si="3"/>
        <v>11251.275789681178</v>
      </c>
      <c r="P27" s="708">
        <f t="shared" si="3"/>
        <v>303.28666666666669</v>
      </c>
      <c r="Q27" s="708">
        <f t="shared" si="3"/>
        <v>1067.7333333333333</v>
      </c>
      <c r="R27" s="708">
        <f t="shared" ca="1" si="3"/>
        <v>584301.92537141847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12532.552727294724</v>
      </c>
      <c r="D40" s="1025">
        <f ca="1">tertiair!C20</f>
        <v>1663.2421690801807</v>
      </c>
      <c r="E40" s="1025">
        <f ca="1">tertiair!D20</f>
        <v>6108.137203686083</v>
      </c>
      <c r="F40" s="1025">
        <f>tertiair!E20</f>
        <v>133.65283926992794</v>
      </c>
      <c r="G40" s="1025">
        <f ca="1">tertiair!F20</f>
        <v>2045.6195653844479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22483.204504715362</v>
      </c>
    </row>
    <row r="41" spans="1:18">
      <c r="A41" s="823" t="s">
        <v>225</v>
      </c>
      <c r="B41" s="830"/>
      <c r="C41" s="1025">
        <f ca="1">huishoudens!B12</f>
        <v>7242.2390215180621</v>
      </c>
      <c r="D41" s="1025">
        <f ca="1">huishoudens!C12</f>
        <v>0</v>
      </c>
      <c r="E41" s="1025">
        <f>huishoudens!D12</f>
        <v>14636.990324307397</v>
      </c>
      <c r="F41" s="1025">
        <f>huishoudens!E12</f>
        <v>551.82665410449329</v>
      </c>
      <c r="G41" s="1025">
        <f>huishoudens!F12</f>
        <v>9167.4649190929831</v>
      </c>
      <c r="H41" s="1025">
        <f>huishoudens!G12</f>
        <v>0</v>
      </c>
      <c r="I41" s="1025">
        <f>huishoudens!H12</f>
        <v>0</v>
      </c>
      <c r="J41" s="1025">
        <f>huishoudens!I12</f>
        <v>0</v>
      </c>
      <c r="K41" s="1025">
        <f>huishoudens!J12</f>
        <v>313.78221524973151</v>
      </c>
      <c r="L41" s="1025">
        <f>huishoudens!K12</f>
        <v>0</v>
      </c>
      <c r="M41" s="1025">
        <f>huishoudens!L12</f>
        <v>0</v>
      </c>
      <c r="N41" s="1025">
        <f>huishoudens!M12</f>
        <v>0</v>
      </c>
      <c r="O41" s="1025">
        <f>huishoudens!N12</f>
        <v>0</v>
      </c>
      <c r="P41" s="1025">
        <f>huishoudens!O12</f>
        <v>0</v>
      </c>
      <c r="Q41" s="775">
        <f>huishoudens!P12</f>
        <v>0</v>
      </c>
      <c r="R41" s="851">
        <f t="shared" ca="1" si="4"/>
        <v>31912.303134272668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1116.562883157025</v>
      </c>
      <c r="D43" s="1025">
        <f ca="1">industrie!C22</f>
        <v>0</v>
      </c>
      <c r="E43" s="1025">
        <f>industrie!D22</f>
        <v>1299.2517011158434</v>
      </c>
      <c r="F43" s="1025">
        <f>industrie!E22</f>
        <v>133.29713219399289</v>
      </c>
      <c r="G43" s="1025">
        <f>industrie!F22</f>
        <v>903.42943948178731</v>
      </c>
      <c r="H43" s="1025">
        <f>industrie!G22</f>
        <v>0</v>
      </c>
      <c r="I43" s="1025">
        <f>industrie!H22</f>
        <v>0</v>
      </c>
      <c r="J43" s="1025">
        <f>industrie!I22</f>
        <v>0</v>
      </c>
      <c r="K43" s="1025">
        <f>industrie!J22</f>
        <v>10.354979848596292</v>
      </c>
      <c r="L43" s="1025">
        <f>industrie!K22</f>
        <v>0</v>
      </c>
      <c r="M43" s="1025">
        <f>industrie!L22</f>
        <v>0</v>
      </c>
      <c r="N43" s="1025">
        <f>industrie!M22</f>
        <v>0</v>
      </c>
      <c r="O43" s="1025">
        <f>industrie!N22</f>
        <v>0</v>
      </c>
      <c r="P43" s="1025">
        <f>industrie!O22</f>
        <v>0</v>
      </c>
      <c r="Q43" s="775">
        <f>industrie!P22</f>
        <v>0</v>
      </c>
      <c r="R43" s="850">
        <f t="shared" ca="1" si="4"/>
        <v>3462.8961357972448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20891.354631969811</v>
      </c>
      <c r="D46" s="733">
        <f t="shared" ref="D46:Q46" ca="1" si="5">SUM(D39:D45)</f>
        <v>1663.2421690801807</v>
      </c>
      <c r="E46" s="733">
        <f t="shared" ca="1" si="5"/>
        <v>22044.37922910932</v>
      </c>
      <c r="F46" s="733">
        <f t="shared" si="5"/>
        <v>818.77662556841415</v>
      </c>
      <c r="G46" s="733">
        <f t="shared" ca="1" si="5"/>
        <v>12116.513923959219</v>
      </c>
      <c r="H46" s="733">
        <f t="shared" si="5"/>
        <v>0</v>
      </c>
      <c r="I46" s="733">
        <f t="shared" si="5"/>
        <v>0</v>
      </c>
      <c r="J46" s="733">
        <f t="shared" si="5"/>
        <v>0</v>
      </c>
      <c r="K46" s="733">
        <f t="shared" si="5"/>
        <v>324.13719509832782</v>
      </c>
      <c r="L46" s="733">
        <f t="shared" si="5"/>
        <v>0</v>
      </c>
      <c r="M46" s="733">
        <f t="shared" ca="1" si="5"/>
        <v>0</v>
      </c>
      <c r="N46" s="733">
        <f t="shared" si="5"/>
        <v>0</v>
      </c>
      <c r="O46" s="733">
        <f t="shared" ca="1" si="5"/>
        <v>0</v>
      </c>
      <c r="P46" s="733">
        <f t="shared" si="5"/>
        <v>0</v>
      </c>
      <c r="Q46" s="733">
        <f t="shared" si="5"/>
        <v>0</v>
      </c>
      <c r="R46" s="733">
        <f ca="1">SUM(R39:R45)</f>
        <v>57858.403774785271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641.92581703497126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641.92581703497126</v>
      </c>
    </row>
    <row r="50" spans="1:18">
      <c r="A50" s="826" t="s">
        <v>307</v>
      </c>
      <c r="B50" s="836"/>
      <c r="C50" s="704">
        <f ca="1">transport!B18</f>
        <v>2.2211725676734195</v>
      </c>
      <c r="D50" s="704">
        <f>transport!C18</f>
        <v>0</v>
      </c>
      <c r="E50" s="704">
        <f>transport!D18</f>
        <v>5.8499631781420858</v>
      </c>
      <c r="F50" s="704">
        <f>transport!E18</f>
        <v>41.822826915298897</v>
      </c>
      <c r="G50" s="704">
        <f>transport!F18</f>
        <v>0</v>
      </c>
      <c r="H50" s="704">
        <f>transport!G18</f>
        <v>13825.52937529946</v>
      </c>
      <c r="I50" s="704">
        <f>transport!H18</f>
        <v>2723.6899912941399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16599.113329254713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2.2211725676734195</v>
      </c>
      <c r="D52" s="733">
        <f t="shared" ref="D52:Q52" ca="1" si="6">SUM(D48:D51)</f>
        <v>0</v>
      </c>
      <c r="E52" s="733">
        <f t="shared" si="6"/>
        <v>5.8499631781420858</v>
      </c>
      <c r="F52" s="733">
        <f t="shared" si="6"/>
        <v>41.822826915298897</v>
      </c>
      <c r="G52" s="733">
        <f t="shared" si="6"/>
        <v>0</v>
      </c>
      <c r="H52" s="733">
        <f t="shared" si="6"/>
        <v>14467.455192334432</v>
      </c>
      <c r="I52" s="733">
        <f t="shared" si="6"/>
        <v>2723.6899912941399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17241.039146289684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1276.8423603122908</v>
      </c>
      <c r="D54" s="704">
        <f ca="1">+landbouw!C12</f>
        <v>47066.011090088665</v>
      </c>
      <c r="E54" s="704">
        <f>+landbouw!D12</f>
        <v>0</v>
      </c>
      <c r="F54" s="704">
        <f>+landbouw!E12</f>
        <v>13.1739257689791</v>
      </c>
      <c r="G54" s="704">
        <f>+landbouw!F12</f>
        <v>1144.6567721180745</v>
      </c>
      <c r="H54" s="704">
        <f>+landbouw!G12</f>
        <v>0</v>
      </c>
      <c r="I54" s="704">
        <f>+landbouw!H12</f>
        <v>0</v>
      </c>
      <c r="J54" s="704">
        <f>+landbouw!I12</f>
        <v>0</v>
      </c>
      <c r="K54" s="704">
        <f>+landbouw!J12</f>
        <v>340.0493672487699</v>
      </c>
      <c r="L54" s="704">
        <f>+landbouw!K12</f>
        <v>0</v>
      </c>
      <c r="M54" s="704">
        <f>+landbouw!L12</f>
        <v>0</v>
      </c>
      <c r="N54" s="704">
        <f>+landbouw!M12</f>
        <v>0</v>
      </c>
      <c r="O54" s="704">
        <f>+landbouw!N12</f>
        <v>0</v>
      </c>
      <c r="P54" s="704">
        <f>+landbouw!O12</f>
        <v>0</v>
      </c>
      <c r="Q54" s="705">
        <f>+landbouw!P12</f>
        <v>0</v>
      </c>
      <c r="R54" s="732">
        <f ca="1">SUM(C54:Q54)</f>
        <v>49840.733515536784</v>
      </c>
    </row>
    <row r="55" spans="1:18" ht="15" thickBot="1">
      <c r="A55" s="826" t="s">
        <v>864</v>
      </c>
      <c r="B55" s="836"/>
      <c r="C55" s="704">
        <f ca="1">C25*'EF ele_warmte'!B12</f>
        <v>205.16550067553374</v>
      </c>
      <c r="D55" s="704"/>
      <c r="E55" s="704">
        <f>E25*EF_CO2_aardgas</f>
        <v>550.10895335604096</v>
      </c>
      <c r="F55" s="704"/>
      <c r="G55" s="704"/>
      <c r="H55" s="704"/>
      <c r="I55" s="704"/>
      <c r="J55" s="704"/>
      <c r="K55" s="704"/>
      <c r="L55" s="704"/>
      <c r="M55" s="704"/>
      <c r="N55" s="704"/>
      <c r="O55" s="704"/>
      <c r="P55" s="704"/>
      <c r="Q55" s="705"/>
      <c r="R55" s="732">
        <f ca="1">SUM(C55:Q55)</f>
        <v>755.27445403157469</v>
      </c>
    </row>
    <row r="56" spans="1:18" ht="15.75" thickBot="1">
      <c r="A56" s="824" t="s">
        <v>865</v>
      </c>
      <c r="B56" s="837"/>
      <c r="C56" s="733">
        <f ca="1">SUM(C54:C55)</f>
        <v>1482.0078609878246</v>
      </c>
      <c r="D56" s="733">
        <f t="shared" ref="D56:Q56" ca="1" si="7">SUM(D54:D55)</f>
        <v>47066.011090088665</v>
      </c>
      <c r="E56" s="733">
        <f t="shared" si="7"/>
        <v>550.10895335604096</v>
      </c>
      <c r="F56" s="733">
        <f t="shared" si="7"/>
        <v>13.1739257689791</v>
      </c>
      <c r="G56" s="733">
        <f t="shared" si="7"/>
        <v>1144.6567721180745</v>
      </c>
      <c r="H56" s="733">
        <f t="shared" si="7"/>
        <v>0</v>
      </c>
      <c r="I56" s="733">
        <f t="shared" si="7"/>
        <v>0</v>
      </c>
      <c r="J56" s="733">
        <f t="shared" si="7"/>
        <v>0</v>
      </c>
      <c r="K56" s="733">
        <f t="shared" si="7"/>
        <v>340.0493672487699</v>
      </c>
      <c r="L56" s="733">
        <f t="shared" si="7"/>
        <v>0</v>
      </c>
      <c r="M56" s="733">
        <f t="shared" si="7"/>
        <v>0</v>
      </c>
      <c r="N56" s="733">
        <f t="shared" si="7"/>
        <v>0</v>
      </c>
      <c r="O56" s="733">
        <f t="shared" si="7"/>
        <v>0</v>
      </c>
      <c r="P56" s="733">
        <f t="shared" si="7"/>
        <v>0</v>
      </c>
      <c r="Q56" s="734">
        <f t="shared" si="7"/>
        <v>0</v>
      </c>
      <c r="R56" s="735">
        <f ca="1">SUM(R54:R55)</f>
        <v>50596.00796956836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22375.583665525308</v>
      </c>
      <c r="D61" s="741">
        <f t="shared" ref="D61:Q61" ca="1" si="8">D46+D52+D56</f>
        <v>48729.253259168843</v>
      </c>
      <c r="E61" s="741">
        <f t="shared" ca="1" si="8"/>
        <v>22600.338145643502</v>
      </c>
      <c r="F61" s="741">
        <f t="shared" si="8"/>
        <v>873.77337825269217</v>
      </c>
      <c r="G61" s="741">
        <f t="shared" ca="1" si="8"/>
        <v>13261.170696077294</v>
      </c>
      <c r="H61" s="741">
        <f t="shared" si="8"/>
        <v>14467.455192334432</v>
      </c>
      <c r="I61" s="741">
        <f t="shared" si="8"/>
        <v>2723.6899912941399</v>
      </c>
      <c r="J61" s="741">
        <f t="shared" si="8"/>
        <v>0</v>
      </c>
      <c r="K61" s="741">
        <f t="shared" si="8"/>
        <v>664.18656234709772</v>
      </c>
      <c r="L61" s="741">
        <f t="shared" si="8"/>
        <v>0</v>
      </c>
      <c r="M61" s="741">
        <f t="shared" ca="1" si="8"/>
        <v>0</v>
      </c>
      <c r="N61" s="741">
        <f t="shared" si="8"/>
        <v>0</v>
      </c>
      <c r="O61" s="741">
        <f t="shared" ca="1" si="8"/>
        <v>0</v>
      </c>
      <c r="P61" s="741">
        <f t="shared" si="8"/>
        <v>0</v>
      </c>
      <c r="Q61" s="741">
        <f t="shared" si="8"/>
        <v>0</v>
      </c>
      <c r="R61" s="741">
        <f ca="1">R46+R52+R56</f>
        <v>125695.45089064332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0.20378506067452451</v>
      </c>
      <c r="D63" s="782">
        <f t="shared" ca="1" si="9"/>
        <v>0.21560546636224565</v>
      </c>
      <c r="E63" s="1036">
        <f t="shared" ca="1" si="9"/>
        <v>0.20199999999999996</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9461.1650920383454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16459.574776723028</v>
      </c>
      <c r="C76" s="751">
        <f>'lokale energieproductie'!B8*IFERROR(SUM(D76:H76)/SUM(D76:O76),0)</f>
        <v>146651.92522327698</v>
      </c>
      <c r="D76" s="1046">
        <f>'lokale energieproductie'!C8</f>
        <v>167665.02555749033</v>
      </c>
      <c r="E76" s="1047">
        <f>'lokale energieproductie'!D8</f>
        <v>0</v>
      </c>
      <c r="F76" s="1047">
        <f>'lokale energieproductie'!E8</f>
        <v>4866.6511757767203</v>
      </c>
      <c r="G76" s="1047">
        <f>'lokale energieproductie'!F8</f>
        <v>0</v>
      </c>
      <c r="H76" s="1047">
        <f>'lokale energieproductie'!G8</f>
        <v>0</v>
      </c>
      <c r="I76" s="1047">
        <f>'lokale energieproductie'!I8</f>
        <v>19315.700790679697</v>
      </c>
      <c r="J76" s="1047">
        <f>'lokale energieproductie'!J8</f>
        <v>48.504828994452367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35167.731026545429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25920.739868761375</v>
      </c>
      <c r="C78" s="756">
        <f>SUM(C72:C77)</f>
        <v>146651.92522327698</v>
      </c>
      <c r="D78" s="757">
        <f t="shared" ref="D78:H78" si="10">SUM(D76:D77)</f>
        <v>167665.02555749033</v>
      </c>
      <c r="E78" s="757">
        <f t="shared" si="10"/>
        <v>0</v>
      </c>
      <c r="F78" s="757">
        <f t="shared" si="10"/>
        <v>4866.6511757767203</v>
      </c>
      <c r="G78" s="757">
        <f t="shared" si="10"/>
        <v>0</v>
      </c>
      <c r="H78" s="757">
        <f t="shared" si="10"/>
        <v>0</v>
      </c>
      <c r="I78" s="757">
        <f>SUM(I76:I77)</f>
        <v>19315.700790679697</v>
      </c>
      <c r="J78" s="757">
        <f>SUM(J76:J77)</f>
        <v>48.504828994452367</v>
      </c>
      <c r="K78" s="757">
        <f t="shared" ref="K78:L78" si="11">SUM(K76:K77)</f>
        <v>0</v>
      </c>
      <c r="L78" s="757">
        <f t="shared" si="11"/>
        <v>0</v>
      </c>
      <c r="M78" s="757">
        <f>SUM(M76:M77)</f>
        <v>0</v>
      </c>
      <c r="N78" s="757">
        <f>SUM(N76:N77)</f>
        <v>0</v>
      </c>
      <c r="O78" s="861">
        <f>SUM(O76:O77)</f>
        <v>0</v>
      </c>
      <c r="P78" s="758">
        <v>0</v>
      </c>
      <c r="Q78" s="758">
        <f>SUM(Q76:Q77)</f>
        <v>35167.731026545429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22806.782366134117</v>
      </c>
      <c r="C87" s="767">
        <f>'lokale energieproductie'!B17*IFERROR(SUM(D87:H87)/SUM(D87:O87),0)</f>
        <v>203204.43191958012</v>
      </c>
      <c r="D87" s="778">
        <f>'lokale energieproductie'!C17</f>
        <v>232320.6887282239</v>
      </c>
      <c r="E87" s="778">
        <f>'lokale energieproductie'!D17</f>
        <v>0</v>
      </c>
      <c r="F87" s="778">
        <f>'lokale energieproductie'!E17</f>
        <v>6743.3488242232788</v>
      </c>
      <c r="G87" s="778">
        <f>'lokale energieproductie'!F17</f>
        <v>0</v>
      </c>
      <c r="H87" s="778">
        <f>'lokale energieproductie'!G17</f>
        <v>0</v>
      </c>
      <c r="I87" s="778">
        <f>'lokale energieproductie'!I17</f>
        <v>26764.299209320299</v>
      </c>
      <c r="J87" s="778">
        <f>'lokale energieproductie'!J17</f>
        <v>67.209456719833355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48729.253259168843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22806.782366134117</v>
      </c>
      <c r="C90" s="756">
        <f>SUM(C87:C89)</f>
        <v>203204.43191958012</v>
      </c>
      <c r="D90" s="756">
        <f t="shared" ref="D90:H90" si="12">SUM(D87:D89)</f>
        <v>232320.6887282239</v>
      </c>
      <c r="E90" s="756">
        <f t="shared" si="12"/>
        <v>0</v>
      </c>
      <c r="F90" s="756">
        <f t="shared" si="12"/>
        <v>6743.3488242232788</v>
      </c>
      <c r="G90" s="756">
        <f t="shared" si="12"/>
        <v>0</v>
      </c>
      <c r="H90" s="756">
        <f t="shared" si="12"/>
        <v>0</v>
      </c>
      <c r="I90" s="756">
        <f>SUM(I87:I89)</f>
        <v>26764.299209320299</v>
      </c>
      <c r="J90" s="756">
        <f>SUM(J87:J89)</f>
        <v>67.209456719833355</v>
      </c>
      <c r="K90" s="756">
        <f t="shared" ref="K90:L90" si="13">SUM(K87:K89)</f>
        <v>0</v>
      </c>
      <c r="L90" s="756">
        <f t="shared" si="13"/>
        <v>0</v>
      </c>
      <c r="M90" s="756">
        <f>SUM(M87:M89)</f>
        <v>0</v>
      </c>
      <c r="N90" s="756">
        <f>SUM(N87:N89)</f>
        <v>0</v>
      </c>
      <c r="O90" s="756">
        <f>SUM(O87:O89)</f>
        <v>0</v>
      </c>
      <c r="P90" s="756">
        <v>0</v>
      </c>
      <c r="Q90" s="756">
        <f>SUM(Q87:Q89)</f>
        <v>48729.253259168843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9461.1650920383454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163111.5</v>
      </c>
      <c r="C8" s="571">
        <f>B101</f>
        <v>167665.02555749033</v>
      </c>
      <c r="D8" s="1056"/>
      <c r="E8" s="1056">
        <f>E101</f>
        <v>4866.6511757767203</v>
      </c>
      <c r="F8" s="1057"/>
      <c r="G8" s="572"/>
      <c r="H8" s="1056">
        <f>I101</f>
        <v>0</v>
      </c>
      <c r="I8" s="1056">
        <f>G101+F101</f>
        <v>19315.700790679697</v>
      </c>
      <c r="J8" s="1056">
        <f>H101+D101+C101</f>
        <v>48.504828994452367</v>
      </c>
      <c r="K8" s="1056"/>
      <c r="L8" s="1056"/>
      <c r="M8" s="1056"/>
      <c r="N8" s="573"/>
      <c r="O8" s="574">
        <f>C8*$C$12+D8*$D$12+E8*$E$12+F8*$F$12+G8*$G$12+H8*$H$12+I8*$I$12+J8*$J$12</f>
        <v>35167.731026545429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172572.66509203834</v>
      </c>
      <c r="C10" s="584">
        <f t="shared" ref="C10:L10" si="0">SUM(C8:C9)</f>
        <v>167665.02555749033</v>
      </c>
      <c r="D10" s="584">
        <f t="shared" si="0"/>
        <v>0</v>
      </c>
      <c r="E10" s="584">
        <f t="shared" si="0"/>
        <v>4866.6511757767203</v>
      </c>
      <c r="F10" s="584">
        <f t="shared" si="0"/>
        <v>0</v>
      </c>
      <c r="G10" s="584">
        <f t="shared" si="0"/>
        <v>0</v>
      </c>
      <c r="H10" s="584">
        <f t="shared" si="0"/>
        <v>0</v>
      </c>
      <c r="I10" s="584">
        <f t="shared" si="0"/>
        <v>19315.700790679697</v>
      </c>
      <c r="J10" s="584">
        <f t="shared" si="0"/>
        <v>48.504828994452367</v>
      </c>
      <c r="K10" s="584">
        <f t="shared" si="0"/>
        <v>0</v>
      </c>
      <c r="L10" s="584">
        <f t="shared" si="0"/>
        <v>0</v>
      </c>
      <c r="M10" s="1059"/>
      <c r="N10" s="1059"/>
      <c r="O10" s="585">
        <f>SUM(O4:O9)</f>
        <v>35167.731026545429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226011.2142857142</v>
      </c>
      <c r="C17" s="596">
        <f>B102</f>
        <v>232320.6887282239</v>
      </c>
      <c r="D17" s="597"/>
      <c r="E17" s="597">
        <f>E102</f>
        <v>6743.3488242232788</v>
      </c>
      <c r="F17" s="1062"/>
      <c r="G17" s="598"/>
      <c r="H17" s="596">
        <f>I102</f>
        <v>0</v>
      </c>
      <c r="I17" s="597">
        <f>G102+F102</f>
        <v>26764.299209320299</v>
      </c>
      <c r="J17" s="597">
        <f>H102+D102+C102</f>
        <v>67.209456719833355</v>
      </c>
      <c r="K17" s="597"/>
      <c r="L17" s="597"/>
      <c r="M17" s="597"/>
      <c r="N17" s="1063"/>
      <c r="O17" s="599">
        <f>C17*$C$22+E17*$E$22+H17*$H$22+I17*$I$22+J17*$J$22+D17*$D$22+F17*$F$22+G17*$G$22+K17*$K$22+L17*$L$22</f>
        <v>48729.253259168843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226011.2142857142</v>
      </c>
      <c r="C20" s="583">
        <f>SUM(C17:C19)</f>
        <v>232320.6887282239</v>
      </c>
      <c r="D20" s="583">
        <f t="shared" ref="D20:L20" si="1">SUM(D17:D19)</f>
        <v>0</v>
      </c>
      <c r="E20" s="583">
        <f t="shared" si="1"/>
        <v>6743.3488242232788</v>
      </c>
      <c r="F20" s="583">
        <f t="shared" si="1"/>
        <v>0</v>
      </c>
      <c r="G20" s="583">
        <f t="shared" si="1"/>
        <v>0</v>
      </c>
      <c r="H20" s="583">
        <f t="shared" si="1"/>
        <v>0</v>
      </c>
      <c r="I20" s="583">
        <f t="shared" si="1"/>
        <v>26764.299209320299</v>
      </c>
      <c r="J20" s="583">
        <f t="shared" si="1"/>
        <v>67.209456719833355</v>
      </c>
      <c r="K20" s="583">
        <f t="shared" si="1"/>
        <v>0</v>
      </c>
      <c r="L20" s="583">
        <f t="shared" si="1"/>
        <v>0</v>
      </c>
      <c r="M20" s="583"/>
      <c r="N20" s="583"/>
      <c r="O20" s="602">
        <f>SUM(O17:O19)</f>
        <v>48729.253259168843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12035</v>
      </c>
      <c r="C28" s="797">
        <v>2860</v>
      </c>
      <c r="D28" s="654" t="s">
        <v>907</v>
      </c>
      <c r="E28" s="653" t="s">
        <v>908</v>
      </c>
      <c r="F28" s="653" t="s">
        <v>909</v>
      </c>
      <c r="G28" s="653" t="s">
        <v>910</v>
      </c>
      <c r="H28" s="653" t="s">
        <v>911</v>
      </c>
      <c r="I28" s="653" t="s">
        <v>908</v>
      </c>
      <c r="J28" s="796">
        <v>40568</v>
      </c>
      <c r="K28" s="796">
        <v>39203</v>
      </c>
      <c r="L28" s="653" t="s">
        <v>912</v>
      </c>
      <c r="M28" s="653">
        <v>1129</v>
      </c>
      <c r="N28" s="653">
        <v>5080.5</v>
      </c>
      <c r="O28" s="653">
        <v>5715.5625</v>
      </c>
      <c r="P28" s="653">
        <v>0</v>
      </c>
      <c r="Q28" s="653">
        <v>0</v>
      </c>
      <c r="R28" s="653">
        <v>0</v>
      </c>
      <c r="S28" s="653">
        <v>3175.3125</v>
      </c>
      <c r="T28" s="653">
        <v>9525.9375</v>
      </c>
      <c r="U28" s="653">
        <v>0</v>
      </c>
      <c r="V28" s="653">
        <v>0</v>
      </c>
      <c r="W28" s="653">
        <v>0</v>
      </c>
      <c r="X28" s="653">
        <v>10</v>
      </c>
      <c r="Y28" s="653" t="s">
        <v>112</v>
      </c>
      <c r="Z28" s="655" t="s">
        <v>112</v>
      </c>
    </row>
    <row r="29" spans="1:26" s="607" customFormat="1" ht="25.5">
      <c r="A29" s="606"/>
      <c r="B29" s="797">
        <v>12035</v>
      </c>
      <c r="C29" s="797">
        <v>2861</v>
      </c>
      <c r="D29" s="654" t="s">
        <v>913</v>
      </c>
      <c r="E29" s="653" t="s">
        <v>914</v>
      </c>
      <c r="F29" s="653" t="s">
        <v>915</v>
      </c>
      <c r="G29" s="653" t="s">
        <v>910</v>
      </c>
      <c r="H29" s="653" t="s">
        <v>916</v>
      </c>
      <c r="I29" s="653" t="s">
        <v>914</v>
      </c>
      <c r="J29" s="796">
        <v>40570</v>
      </c>
      <c r="K29" s="796">
        <v>39247</v>
      </c>
      <c r="L29" s="653" t="s">
        <v>912</v>
      </c>
      <c r="M29" s="653">
        <v>1752</v>
      </c>
      <c r="N29" s="653">
        <v>7884</v>
      </c>
      <c r="O29" s="653">
        <v>11262.857142857143</v>
      </c>
      <c r="P29" s="653">
        <v>22525.714285714286</v>
      </c>
      <c r="Q29" s="653">
        <v>0</v>
      </c>
      <c r="R29" s="653">
        <v>0</v>
      </c>
      <c r="S29" s="653">
        <v>0</v>
      </c>
      <c r="T29" s="653">
        <v>0</v>
      </c>
      <c r="U29" s="653">
        <v>0</v>
      </c>
      <c r="V29" s="653">
        <v>0</v>
      </c>
      <c r="W29" s="653">
        <v>0</v>
      </c>
      <c r="X29" s="653">
        <v>10</v>
      </c>
      <c r="Y29" s="653" t="s">
        <v>112</v>
      </c>
      <c r="Z29" s="655" t="s">
        <v>112</v>
      </c>
    </row>
    <row r="30" spans="1:26" s="607" customFormat="1" ht="25.5">
      <c r="A30" s="606"/>
      <c r="B30" s="797">
        <v>12035</v>
      </c>
      <c r="C30" s="797">
        <v>2861</v>
      </c>
      <c r="D30" s="654" t="s">
        <v>917</v>
      </c>
      <c r="E30" s="653" t="s">
        <v>918</v>
      </c>
      <c r="F30" s="653" t="s">
        <v>919</v>
      </c>
      <c r="G30" s="653" t="s">
        <v>910</v>
      </c>
      <c r="H30" s="653" t="s">
        <v>916</v>
      </c>
      <c r="I30" s="653" t="s">
        <v>918</v>
      </c>
      <c r="J30" s="796">
        <v>39263</v>
      </c>
      <c r="K30" s="796">
        <v>39261</v>
      </c>
      <c r="L30" s="653" t="s">
        <v>912</v>
      </c>
      <c r="M30" s="653">
        <v>1984</v>
      </c>
      <c r="N30" s="653">
        <v>8928</v>
      </c>
      <c r="O30" s="653">
        <v>12754.285714285714</v>
      </c>
      <c r="P30" s="653">
        <v>25508.571428571431</v>
      </c>
      <c r="Q30" s="653">
        <v>0</v>
      </c>
      <c r="R30" s="653">
        <v>0</v>
      </c>
      <c r="S30" s="653">
        <v>0</v>
      </c>
      <c r="T30" s="653">
        <v>0</v>
      </c>
      <c r="U30" s="653">
        <v>0</v>
      </c>
      <c r="V30" s="653">
        <v>0</v>
      </c>
      <c r="W30" s="653">
        <v>0</v>
      </c>
      <c r="X30" s="653">
        <v>10</v>
      </c>
      <c r="Y30" s="653" t="s">
        <v>112</v>
      </c>
      <c r="Z30" s="655" t="s">
        <v>112</v>
      </c>
    </row>
    <row r="31" spans="1:26" s="607" customFormat="1" ht="25.5">
      <c r="A31" s="606"/>
      <c r="B31" s="797">
        <v>12035</v>
      </c>
      <c r="C31" s="797">
        <v>2861</v>
      </c>
      <c r="D31" s="654" t="s">
        <v>920</v>
      </c>
      <c r="E31" s="653" t="s">
        <v>921</v>
      </c>
      <c r="F31" s="653" t="s">
        <v>922</v>
      </c>
      <c r="G31" s="653" t="s">
        <v>910</v>
      </c>
      <c r="H31" s="653" t="s">
        <v>916</v>
      </c>
      <c r="I31" s="653" t="s">
        <v>921</v>
      </c>
      <c r="J31" s="796">
        <v>39322</v>
      </c>
      <c r="K31" s="796">
        <v>39352</v>
      </c>
      <c r="L31" s="653" t="s">
        <v>912</v>
      </c>
      <c r="M31" s="653">
        <v>1564</v>
      </c>
      <c r="N31" s="653">
        <v>7038</v>
      </c>
      <c r="O31" s="653">
        <v>10054.285714285714</v>
      </c>
      <c r="P31" s="653">
        <v>20108.571428571431</v>
      </c>
      <c r="Q31" s="653">
        <v>0</v>
      </c>
      <c r="R31" s="653">
        <v>0</v>
      </c>
      <c r="S31" s="653">
        <v>0</v>
      </c>
      <c r="T31" s="653">
        <v>0</v>
      </c>
      <c r="U31" s="653">
        <v>0</v>
      </c>
      <c r="V31" s="653">
        <v>0</v>
      </c>
      <c r="W31" s="653">
        <v>0</v>
      </c>
      <c r="X31" s="653">
        <v>10</v>
      </c>
      <c r="Y31" s="653" t="s">
        <v>112</v>
      </c>
      <c r="Z31" s="655" t="s">
        <v>112</v>
      </c>
    </row>
    <row r="32" spans="1:26" s="607" customFormat="1" ht="38.25">
      <c r="A32" s="606"/>
      <c r="B32" s="797">
        <v>12035</v>
      </c>
      <c r="C32" s="797">
        <v>2861</v>
      </c>
      <c r="D32" s="654" t="s">
        <v>923</v>
      </c>
      <c r="E32" s="653" t="s">
        <v>924</v>
      </c>
      <c r="F32" s="653" t="s">
        <v>925</v>
      </c>
      <c r="G32" s="653" t="s">
        <v>910</v>
      </c>
      <c r="H32" s="653" t="s">
        <v>916</v>
      </c>
      <c r="I32" s="653" t="s">
        <v>924</v>
      </c>
      <c r="J32" s="796">
        <v>40921</v>
      </c>
      <c r="K32" s="796">
        <v>39455</v>
      </c>
      <c r="L32" s="653" t="s">
        <v>912</v>
      </c>
      <c r="M32" s="653">
        <v>2566</v>
      </c>
      <c r="N32" s="653">
        <v>11547</v>
      </c>
      <c r="O32" s="653">
        <v>16495.714285714286</v>
      </c>
      <c r="P32" s="653">
        <v>32991.428571428572</v>
      </c>
      <c r="Q32" s="653">
        <v>0</v>
      </c>
      <c r="R32" s="653">
        <v>0</v>
      </c>
      <c r="S32" s="653">
        <v>0</v>
      </c>
      <c r="T32" s="653">
        <v>0</v>
      </c>
      <c r="U32" s="653">
        <v>0</v>
      </c>
      <c r="V32" s="653">
        <v>0</v>
      </c>
      <c r="W32" s="653">
        <v>0</v>
      </c>
      <c r="X32" s="653">
        <v>10</v>
      </c>
      <c r="Y32" s="653" t="s">
        <v>112</v>
      </c>
      <c r="Z32" s="655" t="s">
        <v>112</v>
      </c>
    </row>
    <row r="33" spans="1:26" s="607" customFormat="1" ht="25.5">
      <c r="A33" s="606"/>
      <c r="B33" s="797">
        <v>12035</v>
      </c>
      <c r="C33" s="797">
        <v>2861</v>
      </c>
      <c r="D33" s="654" t="s">
        <v>926</v>
      </c>
      <c r="E33" s="653" t="s">
        <v>927</v>
      </c>
      <c r="F33" s="653" t="s">
        <v>928</v>
      </c>
      <c r="G33" s="653" t="s">
        <v>910</v>
      </c>
      <c r="H33" s="653" t="s">
        <v>916</v>
      </c>
      <c r="I33" s="653" t="s">
        <v>927</v>
      </c>
      <c r="J33" s="796">
        <v>39462</v>
      </c>
      <c r="K33" s="796">
        <v>39471</v>
      </c>
      <c r="L33" s="653" t="s">
        <v>912</v>
      </c>
      <c r="M33" s="653">
        <v>1006</v>
      </c>
      <c r="N33" s="653">
        <v>4527</v>
      </c>
      <c r="O33" s="653">
        <v>6467.1428571428569</v>
      </c>
      <c r="P33" s="653">
        <v>12934.285714285716</v>
      </c>
      <c r="Q33" s="653">
        <v>0</v>
      </c>
      <c r="R33" s="653">
        <v>0</v>
      </c>
      <c r="S33" s="653">
        <v>0</v>
      </c>
      <c r="T33" s="653">
        <v>0</v>
      </c>
      <c r="U33" s="653">
        <v>0</v>
      </c>
      <c r="V33" s="653">
        <v>0</v>
      </c>
      <c r="W33" s="653">
        <v>0</v>
      </c>
      <c r="X33" s="653">
        <v>10</v>
      </c>
      <c r="Y33" s="653" t="s">
        <v>112</v>
      </c>
      <c r="Z33" s="655" t="s">
        <v>112</v>
      </c>
    </row>
    <row r="34" spans="1:26" s="607" customFormat="1" ht="25.5">
      <c r="A34" s="606"/>
      <c r="B34" s="797">
        <v>12035</v>
      </c>
      <c r="C34" s="797">
        <v>2860</v>
      </c>
      <c r="D34" s="654" t="s">
        <v>929</v>
      </c>
      <c r="E34" s="653" t="s">
        <v>930</v>
      </c>
      <c r="F34" s="653" t="s">
        <v>931</v>
      </c>
      <c r="G34" s="653" t="s">
        <v>910</v>
      </c>
      <c r="H34" s="653" t="s">
        <v>916</v>
      </c>
      <c r="I34" s="653" t="s">
        <v>930</v>
      </c>
      <c r="J34" s="796">
        <v>39653</v>
      </c>
      <c r="K34" s="796">
        <v>39688</v>
      </c>
      <c r="L34" s="653" t="s">
        <v>912</v>
      </c>
      <c r="M34" s="653">
        <v>1158</v>
      </c>
      <c r="N34" s="653">
        <v>5211</v>
      </c>
      <c r="O34" s="653">
        <v>7444.2857142857147</v>
      </c>
      <c r="P34" s="653">
        <v>14888.571428571429</v>
      </c>
      <c r="Q34" s="653">
        <v>0</v>
      </c>
      <c r="R34" s="653">
        <v>0</v>
      </c>
      <c r="S34" s="653">
        <v>0</v>
      </c>
      <c r="T34" s="653">
        <v>0</v>
      </c>
      <c r="U34" s="653">
        <v>0</v>
      </c>
      <c r="V34" s="653">
        <v>0</v>
      </c>
      <c r="W34" s="653">
        <v>0</v>
      </c>
      <c r="X34" s="653">
        <v>10</v>
      </c>
      <c r="Y34" s="653" t="s">
        <v>112</v>
      </c>
      <c r="Z34" s="655" t="s">
        <v>112</v>
      </c>
    </row>
    <row r="35" spans="1:26" s="607" customFormat="1" ht="38.25">
      <c r="A35" s="606"/>
      <c r="B35" s="797">
        <v>12035</v>
      </c>
      <c r="C35" s="797">
        <v>2861</v>
      </c>
      <c r="D35" s="654" t="s">
        <v>932</v>
      </c>
      <c r="E35" s="653" t="s">
        <v>933</v>
      </c>
      <c r="F35" s="653" t="s">
        <v>934</v>
      </c>
      <c r="G35" s="653" t="s">
        <v>910</v>
      </c>
      <c r="H35" s="653" t="s">
        <v>916</v>
      </c>
      <c r="I35" s="653" t="s">
        <v>933</v>
      </c>
      <c r="J35" s="796">
        <v>39805</v>
      </c>
      <c r="K35" s="796">
        <v>39805</v>
      </c>
      <c r="L35" s="653" t="s">
        <v>912</v>
      </c>
      <c r="M35" s="653">
        <v>2014</v>
      </c>
      <c r="N35" s="653">
        <v>9062.9999999999982</v>
      </c>
      <c r="O35" s="653">
        <v>12947.142857142855</v>
      </c>
      <c r="P35" s="653">
        <v>25894.28571428571</v>
      </c>
      <c r="Q35" s="653">
        <v>0</v>
      </c>
      <c r="R35" s="653">
        <v>0</v>
      </c>
      <c r="S35" s="653">
        <v>0</v>
      </c>
      <c r="T35" s="653">
        <v>0</v>
      </c>
      <c r="U35" s="653">
        <v>0</v>
      </c>
      <c r="V35" s="653">
        <v>0</v>
      </c>
      <c r="W35" s="653">
        <v>0</v>
      </c>
      <c r="X35" s="653">
        <v>10</v>
      </c>
      <c r="Y35" s="653" t="s">
        <v>112</v>
      </c>
      <c r="Z35" s="655" t="s">
        <v>112</v>
      </c>
    </row>
    <row r="36" spans="1:26" s="607" customFormat="1" ht="38.25">
      <c r="A36" s="606"/>
      <c r="B36" s="797">
        <v>12035</v>
      </c>
      <c r="C36" s="797">
        <v>2860</v>
      </c>
      <c r="D36" s="654" t="s">
        <v>935</v>
      </c>
      <c r="E36" s="653" t="s">
        <v>936</v>
      </c>
      <c r="F36" s="653" t="s">
        <v>937</v>
      </c>
      <c r="G36" s="653" t="s">
        <v>910</v>
      </c>
      <c r="H36" s="653" t="s">
        <v>911</v>
      </c>
      <c r="I36" s="653" t="s">
        <v>936</v>
      </c>
      <c r="J36" s="796">
        <v>39834</v>
      </c>
      <c r="K36" s="796">
        <v>39834</v>
      </c>
      <c r="L36" s="653" t="s">
        <v>938</v>
      </c>
      <c r="M36" s="653">
        <v>773</v>
      </c>
      <c r="N36" s="653">
        <v>3478.5</v>
      </c>
      <c r="O36" s="653">
        <v>3913.3125</v>
      </c>
      <c r="P36" s="653">
        <v>0</v>
      </c>
      <c r="Q36" s="653">
        <v>0</v>
      </c>
      <c r="R36" s="653">
        <v>0</v>
      </c>
      <c r="S36" s="653">
        <v>2174.0625</v>
      </c>
      <c r="T36" s="653">
        <v>6522.1875</v>
      </c>
      <c r="U36" s="653">
        <v>0</v>
      </c>
      <c r="V36" s="653">
        <v>0</v>
      </c>
      <c r="W36" s="653">
        <v>0</v>
      </c>
      <c r="X36" s="653">
        <v>10</v>
      </c>
      <c r="Y36" s="653" t="s">
        <v>112</v>
      </c>
      <c r="Z36" s="655" t="s">
        <v>112</v>
      </c>
    </row>
    <row r="37" spans="1:26" s="607" customFormat="1" ht="25.5">
      <c r="A37" s="606"/>
      <c r="B37" s="797">
        <v>12035</v>
      </c>
      <c r="C37" s="797">
        <v>2861</v>
      </c>
      <c r="D37" s="654" t="s">
        <v>939</v>
      </c>
      <c r="E37" s="653" t="s">
        <v>940</v>
      </c>
      <c r="F37" s="653" t="s">
        <v>941</v>
      </c>
      <c r="G37" s="653" t="s">
        <v>910</v>
      </c>
      <c r="H37" s="653" t="s">
        <v>916</v>
      </c>
      <c r="I37" s="653" t="s">
        <v>942</v>
      </c>
      <c r="J37" s="796">
        <v>39910</v>
      </c>
      <c r="K37" s="796">
        <v>39910</v>
      </c>
      <c r="L37" s="653" t="s">
        <v>912</v>
      </c>
      <c r="M37" s="653">
        <v>1400</v>
      </c>
      <c r="N37" s="653">
        <v>6300</v>
      </c>
      <c r="O37" s="653">
        <v>9000</v>
      </c>
      <c r="P37" s="653">
        <v>18000</v>
      </c>
      <c r="Q37" s="653">
        <v>0</v>
      </c>
      <c r="R37" s="653">
        <v>0</v>
      </c>
      <c r="S37" s="653">
        <v>0</v>
      </c>
      <c r="T37" s="653">
        <v>0</v>
      </c>
      <c r="U37" s="653">
        <v>0</v>
      </c>
      <c r="V37" s="653">
        <v>0</v>
      </c>
      <c r="W37" s="653">
        <v>0</v>
      </c>
      <c r="X37" s="653">
        <v>10</v>
      </c>
      <c r="Y37" s="653" t="s">
        <v>112</v>
      </c>
      <c r="Z37" s="655" t="s">
        <v>112</v>
      </c>
    </row>
    <row r="38" spans="1:26" s="607" customFormat="1" ht="25.5">
      <c r="A38" s="606"/>
      <c r="B38" s="797">
        <v>12035</v>
      </c>
      <c r="C38" s="797">
        <v>2861</v>
      </c>
      <c r="D38" s="654" t="s">
        <v>943</v>
      </c>
      <c r="E38" s="653" t="s">
        <v>944</v>
      </c>
      <c r="F38" s="653" t="s">
        <v>945</v>
      </c>
      <c r="G38" s="653" t="s">
        <v>910</v>
      </c>
      <c r="H38" s="653" t="s">
        <v>916</v>
      </c>
      <c r="I38" s="653" t="s">
        <v>944</v>
      </c>
      <c r="J38" s="796">
        <v>40006</v>
      </c>
      <c r="K38" s="796">
        <v>40007</v>
      </c>
      <c r="L38" s="653" t="s">
        <v>912</v>
      </c>
      <c r="M38" s="653">
        <v>1562</v>
      </c>
      <c r="N38" s="653">
        <v>7029</v>
      </c>
      <c r="O38" s="653">
        <v>10041.428571428572</v>
      </c>
      <c r="P38" s="653">
        <v>20082.857142857145</v>
      </c>
      <c r="Q38" s="653">
        <v>0</v>
      </c>
      <c r="R38" s="653">
        <v>0</v>
      </c>
      <c r="S38" s="653">
        <v>0</v>
      </c>
      <c r="T38" s="653">
        <v>0</v>
      </c>
      <c r="U38" s="653">
        <v>0</v>
      </c>
      <c r="V38" s="653">
        <v>0</v>
      </c>
      <c r="W38" s="653">
        <v>0</v>
      </c>
      <c r="X38" s="653">
        <v>10</v>
      </c>
      <c r="Y38" s="653" t="s">
        <v>112</v>
      </c>
      <c r="Z38" s="655" t="s">
        <v>112</v>
      </c>
    </row>
    <row r="39" spans="1:26" s="607" customFormat="1" ht="25.5">
      <c r="A39" s="606"/>
      <c r="B39" s="797">
        <v>12035</v>
      </c>
      <c r="C39" s="797">
        <v>2860</v>
      </c>
      <c r="D39" s="654" t="s">
        <v>946</v>
      </c>
      <c r="E39" s="653" t="s">
        <v>947</v>
      </c>
      <c r="F39" s="653" t="s">
        <v>948</v>
      </c>
      <c r="G39" s="653" t="s">
        <v>910</v>
      </c>
      <c r="H39" s="653" t="s">
        <v>916</v>
      </c>
      <c r="I39" s="653" t="s">
        <v>947</v>
      </c>
      <c r="J39" s="796">
        <v>40058</v>
      </c>
      <c r="K39" s="796">
        <v>40058</v>
      </c>
      <c r="L39" s="653" t="s">
        <v>912</v>
      </c>
      <c r="M39" s="653">
        <v>2014</v>
      </c>
      <c r="N39" s="653">
        <v>9062.9999999999982</v>
      </c>
      <c r="O39" s="653">
        <v>12947.142857142855</v>
      </c>
      <c r="P39" s="653">
        <v>25894.28571428571</v>
      </c>
      <c r="Q39" s="653">
        <v>0</v>
      </c>
      <c r="R39" s="653">
        <v>0</v>
      </c>
      <c r="S39" s="653">
        <v>0</v>
      </c>
      <c r="T39" s="653">
        <v>0</v>
      </c>
      <c r="U39" s="653">
        <v>0</v>
      </c>
      <c r="V39" s="653">
        <v>0</v>
      </c>
      <c r="W39" s="653">
        <v>0</v>
      </c>
      <c r="X39" s="653">
        <v>10</v>
      </c>
      <c r="Y39" s="653" t="s">
        <v>112</v>
      </c>
      <c r="Z39" s="655" t="s">
        <v>112</v>
      </c>
    </row>
    <row r="40" spans="1:26" s="607" customFormat="1" ht="25.5">
      <c r="A40" s="606"/>
      <c r="B40" s="797">
        <v>12035</v>
      </c>
      <c r="C40" s="797">
        <v>2861</v>
      </c>
      <c r="D40" s="654" t="s">
        <v>949</v>
      </c>
      <c r="E40" s="653" t="s">
        <v>950</v>
      </c>
      <c r="F40" s="653" t="s">
        <v>951</v>
      </c>
      <c r="G40" s="653" t="s">
        <v>910</v>
      </c>
      <c r="H40" s="653" t="s">
        <v>916</v>
      </c>
      <c r="I40" s="653" t="s">
        <v>950</v>
      </c>
      <c r="J40" s="796">
        <v>40108</v>
      </c>
      <c r="K40" s="796">
        <v>40112</v>
      </c>
      <c r="L40" s="653" t="s">
        <v>912</v>
      </c>
      <c r="M40" s="653">
        <v>2014</v>
      </c>
      <c r="N40" s="653">
        <v>9062.9999999999982</v>
      </c>
      <c r="O40" s="653">
        <v>12947.142857142855</v>
      </c>
      <c r="P40" s="653">
        <v>25894.28571428571</v>
      </c>
      <c r="Q40" s="653">
        <v>0</v>
      </c>
      <c r="R40" s="653">
        <v>0</v>
      </c>
      <c r="S40" s="653">
        <v>0</v>
      </c>
      <c r="T40" s="653">
        <v>0</v>
      </c>
      <c r="U40" s="653">
        <v>0</v>
      </c>
      <c r="V40" s="653">
        <v>0</v>
      </c>
      <c r="W40" s="653">
        <v>0</v>
      </c>
      <c r="X40" s="653">
        <v>10</v>
      </c>
      <c r="Y40" s="653" t="s">
        <v>112</v>
      </c>
      <c r="Z40" s="655" t="s">
        <v>112</v>
      </c>
    </row>
    <row r="41" spans="1:26" s="607" customFormat="1" ht="25.5">
      <c r="A41" s="606"/>
      <c r="B41" s="797">
        <v>12035</v>
      </c>
      <c r="C41" s="797">
        <v>2860</v>
      </c>
      <c r="D41" s="654" t="s">
        <v>952</v>
      </c>
      <c r="E41" s="653" t="s">
        <v>953</v>
      </c>
      <c r="F41" s="653" t="s">
        <v>954</v>
      </c>
      <c r="G41" s="653" t="s">
        <v>910</v>
      </c>
      <c r="H41" s="653" t="s">
        <v>916</v>
      </c>
      <c r="I41" s="653" t="s">
        <v>955</v>
      </c>
      <c r="J41" s="796">
        <v>41985</v>
      </c>
      <c r="K41" s="796">
        <v>40193</v>
      </c>
      <c r="L41" s="653" t="s">
        <v>912</v>
      </c>
      <c r="M41" s="653">
        <v>2789</v>
      </c>
      <c r="N41" s="653">
        <v>12550.5</v>
      </c>
      <c r="O41" s="653">
        <v>17929.285714285714</v>
      </c>
      <c r="P41" s="653">
        <v>35858.571428571428</v>
      </c>
      <c r="Q41" s="653">
        <v>0</v>
      </c>
      <c r="R41" s="653">
        <v>0</v>
      </c>
      <c r="S41" s="653">
        <v>0</v>
      </c>
      <c r="T41" s="653">
        <v>0</v>
      </c>
      <c r="U41" s="653">
        <v>0</v>
      </c>
      <c r="V41" s="653">
        <v>0</v>
      </c>
      <c r="W41" s="653">
        <v>0</v>
      </c>
      <c r="X41" s="653">
        <v>10</v>
      </c>
      <c r="Y41" s="653" t="s">
        <v>112</v>
      </c>
      <c r="Z41" s="655" t="s">
        <v>112</v>
      </c>
    </row>
    <row r="42" spans="1:26" s="607" customFormat="1" ht="38.25">
      <c r="A42" s="606"/>
      <c r="B42" s="797">
        <v>12035</v>
      </c>
      <c r="C42" s="797">
        <v>2861</v>
      </c>
      <c r="D42" s="654" t="s">
        <v>956</v>
      </c>
      <c r="E42" s="653" t="s">
        <v>957</v>
      </c>
      <c r="F42" s="653" t="s">
        <v>958</v>
      </c>
      <c r="G42" s="653" t="s">
        <v>910</v>
      </c>
      <c r="H42" s="653" t="s">
        <v>911</v>
      </c>
      <c r="I42" s="653" t="s">
        <v>957</v>
      </c>
      <c r="J42" s="796">
        <v>40196</v>
      </c>
      <c r="K42" s="796">
        <v>40196</v>
      </c>
      <c r="L42" s="653" t="s">
        <v>912</v>
      </c>
      <c r="M42" s="653">
        <v>640</v>
      </c>
      <c r="N42" s="653">
        <v>2880</v>
      </c>
      <c r="O42" s="653">
        <v>3240</v>
      </c>
      <c r="P42" s="653">
        <v>0</v>
      </c>
      <c r="Q42" s="653">
        <v>0</v>
      </c>
      <c r="R42" s="653">
        <v>0</v>
      </c>
      <c r="S42" s="653">
        <v>1800</v>
      </c>
      <c r="T42" s="653">
        <v>5400</v>
      </c>
      <c r="U42" s="653">
        <v>0</v>
      </c>
      <c r="V42" s="653">
        <v>0</v>
      </c>
      <c r="W42" s="653">
        <v>0</v>
      </c>
      <c r="X42" s="653">
        <v>10</v>
      </c>
      <c r="Y42" s="653" t="s">
        <v>112</v>
      </c>
      <c r="Z42" s="655" t="s">
        <v>112</v>
      </c>
    </row>
    <row r="43" spans="1:26" s="607" customFormat="1" ht="38.25">
      <c r="A43" s="606"/>
      <c r="B43" s="797">
        <v>12035</v>
      </c>
      <c r="C43" s="797">
        <v>2860</v>
      </c>
      <c r="D43" s="654" t="s">
        <v>959</v>
      </c>
      <c r="E43" s="653" t="s">
        <v>960</v>
      </c>
      <c r="F43" s="653" t="s">
        <v>961</v>
      </c>
      <c r="G43" s="653" t="s">
        <v>910</v>
      </c>
      <c r="H43" s="653" t="s">
        <v>911</v>
      </c>
      <c r="I43" s="653" t="s">
        <v>960</v>
      </c>
      <c r="J43" s="796">
        <v>40315</v>
      </c>
      <c r="K43" s="796">
        <v>40315</v>
      </c>
      <c r="L43" s="653" t="s">
        <v>912</v>
      </c>
      <c r="M43" s="653">
        <v>1058</v>
      </c>
      <c r="N43" s="653">
        <v>4761</v>
      </c>
      <c r="O43" s="653">
        <v>5356.125</v>
      </c>
      <c r="P43" s="653">
        <v>0</v>
      </c>
      <c r="Q43" s="653">
        <v>0</v>
      </c>
      <c r="R43" s="653">
        <v>0</v>
      </c>
      <c r="S43" s="653">
        <v>2975.625</v>
      </c>
      <c r="T43" s="653">
        <v>8926.875</v>
      </c>
      <c r="U43" s="653">
        <v>0</v>
      </c>
      <c r="V43" s="653">
        <v>0</v>
      </c>
      <c r="W43" s="653">
        <v>0</v>
      </c>
      <c r="X43" s="653">
        <v>10</v>
      </c>
      <c r="Y43" s="653" t="s">
        <v>112</v>
      </c>
      <c r="Z43" s="655" t="s">
        <v>112</v>
      </c>
    </row>
    <row r="44" spans="1:26" s="607" customFormat="1" ht="25.5">
      <c r="A44" s="606"/>
      <c r="B44" s="797">
        <v>12035</v>
      </c>
      <c r="C44" s="797">
        <v>2860</v>
      </c>
      <c r="D44" s="654" t="s">
        <v>962</v>
      </c>
      <c r="E44" s="653" t="s">
        <v>963</v>
      </c>
      <c r="F44" s="653" t="s">
        <v>964</v>
      </c>
      <c r="G44" s="653" t="s">
        <v>910</v>
      </c>
      <c r="H44" s="653" t="s">
        <v>916</v>
      </c>
      <c r="I44" s="653" t="s">
        <v>963</v>
      </c>
      <c r="J44" s="796">
        <v>40396</v>
      </c>
      <c r="K44" s="796">
        <v>40399</v>
      </c>
      <c r="L44" s="653" t="s">
        <v>912</v>
      </c>
      <c r="M44" s="653">
        <v>1008</v>
      </c>
      <c r="N44" s="653">
        <v>4536</v>
      </c>
      <c r="O44" s="653">
        <v>6480</v>
      </c>
      <c r="P44" s="653">
        <v>12960</v>
      </c>
      <c r="Q44" s="653">
        <v>0</v>
      </c>
      <c r="R44" s="653">
        <v>0</v>
      </c>
      <c r="S44" s="653">
        <v>0</v>
      </c>
      <c r="T44" s="653">
        <v>0</v>
      </c>
      <c r="U44" s="653">
        <v>0</v>
      </c>
      <c r="V44" s="653">
        <v>0</v>
      </c>
      <c r="W44" s="653">
        <v>0</v>
      </c>
      <c r="X44" s="653">
        <v>10</v>
      </c>
      <c r="Y44" s="653" t="s">
        <v>112</v>
      </c>
      <c r="Z44" s="655" t="s">
        <v>112</v>
      </c>
    </row>
    <row r="45" spans="1:26" s="607" customFormat="1" ht="25.5">
      <c r="A45" s="606"/>
      <c r="B45" s="797">
        <v>12035</v>
      </c>
      <c r="C45" s="797">
        <v>2861</v>
      </c>
      <c r="D45" s="654" t="s">
        <v>965</v>
      </c>
      <c r="E45" s="653" t="s">
        <v>966</v>
      </c>
      <c r="F45" s="653" t="s">
        <v>967</v>
      </c>
      <c r="G45" s="653" t="s">
        <v>910</v>
      </c>
      <c r="H45" s="653" t="s">
        <v>916</v>
      </c>
      <c r="I45" s="653" t="s">
        <v>966</v>
      </c>
      <c r="J45" s="796">
        <v>40466</v>
      </c>
      <c r="K45" s="796">
        <v>40466</v>
      </c>
      <c r="L45" s="653" t="s">
        <v>912</v>
      </c>
      <c r="M45" s="653">
        <v>800</v>
      </c>
      <c r="N45" s="653">
        <v>3600</v>
      </c>
      <c r="O45" s="653">
        <v>5142.8571428571431</v>
      </c>
      <c r="P45" s="653">
        <v>10285.714285714286</v>
      </c>
      <c r="Q45" s="653">
        <v>0</v>
      </c>
      <c r="R45" s="653">
        <v>0</v>
      </c>
      <c r="S45" s="653">
        <v>0</v>
      </c>
      <c r="T45" s="653">
        <v>0</v>
      </c>
      <c r="U45" s="653">
        <v>0</v>
      </c>
      <c r="V45" s="653">
        <v>0</v>
      </c>
      <c r="W45" s="653">
        <v>0</v>
      </c>
      <c r="X45" s="653">
        <v>10</v>
      </c>
      <c r="Y45" s="653" t="s">
        <v>112</v>
      </c>
      <c r="Z45" s="655" t="s">
        <v>112</v>
      </c>
    </row>
    <row r="46" spans="1:26" s="607" customFormat="1" ht="38.25">
      <c r="A46" s="606"/>
      <c r="B46" s="797">
        <v>12035</v>
      </c>
      <c r="C46" s="797">
        <v>2861</v>
      </c>
      <c r="D46" s="654" t="s">
        <v>968</v>
      </c>
      <c r="E46" s="653" t="s">
        <v>969</v>
      </c>
      <c r="F46" s="653" t="s">
        <v>970</v>
      </c>
      <c r="G46" s="653" t="s">
        <v>910</v>
      </c>
      <c r="H46" s="653" t="s">
        <v>911</v>
      </c>
      <c r="I46" s="653" t="s">
        <v>969</v>
      </c>
      <c r="J46" s="796">
        <v>40477</v>
      </c>
      <c r="K46" s="796">
        <v>40477</v>
      </c>
      <c r="L46" s="653" t="s">
        <v>938</v>
      </c>
      <c r="M46" s="653">
        <v>528</v>
      </c>
      <c r="N46" s="653">
        <v>2376</v>
      </c>
      <c r="O46" s="653">
        <v>2673</v>
      </c>
      <c r="P46" s="653">
        <v>0</v>
      </c>
      <c r="Q46" s="653">
        <v>0</v>
      </c>
      <c r="R46" s="653">
        <v>0</v>
      </c>
      <c r="S46" s="653">
        <v>1485</v>
      </c>
      <c r="T46" s="653">
        <v>4455</v>
      </c>
      <c r="U46" s="653">
        <v>0</v>
      </c>
      <c r="V46" s="653">
        <v>0</v>
      </c>
      <c r="W46" s="653">
        <v>0</v>
      </c>
      <c r="X46" s="653">
        <v>10</v>
      </c>
      <c r="Y46" s="653" t="s">
        <v>112</v>
      </c>
      <c r="Z46" s="655" t="s">
        <v>112</v>
      </c>
    </row>
    <row r="47" spans="1:26" s="607" customFormat="1" ht="25.5">
      <c r="A47" s="606"/>
      <c r="B47" s="797">
        <v>12035</v>
      </c>
      <c r="C47" s="797">
        <v>2861</v>
      </c>
      <c r="D47" s="654" t="s">
        <v>939</v>
      </c>
      <c r="E47" s="653" t="s">
        <v>940</v>
      </c>
      <c r="F47" s="653" t="s">
        <v>971</v>
      </c>
      <c r="G47" s="653" t="s">
        <v>910</v>
      </c>
      <c r="H47" s="653" t="s">
        <v>916</v>
      </c>
      <c r="I47" s="653" t="s">
        <v>972</v>
      </c>
      <c r="J47" s="796">
        <v>40472</v>
      </c>
      <c r="K47" s="796">
        <v>40478</v>
      </c>
      <c r="L47" s="653" t="s">
        <v>912</v>
      </c>
      <c r="M47" s="653">
        <v>2040</v>
      </c>
      <c r="N47" s="653">
        <v>9180</v>
      </c>
      <c r="O47" s="653">
        <v>13114.285714285714</v>
      </c>
      <c r="P47" s="653">
        <v>26228.571428571431</v>
      </c>
      <c r="Q47" s="653">
        <v>0</v>
      </c>
      <c r="R47" s="653">
        <v>0</v>
      </c>
      <c r="S47" s="653">
        <v>0</v>
      </c>
      <c r="T47" s="653">
        <v>0</v>
      </c>
      <c r="U47" s="653">
        <v>0</v>
      </c>
      <c r="V47" s="653">
        <v>0</v>
      </c>
      <c r="W47" s="653">
        <v>0</v>
      </c>
      <c r="X47" s="653">
        <v>10</v>
      </c>
      <c r="Y47" s="653" t="s">
        <v>112</v>
      </c>
      <c r="Z47" s="655" t="s">
        <v>112</v>
      </c>
    </row>
    <row r="48" spans="1:26" s="607" customFormat="1" ht="25.5">
      <c r="A48" s="606"/>
      <c r="B48" s="797">
        <v>12035</v>
      </c>
      <c r="C48" s="797">
        <v>2860</v>
      </c>
      <c r="D48" s="654" t="s">
        <v>973</v>
      </c>
      <c r="E48" s="653" t="s">
        <v>974</v>
      </c>
      <c r="F48" s="653" t="s">
        <v>975</v>
      </c>
      <c r="G48" s="653" t="s">
        <v>910</v>
      </c>
      <c r="H48" s="653" t="s">
        <v>916</v>
      </c>
      <c r="I48" s="653" t="s">
        <v>974</v>
      </c>
      <c r="J48" s="796">
        <v>40480</v>
      </c>
      <c r="K48" s="796">
        <v>40480</v>
      </c>
      <c r="L48" s="653" t="s">
        <v>912</v>
      </c>
      <c r="M48" s="653">
        <v>2014</v>
      </c>
      <c r="N48" s="653">
        <v>9062.9999999999982</v>
      </c>
      <c r="O48" s="653">
        <v>12947.142857142855</v>
      </c>
      <c r="P48" s="653">
        <v>25894.28571428571</v>
      </c>
      <c r="Q48" s="653">
        <v>0</v>
      </c>
      <c r="R48" s="653">
        <v>0</v>
      </c>
      <c r="S48" s="653">
        <v>0</v>
      </c>
      <c r="T48" s="653">
        <v>0</v>
      </c>
      <c r="U48" s="653">
        <v>0</v>
      </c>
      <c r="V48" s="653">
        <v>0</v>
      </c>
      <c r="W48" s="653">
        <v>0</v>
      </c>
      <c r="X48" s="653">
        <v>10</v>
      </c>
      <c r="Y48" s="653" t="s">
        <v>112</v>
      </c>
      <c r="Z48" s="655" t="s">
        <v>112</v>
      </c>
    </row>
    <row r="49" spans="1:26" s="607" customFormat="1" ht="38.25">
      <c r="A49" s="606"/>
      <c r="B49" s="797">
        <v>12035</v>
      </c>
      <c r="C49" s="797">
        <v>2861</v>
      </c>
      <c r="D49" s="654" t="s">
        <v>976</v>
      </c>
      <c r="E49" s="653" t="s">
        <v>977</v>
      </c>
      <c r="F49" s="653" t="s">
        <v>978</v>
      </c>
      <c r="G49" s="653" t="s">
        <v>910</v>
      </c>
      <c r="H49" s="653" t="s">
        <v>911</v>
      </c>
      <c r="I49" s="653" t="s">
        <v>979</v>
      </c>
      <c r="J49" s="796">
        <v>40519</v>
      </c>
      <c r="K49" s="796">
        <v>40513</v>
      </c>
      <c r="L49" s="653" t="s">
        <v>912</v>
      </c>
      <c r="M49" s="653">
        <v>1000</v>
      </c>
      <c r="N49" s="653">
        <v>4500</v>
      </c>
      <c r="O49" s="653">
        <v>5062.5</v>
      </c>
      <c r="P49" s="653">
        <v>0</v>
      </c>
      <c r="Q49" s="653">
        <v>0</v>
      </c>
      <c r="R49" s="653">
        <v>0</v>
      </c>
      <c r="S49" s="653">
        <v>0</v>
      </c>
      <c r="T49" s="653">
        <v>11250</v>
      </c>
      <c r="U49" s="653">
        <v>0</v>
      </c>
      <c r="V49" s="653">
        <v>0</v>
      </c>
      <c r="W49" s="653">
        <v>0</v>
      </c>
      <c r="X49" s="653">
        <v>10</v>
      </c>
      <c r="Y49" s="653" t="s">
        <v>112</v>
      </c>
      <c r="Z49" s="655" t="s">
        <v>112</v>
      </c>
    </row>
    <row r="50" spans="1:26" s="607" customFormat="1" ht="38.25">
      <c r="A50" s="606"/>
      <c r="B50" s="797">
        <v>12035</v>
      </c>
      <c r="C50" s="797">
        <v>2860</v>
      </c>
      <c r="D50" s="654" t="s">
        <v>980</v>
      </c>
      <c r="E50" s="653" t="s">
        <v>981</v>
      </c>
      <c r="F50" s="653" t="s">
        <v>982</v>
      </c>
      <c r="G50" s="653" t="s">
        <v>910</v>
      </c>
      <c r="H50" s="653" t="s">
        <v>916</v>
      </c>
      <c r="I50" s="653" t="s">
        <v>981</v>
      </c>
      <c r="J50" s="796">
        <v>40422</v>
      </c>
      <c r="K50" s="796">
        <v>40664</v>
      </c>
      <c r="L50" s="653" t="s">
        <v>912</v>
      </c>
      <c r="M50" s="653">
        <v>265</v>
      </c>
      <c r="N50" s="653">
        <v>1192.5</v>
      </c>
      <c r="O50" s="653">
        <v>1703.5714285714287</v>
      </c>
      <c r="P50" s="653">
        <v>3407.1428571428573</v>
      </c>
      <c r="Q50" s="653">
        <v>0</v>
      </c>
      <c r="R50" s="653">
        <v>0</v>
      </c>
      <c r="S50" s="653">
        <v>0</v>
      </c>
      <c r="T50" s="653">
        <v>0</v>
      </c>
      <c r="U50" s="653">
        <v>0</v>
      </c>
      <c r="V50" s="653">
        <v>0</v>
      </c>
      <c r="W50" s="653">
        <v>0</v>
      </c>
      <c r="X50" s="653">
        <v>10</v>
      </c>
      <c r="Y50" s="653" t="s">
        <v>112</v>
      </c>
      <c r="Z50" s="655" t="s">
        <v>112</v>
      </c>
    </row>
    <row r="51" spans="1:26" s="607" customFormat="1" ht="25.5">
      <c r="A51" s="608"/>
      <c r="B51" s="797">
        <v>12035</v>
      </c>
      <c r="C51" s="797">
        <v>2860</v>
      </c>
      <c r="D51" s="654" t="s">
        <v>983</v>
      </c>
      <c r="E51" s="653" t="s">
        <v>984</v>
      </c>
      <c r="F51" s="653" t="s">
        <v>985</v>
      </c>
      <c r="G51" s="653" t="s">
        <v>910</v>
      </c>
      <c r="H51" s="653" t="s">
        <v>916</v>
      </c>
      <c r="I51" s="653" t="s">
        <v>984</v>
      </c>
      <c r="J51" s="796">
        <v>40784</v>
      </c>
      <c r="K51" s="796">
        <v>40784</v>
      </c>
      <c r="L51" s="653" t="s">
        <v>912</v>
      </c>
      <c r="M51" s="653">
        <v>1160</v>
      </c>
      <c r="N51" s="653">
        <v>5220</v>
      </c>
      <c r="O51" s="653">
        <v>7457.1428571428569</v>
      </c>
      <c r="P51" s="653">
        <v>14914.285714285716</v>
      </c>
      <c r="Q51" s="653">
        <v>0</v>
      </c>
      <c r="R51" s="653">
        <v>0</v>
      </c>
      <c r="S51" s="653">
        <v>0</v>
      </c>
      <c r="T51" s="653">
        <v>0</v>
      </c>
      <c r="U51" s="653">
        <v>0</v>
      </c>
      <c r="V51" s="653">
        <v>0</v>
      </c>
      <c r="W51" s="653">
        <v>0</v>
      </c>
      <c r="X51" s="653">
        <v>10</v>
      </c>
      <c r="Y51" s="653" t="s">
        <v>112</v>
      </c>
      <c r="Z51" s="655" t="s">
        <v>112</v>
      </c>
    </row>
    <row r="52" spans="1:26" s="607" customFormat="1" ht="25.5">
      <c r="A52" s="608"/>
      <c r="B52" s="797">
        <v>12035</v>
      </c>
      <c r="C52" s="797">
        <v>2861</v>
      </c>
      <c r="D52" s="653" t="s">
        <v>986</v>
      </c>
      <c r="E52" s="653" t="s">
        <v>987</v>
      </c>
      <c r="F52" s="653" t="s">
        <v>988</v>
      </c>
      <c r="G52" s="653" t="s">
        <v>910</v>
      </c>
      <c r="H52" s="653" t="s">
        <v>916</v>
      </c>
      <c r="I52" s="653" t="s">
        <v>987</v>
      </c>
      <c r="J52" s="796">
        <v>40858</v>
      </c>
      <c r="K52" s="796">
        <v>41000</v>
      </c>
      <c r="L52" s="653" t="s">
        <v>912</v>
      </c>
      <c r="M52" s="653">
        <v>9</v>
      </c>
      <c r="N52" s="653">
        <v>40.5</v>
      </c>
      <c r="O52" s="653">
        <v>57.857142857142861</v>
      </c>
      <c r="P52" s="653">
        <v>0</v>
      </c>
      <c r="Q52" s="653">
        <v>0</v>
      </c>
      <c r="R52" s="653">
        <v>0</v>
      </c>
      <c r="S52" s="653">
        <v>0</v>
      </c>
      <c r="T52" s="653">
        <v>0</v>
      </c>
      <c r="U52" s="653">
        <v>0</v>
      </c>
      <c r="V52" s="653">
        <v>115.71428571428572</v>
      </c>
      <c r="W52" s="653">
        <v>0</v>
      </c>
      <c r="X52" s="653">
        <v>10</v>
      </c>
      <c r="Y52" s="653" t="s">
        <v>112</v>
      </c>
      <c r="Z52" s="655" t="s">
        <v>112</v>
      </c>
    </row>
    <row r="53" spans="1:26" s="607" customFormat="1" ht="25.5">
      <c r="A53" s="608"/>
      <c r="B53" s="797">
        <v>12035</v>
      </c>
      <c r="C53" s="797">
        <v>2861</v>
      </c>
      <c r="D53" s="653" t="s">
        <v>989</v>
      </c>
      <c r="E53" s="653" t="s">
        <v>990</v>
      </c>
      <c r="F53" s="653" t="s">
        <v>991</v>
      </c>
      <c r="G53" s="653" t="s">
        <v>910</v>
      </c>
      <c r="H53" s="653" t="s">
        <v>916</v>
      </c>
      <c r="I53" s="653" t="s">
        <v>990</v>
      </c>
      <c r="J53" s="796">
        <v>41031</v>
      </c>
      <c r="K53" s="796">
        <v>41031</v>
      </c>
      <c r="L53" s="653" t="s">
        <v>912</v>
      </c>
      <c r="M53" s="653">
        <v>1200</v>
      </c>
      <c r="N53" s="653">
        <v>5400</v>
      </c>
      <c r="O53" s="653">
        <v>7714.2857142857147</v>
      </c>
      <c r="P53" s="653">
        <v>15428.571428571429</v>
      </c>
      <c r="Q53" s="653">
        <v>0</v>
      </c>
      <c r="R53" s="653">
        <v>0</v>
      </c>
      <c r="S53" s="653">
        <v>0</v>
      </c>
      <c r="T53" s="653">
        <v>0</v>
      </c>
      <c r="U53" s="653">
        <v>0</v>
      </c>
      <c r="V53" s="653">
        <v>0</v>
      </c>
      <c r="W53" s="653">
        <v>0</v>
      </c>
      <c r="X53" s="653">
        <v>1300</v>
      </c>
      <c r="Y53" s="653" t="s">
        <v>54</v>
      </c>
      <c r="Z53" s="655" t="s">
        <v>156</v>
      </c>
    </row>
    <row r="54" spans="1:26" s="607" customFormat="1" ht="25.5">
      <c r="A54" s="608"/>
      <c r="B54" s="797">
        <v>12035</v>
      </c>
      <c r="C54" s="797">
        <v>2861</v>
      </c>
      <c r="D54" s="653" t="s">
        <v>992</v>
      </c>
      <c r="E54" s="653" t="s">
        <v>957</v>
      </c>
      <c r="F54" s="653" t="s">
        <v>993</v>
      </c>
      <c r="G54" s="653" t="s">
        <v>910</v>
      </c>
      <c r="H54" s="653" t="s">
        <v>916</v>
      </c>
      <c r="I54" s="653" t="s">
        <v>957</v>
      </c>
      <c r="J54" s="796">
        <v>41033</v>
      </c>
      <c r="K54" s="796">
        <v>41033</v>
      </c>
      <c r="L54" s="653" t="s">
        <v>912</v>
      </c>
      <c r="M54" s="653">
        <v>800</v>
      </c>
      <c r="N54" s="653">
        <v>3600</v>
      </c>
      <c r="O54" s="653">
        <v>5142.8571428571431</v>
      </c>
      <c r="P54" s="653">
        <v>10285.714285714286</v>
      </c>
      <c r="Q54" s="653">
        <v>0</v>
      </c>
      <c r="R54" s="653">
        <v>0</v>
      </c>
      <c r="S54" s="653">
        <v>0</v>
      </c>
      <c r="T54" s="653">
        <v>0</v>
      </c>
      <c r="U54" s="653">
        <v>0</v>
      </c>
      <c r="V54" s="653">
        <v>0</v>
      </c>
      <c r="W54" s="653">
        <v>0</v>
      </c>
      <c r="X54" s="653">
        <v>10</v>
      </c>
      <c r="Y54" s="653" t="s">
        <v>112</v>
      </c>
      <c r="Z54" s="655" t="s">
        <v>112</v>
      </c>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36247</v>
      </c>
      <c r="N58" s="611">
        <f>SUM(N28:N57)</f>
        <v>163111.5</v>
      </c>
      <c r="O58" s="611">
        <f t="shared" ref="O58:W58" si="2">SUM(O28:O57)</f>
        <v>226011.2142857142</v>
      </c>
      <c r="P58" s="611">
        <f t="shared" si="2"/>
        <v>399985.71428571426</v>
      </c>
      <c r="Q58" s="611">
        <f t="shared" si="2"/>
        <v>0</v>
      </c>
      <c r="R58" s="611">
        <f t="shared" si="2"/>
        <v>0</v>
      </c>
      <c r="S58" s="611">
        <f t="shared" si="2"/>
        <v>11610</v>
      </c>
      <c r="T58" s="611">
        <f t="shared" si="2"/>
        <v>46080</v>
      </c>
      <c r="U58" s="611">
        <f t="shared" si="2"/>
        <v>0</v>
      </c>
      <c r="V58" s="611">
        <f t="shared" si="2"/>
        <v>115.71428571428572</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1200</v>
      </c>
      <c r="N60" s="611">
        <f ca="1">SUMIF($Z$28:AD57,"tertiair",N28:N57)</f>
        <v>5400</v>
      </c>
      <c r="O60" s="611">
        <f ca="1">SUMIF($Z$28:AE57,"tertiair",O28:O57)</f>
        <v>7714.2857142857147</v>
      </c>
      <c r="P60" s="611">
        <f ca="1">SUMIF($Z$28:AF57,"tertiair",P28:P57)</f>
        <v>15428.571428571429</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35047</v>
      </c>
      <c r="N61" s="616">
        <f t="shared" si="4"/>
        <v>157711.5</v>
      </c>
      <c r="O61" s="616">
        <f t="shared" si="4"/>
        <v>218296.92857142849</v>
      </c>
      <c r="P61" s="616">
        <f t="shared" si="4"/>
        <v>384557.14285714284</v>
      </c>
      <c r="Q61" s="616">
        <f t="shared" si="4"/>
        <v>0</v>
      </c>
      <c r="R61" s="616">
        <f t="shared" si="4"/>
        <v>0</v>
      </c>
      <c r="S61" s="616">
        <f t="shared" si="4"/>
        <v>11610</v>
      </c>
      <c r="T61" s="616">
        <f t="shared" si="4"/>
        <v>46080</v>
      </c>
      <c r="U61" s="616">
        <f t="shared" si="4"/>
        <v>0</v>
      </c>
      <c r="V61" s="616">
        <f t="shared" si="4"/>
        <v>115.71428571428572</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0.58082246548004124</v>
      </c>
      <c r="C98" s="636">
        <f>IF(ISERROR(N58/(O58+N58)),0,N58/(N58+O58))</f>
        <v>0.41917753451995871</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167665.02555749033</v>
      </c>
      <c r="C101" s="645">
        <f t="shared" si="9"/>
        <v>0</v>
      </c>
      <c r="D101" s="645">
        <f t="shared" si="9"/>
        <v>0</v>
      </c>
      <c r="E101" s="645">
        <f t="shared" si="9"/>
        <v>4866.6511757767203</v>
      </c>
      <c r="F101" s="645">
        <f t="shared" si="9"/>
        <v>19315.700790679697</v>
      </c>
      <c r="G101" s="645">
        <f t="shared" si="9"/>
        <v>0</v>
      </c>
      <c r="H101" s="645">
        <f t="shared" si="9"/>
        <v>48.504828994452367</v>
      </c>
      <c r="I101" s="646">
        <f t="shared" si="9"/>
        <v>0</v>
      </c>
      <c r="J101" s="603"/>
      <c r="K101" s="603"/>
      <c r="L101" s="641"/>
      <c r="M101" s="641"/>
      <c r="N101" s="641"/>
      <c r="O101" s="628"/>
      <c r="P101" s="628"/>
    </row>
    <row r="102" spans="1:16" ht="15.75" thickBot="1">
      <c r="A102" s="647" t="s">
        <v>286</v>
      </c>
      <c r="B102" s="648">
        <f t="shared" ref="B102:I102" si="10">$B$98*P58</f>
        <v>232320.6887282239</v>
      </c>
      <c r="C102" s="648">
        <f t="shared" si="10"/>
        <v>0</v>
      </c>
      <c r="D102" s="648">
        <f t="shared" si="10"/>
        <v>0</v>
      </c>
      <c r="E102" s="648">
        <f t="shared" si="10"/>
        <v>6743.3488242232788</v>
      </c>
      <c r="F102" s="648">
        <f t="shared" si="10"/>
        <v>26764.299209320299</v>
      </c>
      <c r="G102" s="648">
        <f t="shared" si="10"/>
        <v>0</v>
      </c>
      <c r="H102" s="648">
        <f t="shared" si="10"/>
        <v>67.209456719833355</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35538.616018006396</v>
      </c>
      <c r="C4" s="478">
        <f>huishoudens!C8</f>
        <v>0</v>
      </c>
      <c r="D4" s="478">
        <f>huishoudens!D8</f>
        <v>72460.348140135626</v>
      </c>
      <c r="E4" s="478">
        <f>huishoudens!E8</f>
        <v>2430.9544233678116</v>
      </c>
      <c r="F4" s="478">
        <f>huishoudens!F8</f>
        <v>34335.074603344503</v>
      </c>
      <c r="G4" s="478">
        <f>huishoudens!G8</f>
        <v>0</v>
      </c>
      <c r="H4" s="478">
        <f>huishoudens!H8</f>
        <v>0</v>
      </c>
      <c r="I4" s="478">
        <f>huishoudens!I8</f>
        <v>0</v>
      </c>
      <c r="J4" s="478">
        <f>huishoudens!J8</f>
        <v>886.39043855856357</v>
      </c>
      <c r="K4" s="478">
        <f>huishoudens!K8</f>
        <v>0</v>
      </c>
      <c r="L4" s="478">
        <f>huishoudens!L8</f>
        <v>0</v>
      </c>
      <c r="M4" s="478">
        <f>huishoudens!M8</f>
        <v>0</v>
      </c>
      <c r="N4" s="478">
        <f>huishoudens!N8</f>
        <v>7743.802876665266</v>
      </c>
      <c r="O4" s="478">
        <f>huishoudens!O8</f>
        <v>298.59666666666669</v>
      </c>
      <c r="P4" s="479">
        <f>huishoudens!P8</f>
        <v>1029.5999999999999</v>
      </c>
      <c r="Q4" s="480">
        <f>SUM(B4:P4)</f>
        <v>154723.38316674484</v>
      </c>
    </row>
    <row r="5" spans="1:17">
      <c r="A5" s="477" t="s">
        <v>156</v>
      </c>
      <c r="B5" s="478">
        <f ca="1">tertiair!B16</f>
        <v>59980.4977</v>
      </c>
      <c r="C5" s="478">
        <f ca="1">tertiair!C16</f>
        <v>7714.2857142857147</v>
      </c>
      <c r="D5" s="478">
        <f ca="1">tertiair!D16</f>
        <v>30238.302988544965</v>
      </c>
      <c r="E5" s="478">
        <f>tertiair!E16</f>
        <v>588.77902762082795</v>
      </c>
      <c r="F5" s="478">
        <f ca="1">tertiair!F16</f>
        <v>7661.4964995672199</v>
      </c>
      <c r="G5" s="478">
        <f>tertiair!G16</f>
        <v>0</v>
      </c>
      <c r="H5" s="478">
        <f>tertiair!H16</f>
        <v>0</v>
      </c>
      <c r="I5" s="478">
        <f>tertiair!I16</f>
        <v>0</v>
      </c>
      <c r="J5" s="478">
        <f>tertiair!J16</f>
        <v>0</v>
      </c>
      <c r="K5" s="478">
        <f>tertiair!K16</f>
        <v>0</v>
      </c>
      <c r="L5" s="478">
        <f ca="1">tertiair!L16</f>
        <v>0</v>
      </c>
      <c r="M5" s="478">
        <f>tertiair!M16</f>
        <v>0</v>
      </c>
      <c r="N5" s="478">
        <f ca="1">tertiair!N16</f>
        <v>2084.2058096615979</v>
      </c>
      <c r="O5" s="478">
        <f>tertiair!O16</f>
        <v>4.6900000000000004</v>
      </c>
      <c r="P5" s="479">
        <f>tertiair!P16</f>
        <v>38.133333333333333</v>
      </c>
      <c r="Q5" s="477">
        <f t="shared" ref="Q5:Q14" ca="1" si="0">SUM(B5:P5)</f>
        <v>108310.39107301366</v>
      </c>
    </row>
    <row r="6" spans="1:17">
      <c r="A6" s="477" t="s">
        <v>194</v>
      </c>
      <c r="B6" s="478">
        <f>'openbare verlichting'!B8</f>
        <v>1518.3810000000001</v>
      </c>
      <c r="C6" s="478"/>
      <c r="D6" s="478"/>
      <c r="E6" s="478"/>
      <c r="F6" s="478"/>
      <c r="G6" s="478"/>
      <c r="H6" s="478"/>
      <c r="I6" s="478"/>
      <c r="J6" s="478"/>
      <c r="K6" s="478"/>
      <c r="L6" s="478"/>
      <c r="M6" s="478"/>
      <c r="N6" s="478"/>
      <c r="O6" s="478"/>
      <c r="P6" s="479"/>
      <c r="Q6" s="477">
        <f t="shared" si="0"/>
        <v>1518.3810000000001</v>
      </c>
    </row>
    <row r="7" spans="1:17">
      <c r="A7" s="477" t="s">
        <v>112</v>
      </c>
      <c r="B7" s="478">
        <f>landbouw!B8</f>
        <v>6265.6327999999994</v>
      </c>
      <c r="C7" s="478">
        <f>landbouw!C8</f>
        <v>218296.92857142849</v>
      </c>
      <c r="D7" s="478">
        <f>landbouw!D8</f>
        <v>0</v>
      </c>
      <c r="E7" s="478">
        <f>landbouw!E8</f>
        <v>58.034915281846253</v>
      </c>
      <c r="F7" s="478">
        <f>landbouw!F8</f>
        <v>4287.1040154234997</v>
      </c>
      <c r="G7" s="478">
        <f>landbouw!G8</f>
        <v>0</v>
      </c>
      <c r="H7" s="478">
        <f>landbouw!H8</f>
        <v>0</v>
      </c>
      <c r="I7" s="478">
        <f>landbouw!I8</f>
        <v>0</v>
      </c>
      <c r="J7" s="478">
        <f>landbouw!J8</f>
        <v>960.59143290612963</v>
      </c>
      <c r="K7" s="478">
        <f>landbouw!K8</f>
        <v>0</v>
      </c>
      <c r="L7" s="478">
        <f>landbouw!L8</f>
        <v>0</v>
      </c>
      <c r="M7" s="478">
        <f>landbouw!M8</f>
        <v>0</v>
      </c>
      <c r="N7" s="478">
        <f>landbouw!N8</f>
        <v>0</v>
      </c>
      <c r="O7" s="478">
        <f>landbouw!O8</f>
        <v>0</v>
      </c>
      <c r="P7" s="479">
        <f>landbouw!P8</f>
        <v>0</v>
      </c>
      <c r="Q7" s="477">
        <f t="shared" si="0"/>
        <v>229868.29173503997</v>
      </c>
    </row>
    <row r="8" spans="1:17">
      <c r="A8" s="477" t="s">
        <v>650</v>
      </c>
      <c r="B8" s="478">
        <f>industrie!B18</f>
        <v>5479.1203999999998</v>
      </c>
      <c r="C8" s="478">
        <f>industrie!C18</f>
        <v>0</v>
      </c>
      <c r="D8" s="478">
        <f>industrie!D18</f>
        <v>6431.9391144348674</v>
      </c>
      <c r="E8" s="478">
        <f>industrie!E18</f>
        <v>587.21203609688496</v>
      </c>
      <c r="F8" s="478">
        <f>industrie!F18</f>
        <v>3383.6308594823495</v>
      </c>
      <c r="G8" s="478">
        <f>industrie!G18</f>
        <v>0</v>
      </c>
      <c r="H8" s="478">
        <f>industrie!H18</f>
        <v>0</v>
      </c>
      <c r="I8" s="478">
        <f>industrie!I18</f>
        <v>0</v>
      </c>
      <c r="J8" s="478">
        <f>industrie!J18</f>
        <v>29.251355504509302</v>
      </c>
      <c r="K8" s="478">
        <f>industrie!K18</f>
        <v>0</v>
      </c>
      <c r="L8" s="478">
        <f>industrie!L18</f>
        <v>0</v>
      </c>
      <c r="M8" s="478">
        <f>industrie!M18</f>
        <v>0</v>
      </c>
      <c r="N8" s="478">
        <f>industrie!N18</f>
        <v>1423.2671033543147</v>
      </c>
      <c r="O8" s="478">
        <f>industrie!O18</f>
        <v>0</v>
      </c>
      <c r="P8" s="479">
        <f>industrie!P18</f>
        <v>0</v>
      </c>
      <c r="Q8" s="477">
        <f t="shared" si="0"/>
        <v>17334.420868872927</v>
      </c>
    </row>
    <row r="9" spans="1:17" s="483" customFormat="1">
      <c r="A9" s="481" t="s">
        <v>571</v>
      </c>
      <c r="B9" s="482">
        <f>transport!B14</f>
        <v>10.899584887731134</v>
      </c>
      <c r="C9" s="482">
        <f>transport!C14</f>
        <v>0</v>
      </c>
      <c r="D9" s="482">
        <f>transport!D14</f>
        <v>28.960213753178643</v>
      </c>
      <c r="E9" s="482">
        <f>transport!E14</f>
        <v>184.24152826122861</v>
      </c>
      <c r="F9" s="482">
        <f>transport!F14</f>
        <v>0</v>
      </c>
      <c r="G9" s="482">
        <f>transport!G14</f>
        <v>51781.008896252657</v>
      </c>
      <c r="H9" s="482">
        <f>transport!H14</f>
        <v>10938.514021261606</v>
      </c>
      <c r="I9" s="482">
        <f>transport!I14</f>
        <v>0</v>
      </c>
      <c r="J9" s="482">
        <f>transport!J14</f>
        <v>0</v>
      </c>
      <c r="K9" s="482">
        <f>transport!K14</f>
        <v>0</v>
      </c>
      <c r="L9" s="482">
        <f>transport!L14</f>
        <v>0</v>
      </c>
      <c r="M9" s="482">
        <f>transport!M14</f>
        <v>3332.0256290621724</v>
      </c>
      <c r="N9" s="482">
        <f>transport!N14</f>
        <v>0</v>
      </c>
      <c r="O9" s="482">
        <f>transport!O14</f>
        <v>0</v>
      </c>
      <c r="P9" s="482">
        <f>transport!P14</f>
        <v>0</v>
      </c>
      <c r="Q9" s="481">
        <f>SUM(B9:P9)</f>
        <v>66275.649873478571</v>
      </c>
    </row>
    <row r="10" spans="1:17">
      <c r="A10" s="477" t="s">
        <v>561</v>
      </c>
      <c r="B10" s="478">
        <f>transport!B54</f>
        <v>0</v>
      </c>
      <c r="C10" s="478">
        <f>transport!C54</f>
        <v>0</v>
      </c>
      <c r="D10" s="478">
        <f>transport!D54</f>
        <v>0</v>
      </c>
      <c r="E10" s="478">
        <f>transport!E54</f>
        <v>0</v>
      </c>
      <c r="F10" s="478">
        <f>transport!F54</f>
        <v>0</v>
      </c>
      <c r="G10" s="478">
        <f>transport!G54</f>
        <v>2404.2165432021393</v>
      </c>
      <c r="H10" s="478">
        <f>transport!H54</f>
        <v>0</v>
      </c>
      <c r="I10" s="478">
        <f>transport!I54</f>
        <v>0</v>
      </c>
      <c r="J10" s="478">
        <f>transport!J54</f>
        <v>0</v>
      </c>
      <c r="K10" s="478">
        <f>transport!K54</f>
        <v>0</v>
      </c>
      <c r="L10" s="478">
        <f>transport!L54</f>
        <v>0</v>
      </c>
      <c r="M10" s="478">
        <f>transport!M54</f>
        <v>137.10546078898804</v>
      </c>
      <c r="N10" s="478">
        <f>transport!N54</f>
        <v>0</v>
      </c>
      <c r="O10" s="478">
        <f>transport!O54</f>
        <v>0</v>
      </c>
      <c r="P10" s="479">
        <f>transport!P54</f>
        <v>0</v>
      </c>
      <c r="Q10" s="477">
        <f t="shared" si="0"/>
        <v>2541.3220039911275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1006.774</v>
      </c>
      <c r="C14" s="485"/>
      <c r="D14" s="485">
        <f>'SEAP template'!E25</f>
        <v>2723.3116502774301</v>
      </c>
      <c r="E14" s="485"/>
      <c r="F14" s="485"/>
      <c r="G14" s="485"/>
      <c r="H14" s="485"/>
      <c r="I14" s="485"/>
      <c r="J14" s="485"/>
      <c r="K14" s="485"/>
      <c r="L14" s="485"/>
      <c r="M14" s="485"/>
      <c r="N14" s="485"/>
      <c r="O14" s="485"/>
      <c r="P14" s="486"/>
      <c r="Q14" s="477">
        <f t="shared" si="0"/>
        <v>3730.08565027743</v>
      </c>
    </row>
    <row r="15" spans="1:17" s="487" customFormat="1">
      <c r="A15" s="1051" t="s">
        <v>565</v>
      </c>
      <c r="B15" s="991">
        <f ca="1">SUM(B4:B14)</f>
        <v>109799.92150289413</v>
      </c>
      <c r="C15" s="991">
        <f t="shared" ref="C15:Q15" ca="1" si="1">SUM(C4:C14)</f>
        <v>226011.2142857142</v>
      </c>
      <c r="D15" s="991">
        <f t="shared" ca="1" si="1"/>
        <v>111882.86210714607</v>
      </c>
      <c r="E15" s="991">
        <f t="shared" si="1"/>
        <v>3849.2219306285992</v>
      </c>
      <c r="F15" s="991">
        <f t="shared" ca="1" si="1"/>
        <v>49667.305977817574</v>
      </c>
      <c r="G15" s="991">
        <f t="shared" si="1"/>
        <v>54185.225439454793</v>
      </c>
      <c r="H15" s="991">
        <f t="shared" si="1"/>
        <v>10938.514021261606</v>
      </c>
      <c r="I15" s="991">
        <f t="shared" si="1"/>
        <v>0</v>
      </c>
      <c r="J15" s="991">
        <f t="shared" si="1"/>
        <v>1876.2332269692024</v>
      </c>
      <c r="K15" s="991">
        <f t="shared" si="1"/>
        <v>0</v>
      </c>
      <c r="L15" s="991">
        <f t="shared" ca="1" si="1"/>
        <v>0</v>
      </c>
      <c r="M15" s="991">
        <f t="shared" si="1"/>
        <v>3469.1310898511606</v>
      </c>
      <c r="N15" s="991">
        <f t="shared" ca="1" si="1"/>
        <v>11251.275789681178</v>
      </c>
      <c r="O15" s="991">
        <f t="shared" si="1"/>
        <v>303.28666666666669</v>
      </c>
      <c r="P15" s="991">
        <f t="shared" si="1"/>
        <v>1067.7333333333333</v>
      </c>
      <c r="Q15" s="991">
        <f t="shared" ca="1" si="1"/>
        <v>584301.92537141847</v>
      </c>
    </row>
    <row r="17" spans="1:17">
      <c r="A17" s="488" t="s">
        <v>566</v>
      </c>
      <c r="B17" s="787">
        <f ca="1">huishoudens!B10</f>
        <v>0.20378506067452451</v>
      </c>
      <c r="C17" s="787">
        <f ca="1">huishoudens!C10</f>
        <v>0.21560546636224565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7242.2390215180621</v>
      </c>
      <c r="C22" s="478">
        <f t="shared" ref="C22:C32" ca="1" si="3">C4*$C$17</f>
        <v>0</v>
      </c>
      <c r="D22" s="478">
        <f t="shared" ref="D22:D32" si="4">D4*$D$17</f>
        <v>14636.990324307397</v>
      </c>
      <c r="E22" s="478">
        <f t="shared" ref="E22:E32" si="5">E4*$E$17</f>
        <v>551.82665410449329</v>
      </c>
      <c r="F22" s="478">
        <f t="shared" ref="F22:F32" si="6">F4*$F$17</f>
        <v>9167.4649190929831</v>
      </c>
      <c r="G22" s="478">
        <f t="shared" ref="G22:G32" si="7">G4*$G$17</f>
        <v>0</v>
      </c>
      <c r="H22" s="478">
        <f t="shared" ref="H22:H32" si="8">H4*$H$17</f>
        <v>0</v>
      </c>
      <c r="I22" s="478">
        <f t="shared" ref="I22:I32" si="9">I4*$I$17</f>
        <v>0</v>
      </c>
      <c r="J22" s="478">
        <f t="shared" ref="J22:J32" si="10">J4*$J$17</f>
        <v>313.78221524973151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31912.303134272668</v>
      </c>
    </row>
    <row r="23" spans="1:17">
      <c r="A23" s="477" t="s">
        <v>156</v>
      </c>
      <c r="B23" s="478">
        <f t="shared" ca="1" si="2"/>
        <v>12223.129363082679</v>
      </c>
      <c r="C23" s="478">
        <f t="shared" ca="1" si="3"/>
        <v>1663.2421690801807</v>
      </c>
      <c r="D23" s="478">
        <f t="shared" ca="1" si="4"/>
        <v>6108.137203686083</v>
      </c>
      <c r="E23" s="478">
        <f t="shared" si="5"/>
        <v>133.65283926992794</v>
      </c>
      <c r="F23" s="478">
        <f t="shared" ca="1" si="6"/>
        <v>2045.6195653844479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22173.781140503317</v>
      </c>
    </row>
    <row r="24" spans="1:17">
      <c r="A24" s="477" t="s">
        <v>194</v>
      </c>
      <c r="B24" s="478">
        <f t="shared" ca="1" si="2"/>
        <v>309.42336421204521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309.42336421204521</v>
      </c>
    </row>
    <row r="25" spans="1:17">
      <c r="A25" s="477" t="s">
        <v>112</v>
      </c>
      <c r="B25" s="478">
        <f t="shared" ca="1" si="2"/>
        <v>1276.8423603122908</v>
      </c>
      <c r="C25" s="478">
        <f t="shared" ca="1" si="3"/>
        <v>47066.011090088665</v>
      </c>
      <c r="D25" s="478">
        <f t="shared" si="4"/>
        <v>0</v>
      </c>
      <c r="E25" s="478">
        <f t="shared" si="5"/>
        <v>13.1739257689791</v>
      </c>
      <c r="F25" s="478">
        <f t="shared" si="6"/>
        <v>1144.6567721180745</v>
      </c>
      <c r="G25" s="478">
        <f t="shared" si="7"/>
        <v>0</v>
      </c>
      <c r="H25" s="478">
        <f t="shared" si="8"/>
        <v>0</v>
      </c>
      <c r="I25" s="478">
        <f t="shared" si="9"/>
        <v>0</v>
      </c>
      <c r="J25" s="478">
        <f t="shared" si="10"/>
        <v>340.0493672487699</v>
      </c>
      <c r="K25" s="478">
        <f t="shared" si="11"/>
        <v>0</v>
      </c>
      <c r="L25" s="478">
        <f t="shared" si="12"/>
        <v>0</v>
      </c>
      <c r="M25" s="478">
        <f t="shared" si="13"/>
        <v>0</v>
      </c>
      <c r="N25" s="478">
        <f t="shared" si="14"/>
        <v>0</v>
      </c>
      <c r="O25" s="478">
        <f t="shared" si="15"/>
        <v>0</v>
      </c>
      <c r="P25" s="479">
        <f t="shared" si="16"/>
        <v>0</v>
      </c>
      <c r="Q25" s="477">
        <f t="shared" ca="1" si="17"/>
        <v>49840.733515536784</v>
      </c>
    </row>
    <row r="26" spans="1:17">
      <c r="A26" s="477" t="s">
        <v>650</v>
      </c>
      <c r="B26" s="478">
        <f t="shared" ca="1" si="2"/>
        <v>1116.562883157025</v>
      </c>
      <c r="C26" s="478">
        <f t="shared" ca="1" si="3"/>
        <v>0</v>
      </c>
      <c r="D26" s="478">
        <f t="shared" si="4"/>
        <v>1299.2517011158434</v>
      </c>
      <c r="E26" s="478">
        <f t="shared" si="5"/>
        <v>133.29713219399289</v>
      </c>
      <c r="F26" s="478">
        <f t="shared" si="6"/>
        <v>903.42943948178731</v>
      </c>
      <c r="G26" s="478">
        <f t="shared" si="7"/>
        <v>0</v>
      </c>
      <c r="H26" s="478">
        <f t="shared" si="8"/>
        <v>0</v>
      </c>
      <c r="I26" s="478">
        <f t="shared" si="9"/>
        <v>0</v>
      </c>
      <c r="J26" s="478">
        <f t="shared" si="10"/>
        <v>10.354979848596292</v>
      </c>
      <c r="K26" s="478">
        <f t="shared" si="11"/>
        <v>0</v>
      </c>
      <c r="L26" s="478">
        <f t="shared" si="12"/>
        <v>0</v>
      </c>
      <c r="M26" s="478">
        <f t="shared" si="13"/>
        <v>0</v>
      </c>
      <c r="N26" s="478">
        <f t="shared" si="14"/>
        <v>0</v>
      </c>
      <c r="O26" s="478">
        <f t="shared" si="15"/>
        <v>0</v>
      </c>
      <c r="P26" s="479">
        <f t="shared" si="16"/>
        <v>0</v>
      </c>
      <c r="Q26" s="477">
        <f t="shared" ca="1" si="17"/>
        <v>3462.8961357972448</v>
      </c>
    </row>
    <row r="27" spans="1:17" s="483" customFormat="1">
      <c r="A27" s="481" t="s">
        <v>571</v>
      </c>
      <c r="B27" s="781">
        <f t="shared" ca="1" si="2"/>
        <v>2.2211725676734195</v>
      </c>
      <c r="C27" s="482">
        <f t="shared" ca="1" si="3"/>
        <v>0</v>
      </c>
      <c r="D27" s="482">
        <f t="shared" si="4"/>
        <v>5.8499631781420858</v>
      </c>
      <c r="E27" s="482">
        <f t="shared" si="5"/>
        <v>41.822826915298897</v>
      </c>
      <c r="F27" s="482">
        <f t="shared" si="6"/>
        <v>0</v>
      </c>
      <c r="G27" s="482">
        <f t="shared" si="7"/>
        <v>13825.52937529946</v>
      </c>
      <c r="H27" s="482">
        <f t="shared" si="8"/>
        <v>2723.6899912941399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16599.113329254713</v>
      </c>
    </row>
    <row r="28" spans="1:17">
      <c r="A28" s="477" t="s">
        <v>561</v>
      </c>
      <c r="B28" s="478">
        <f t="shared" ca="1" si="2"/>
        <v>0</v>
      </c>
      <c r="C28" s="478">
        <f t="shared" ca="1" si="3"/>
        <v>0</v>
      </c>
      <c r="D28" s="478">
        <f t="shared" si="4"/>
        <v>0</v>
      </c>
      <c r="E28" s="478">
        <f t="shared" si="5"/>
        <v>0</v>
      </c>
      <c r="F28" s="478">
        <f t="shared" si="6"/>
        <v>0</v>
      </c>
      <c r="G28" s="478">
        <f t="shared" si="7"/>
        <v>641.92581703497126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641.92581703497126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205.16550067553374</v>
      </c>
      <c r="C32" s="478">
        <f t="shared" ca="1" si="3"/>
        <v>0</v>
      </c>
      <c r="D32" s="478">
        <f t="shared" si="4"/>
        <v>550.10895335604096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755.27445403157469</v>
      </c>
    </row>
    <row r="33" spans="1:17" s="487" customFormat="1">
      <c r="A33" s="1051" t="s">
        <v>565</v>
      </c>
      <c r="B33" s="991">
        <f ca="1">SUM(B22:B32)</f>
        <v>22375.583665525312</v>
      </c>
      <c r="C33" s="991">
        <f t="shared" ref="C33:Q33" ca="1" si="18">SUM(C22:C32)</f>
        <v>48729.253259168843</v>
      </c>
      <c r="D33" s="991">
        <f t="shared" ca="1" si="18"/>
        <v>22600.338145643502</v>
      </c>
      <c r="E33" s="991">
        <f t="shared" si="18"/>
        <v>873.77337825269217</v>
      </c>
      <c r="F33" s="991">
        <f t="shared" ca="1" si="18"/>
        <v>13261.170696077294</v>
      </c>
      <c r="G33" s="991">
        <f t="shared" si="18"/>
        <v>14467.455192334432</v>
      </c>
      <c r="H33" s="991">
        <f t="shared" si="18"/>
        <v>2723.6899912941399</v>
      </c>
      <c r="I33" s="991">
        <f t="shared" si="18"/>
        <v>0</v>
      </c>
      <c r="J33" s="991">
        <f t="shared" si="18"/>
        <v>664.18656234709761</v>
      </c>
      <c r="K33" s="991">
        <f t="shared" si="18"/>
        <v>0</v>
      </c>
      <c r="L33" s="991">
        <f t="shared" ca="1" si="18"/>
        <v>0</v>
      </c>
      <c r="M33" s="991">
        <f t="shared" si="18"/>
        <v>0</v>
      </c>
      <c r="N33" s="991">
        <f t="shared" ca="1" si="18"/>
        <v>0</v>
      </c>
      <c r="O33" s="991">
        <f t="shared" si="18"/>
        <v>0</v>
      </c>
      <c r="P33" s="991">
        <f t="shared" si="18"/>
        <v>0</v>
      </c>
      <c r="Q33" s="991">
        <f t="shared" ca="1" si="18"/>
        <v>125695.45089064332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9461.1650920383454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16459.574776723028</v>
      </c>
      <c r="C8" s="1068">
        <f>'SEAP template'!C76</f>
        <v>146651.92522327698</v>
      </c>
      <c r="D8" s="1068">
        <f>'SEAP template'!D76</f>
        <v>167665.02555749033</v>
      </c>
      <c r="E8" s="1068">
        <f>'SEAP template'!E76</f>
        <v>0</v>
      </c>
      <c r="F8" s="1068">
        <f>'SEAP template'!F76</f>
        <v>4866.6511757767203</v>
      </c>
      <c r="G8" s="1068">
        <f>'SEAP template'!G76</f>
        <v>0</v>
      </c>
      <c r="H8" s="1068">
        <f>'SEAP template'!H76</f>
        <v>0</v>
      </c>
      <c r="I8" s="1068">
        <f>'SEAP template'!I76</f>
        <v>19315.700790679697</v>
      </c>
      <c r="J8" s="1068">
        <f>'SEAP template'!J76</f>
        <v>48.504828994452367</v>
      </c>
      <c r="K8" s="1068">
        <f>'SEAP template'!K76</f>
        <v>0</v>
      </c>
      <c r="L8" s="1068">
        <f>'SEAP template'!L76</f>
        <v>0</v>
      </c>
      <c r="M8" s="1068">
        <f>'SEAP template'!M76</f>
        <v>0</v>
      </c>
      <c r="N8" s="1068">
        <f>'SEAP template'!N76</f>
        <v>0</v>
      </c>
      <c r="O8" s="1068">
        <f>'SEAP template'!O76</f>
        <v>0</v>
      </c>
      <c r="P8" s="1069">
        <f>'SEAP template'!Q76</f>
        <v>35167.731026545429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25920.739868761375</v>
      </c>
      <c r="C10" s="1072">
        <f>SUM(C4:C9)</f>
        <v>146651.92522327698</v>
      </c>
      <c r="D10" s="1072">
        <f t="shared" ref="D10:H10" si="0">SUM(D8:D9)</f>
        <v>167665.02555749033</v>
      </c>
      <c r="E10" s="1072">
        <f t="shared" si="0"/>
        <v>0</v>
      </c>
      <c r="F10" s="1072">
        <f t="shared" si="0"/>
        <v>4866.6511757767203</v>
      </c>
      <c r="G10" s="1072">
        <f t="shared" si="0"/>
        <v>0</v>
      </c>
      <c r="H10" s="1072">
        <f t="shared" si="0"/>
        <v>0</v>
      </c>
      <c r="I10" s="1072">
        <f>SUM(I8:I9)</f>
        <v>19315.700790679697</v>
      </c>
      <c r="J10" s="1072">
        <f>SUM(J8:J9)</f>
        <v>48.504828994452367</v>
      </c>
      <c r="K10" s="1072">
        <f t="shared" ref="K10:L10" si="1">SUM(K8:K9)</f>
        <v>0</v>
      </c>
      <c r="L10" s="1072">
        <f t="shared" si="1"/>
        <v>0</v>
      </c>
      <c r="M10" s="1072">
        <f>SUM(M8:M9)</f>
        <v>0</v>
      </c>
      <c r="N10" s="1072">
        <f>SUM(N8:N9)</f>
        <v>0</v>
      </c>
      <c r="O10" s="1072">
        <f>SUM(O8:O9)</f>
        <v>0</v>
      </c>
      <c r="P10" s="1072">
        <f>SUM(P8:P9)</f>
        <v>35167.731026545429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0.20378506067452451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22806.782366134117</v>
      </c>
      <c r="C17" s="1074">
        <f>'SEAP template'!C87</f>
        <v>203204.43191958012</v>
      </c>
      <c r="D17" s="1069">
        <f>'SEAP template'!D87</f>
        <v>232320.6887282239</v>
      </c>
      <c r="E17" s="1069">
        <f>'SEAP template'!E87</f>
        <v>0</v>
      </c>
      <c r="F17" s="1069">
        <f>'SEAP template'!F87</f>
        <v>6743.3488242232788</v>
      </c>
      <c r="G17" s="1069">
        <f>'SEAP template'!G87</f>
        <v>0</v>
      </c>
      <c r="H17" s="1069">
        <f>'SEAP template'!H87</f>
        <v>0</v>
      </c>
      <c r="I17" s="1069">
        <f>'SEAP template'!I87</f>
        <v>26764.299209320299</v>
      </c>
      <c r="J17" s="1069">
        <f>'SEAP template'!J87</f>
        <v>67.209456719833355</v>
      </c>
      <c r="K17" s="1069">
        <f>'SEAP template'!K87</f>
        <v>0</v>
      </c>
      <c r="L17" s="1069">
        <f>'SEAP template'!L87</f>
        <v>0</v>
      </c>
      <c r="M17" s="1069">
        <f>'SEAP template'!M87</f>
        <v>0</v>
      </c>
      <c r="N17" s="1069">
        <f>'SEAP template'!N87</f>
        <v>0</v>
      </c>
      <c r="O17" s="1069">
        <f>'SEAP template'!O87</f>
        <v>0</v>
      </c>
      <c r="P17" s="1069">
        <f>'SEAP template'!Q87</f>
        <v>48729.253259168843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22806.782366134117</v>
      </c>
      <c r="C20" s="1072">
        <f>SUM(C17:C19)</f>
        <v>203204.43191958012</v>
      </c>
      <c r="D20" s="1072">
        <f t="shared" ref="D20:H20" si="2">SUM(D17:D19)</f>
        <v>232320.6887282239</v>
      </c>
      <c r="E20" s="1072">
        <f t="shared" si="2"/>
        <v>0</v>
      </c>
      <c r="F20" s="1072">
        <f t="shared" si="2"/>
        <v>6743.3488242232788</v>
      </c>
      <c r="G20" s="1072">
        <f t="shared" si="2"/>
        <v>0</v>
      </c>
      <c r="H20" s="1072">
        <f t="shared" si="2"/>
        <v>0</v>
      </c>
      <c r="I20" s="1072">
        <f>SUM(I17:I19)</f>
        <v>26764.299209320299</v>
      </c>
      <c r="J20" s="1072">
        <f>SUM(J17:J19)</f>
        <v>67.209456719833355</v>
      </c>
      <c r="K20" s="1072">
        <f t="shared" ref="K20:L20" si="3">SUM(K17:K19)</f>
        <v>0</v>
      </c>
      <c r="L20" s="1072">
        <f t="shared" si="3"/>
        <v>0</v>
      </c>
      <c r="M20" s="1072">
        <f>SUM(M17:M19)</f>
        <v>0</v>
      </c>
      <c r="N20" s="1072">
        <f>SUM(N17:N19)</f>
        <v>0</v>
      </c>
      <c r="O20" s="1072">
        <f>SUM(O17:O19)</f>
        <v>0</v>
      </c>
      <c r="P20" s="1072">
        <f>SUM(P17:P19)</f>
        <v>48729.253259168843</v>
      </c>
    </row>
    <row r="22" spans="1:16">
      <c r="A22" s="488" t="s">
        <v>888</v>
      </c>
      <c r="B22" s="787" t="s">
        <v>882</v>
      </c>
      <c r="C22" s="787">
        <f ca="1">'EF ele_warmte'!B22</f>
        <v>0.21560546636224565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0.20378506067452451</v>
      </c>
      <c r="C17" s="525">
        <f ca="1">'EF ele_warmte'!B22</f>
        <v>0.21560546636224565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2019-08-12T08:06:50Z</dcterms:modified>
</cp:coreProperties>
</file>