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L20" s="1"/>
  <c r="K18"/>
  <c r="K20" s="1"/>
  <c r="J18"/>
  <c r="J88" i="14" s="1"/>
  <c r="J18" i="59" s="1"/>
  <c r="I18" i="18"/>
  <c r="H18"/>
  <c r="G18"/>
  <c r="H88" i="14" s="1"/>
  <c r="F18" i="18"/>
  <c r="E18"/>
  <c r="F88" i="14" s="1"/>
  <c r="F18" i="59" s="1"/>
  <c r="D18" i="18"/>
  <c r="D20" s="1"/>
  <c r="C18"/>
  <c r="B18"/>
  <c r="L9"/>
  <c r="L10" s="1"/>
  <c r="K9"/>
  <c r="I9"/>
  <c r="G9"/>
  <c r="F9"/>
  <c r="F10" s="1"/>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59" s="1"/>
  <c r="B17" i="18"/>
  <c r="B20" s="1"/>
  <c r="G12"/>
  <c r="F12"/>
  <c r="E12"/>
  <c r="D12"/>
  <c r="C12"/>
  <c r="K10"/>
  <c r="G10"/>
  <c r="E77" i="14"/>
  <c r="E9" i="59" s="1"/>
  <c r="B8" i="18"/>
  <c r="B6"/>
  <c r="B74" i="14" s="1"/>
  <c r="B6" i="59" s="1"/>
  <c r="B5" i="18"/>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Q54" i="14"/>
  <c r="Q56" s="1"/>
  <c r="P54"/>
  <c r="P56" s="1"/>
  <c r="L54"/>
  <c r="L56" s="1"/>
  <c r="J54"/>
  <c r="J56" s="1"/>
  <c r="I54"/>
  <c r="I56" s="1"/>
  <c r="H54"/>
  <c r="H56" s="1"/>
  <c r="Q24"/>
  <c r="Q26" s="1"/>
  <c r="P24"/>
  <c r="P26" s="1"/>
  <c r="N24"/>
  <c r="N26" s="1"/>
  <c r="L24"/>
  <c r="L26" s="1"/>
  <c r="J24"/>
  <c r="I24"/>
  <c r="H24"/>
  <c r="Q50"/>
  <c r="P50"/>
  <c r="O50"/>
  <c r="M50"/>
  <c r="L50"/>
  <c r="K50"/>
  <c r="J50"/>
  <c r="G50"/>
  <c r="D50"/>
  <c r="Q49"/>
  <c r="Q52" s="1"/>
  <c r="P49"/>
  <c r="Q20"/>
  <c r="P20"/>
  <c r="O20"/>
  <c r="O22" s="1"/>
  <c r="M20"/>
  <c r="L20"/>
  <c r="K20"/>
  <c r="J20"/>
  <c r="G20"/>
  <c r="D20"/>
  <c r="Q19"/>
  <c r="P19"/>
  <c r="O19"/>
  <c r="M19"/>
  <c r="L19"/>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78"/>
  <c r="P52"/>
  <c r="R44"/>
  <c r="E25"/>
  <c r="E55" s="1"/>
  <c r="C25"/>
  <c r="B14" i="48" s="1"/>
  <c r="J26" i="14"/>
  <c r="I26"/>
  <c r="H26"/>
  <c r="F20" i="18" l="1"/>
  <c r="G88" i="14"/>
  <c r="G18" i="59" s="1"/>
  <c r="G20" s="1"/>
  <c r="L90" i="14"/>
  <c r="L18" i="59"/>
  <c r="L20" s="1"/>
  <c r="N78" i="14"/>
  <c r="N9" i="59"/>
  <c r="N10" s="1"/>
  <c r="G22" i="14"/>
  <c r="D14" i="48"/>
  <c r="K78" i="14"/>
  <c r="H90"/>
  <c r="H18" i="59"/>
  <c r="M77" i="14"/>
  <c r="M9" i="59" s="1"/>
  <c r="H9" i="18"/>
  <c r="D22" i="14"/>
  <c r="L22"/>
  <c r="E10" i="59"/>
  <c r="G77" i="14"/>
  <c r="G9" i="59" s="1"/>
  <c r="G10" s="1"/>
  <c r="P28" i="48"/>
  <c r="I77" i="14"/>
  <c r="I9" i="59" s="1"/>
  <c r="O10"/>
  <c r="H20"/>
  <c r="M22" i="14"/>
  <c r="K20" i="59"/>
  <c r="C98" i="18"/>
  <c r="C101" s="1"/>
  <c r="D13" i="15"/>
  <c r="C16" i="16"/>
  <c r="P22" i="14"/>
  <c r="E20" i="59"/>
  <c r="C13" i="15"/>
  <c r="B16" i="16"/>
  <c r="B13" i="15"/>
  <c r="B10" i="18"/>
  <c r="N13" i="15"/>
  <c r="L13"/>
  <c r="F77" i="14"/>
  <c r="F9" i="59" s="1"/>
  <c r="I101" i="18"/>
  <c r="H8" s="1"/>
  <c r="E101"/>
  <c r="E8" s="1"/>
  <c r="F101"/>
  <c r="H101"/>
  <c r="D101"/>
  <c r="B101"/>
  <c r="C8" s="1"/>
  <c r="O9"/>
  <c r="I102"/>
  <c r="H17" s="1"/>
  <c r="E102"/>
  <c r="E17" s="1"/>
  <c r="C102"/>
  <c r="F102"/>
  <c r="H102"/>
  <c r="D102"/>
  <c r="G102"/>
  <c r="B102"/>
  <c r="C17" s="1"/>
  <c r="C89" i="14"/>
  <c r="C19" i="59" s="1"/>
  <c r="O19" i="18"/>
  <c r="O78" i="14"/>
  <c r="N88"/>
  <c r="D10" i="18"/>
  <c r="E78" i="14"/>
  <c r="D77"/>
  <c r="D9" i="59" s="1"/>
  <c r="H77" i="14"/>
  <c r="O88"/>
  <c r="G89"/>
  <c r="G19" i="59" s="1"/>
  <c r="G20" i="18"/>
  <c r="O18"/>
  <c r="G78" i="14"/>
  <c r="Q89"/>
  <c r="P19" i="59" s="1"/>
  <c r="O25" i="48"/>
  <c r="O27"/>
  <c r="Q11"/>
  <c r="O29"/>
  <c r="P31"/>
  <c r="O28"/>
  <c r="Q12"/>
  <c r="O24"/>
  <c r="O30"/>
  <c r="P24"/>
  <c r="P30"/>
  <c r="E90" i="14"/>
  <c r="R9"/>
  <c r="R25"/>
  <c r="K90"/>
  <c r="H78" l="1"/>
  <c r="H9" i="59"/>
  <c r="H10" s="1"/>
  <c r="O90" i="14"/>
  <c r="O18" i="59"/>
  <c r="O20" s="1"/>
  <c r="N90" i="14"/>
  <c r="N18" i="59"/>
  <c r="N20" s="1"/>
  <c r="G90" i="14"/>
  <c r="Q77"/>
  <c r="P9" i="59" s="1"/>
  <c r="B89" i="14"/>
  <c r="B19" i="59" s="1"/>
  <c r="J17" i="18"/>
  <c r="J20" s="1"/>
  <c r="G101"/>
  <c r="I8" s="1"/>
  <c r="I76" i="14" s="1"/>
  <c r="I8" i="59" s="1"/>
  <c r="I10" s="1"/>
  <c r="Q14" i="48"/>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M90" i="14" l="1"/>
  <c r="M17" i="59"/>
  <c r="M20" s="1"/>
  <c r="F78" i="14"/>
  <c r="F8" i="59"/>
  <c r="F10" s="1"/>
  <c r="I10" i="14"/>
  <c r="I16" s="1"/>
  <c r="H5" i="48"/>
  <c r="F90" i="14"/>
  <c r="F17" i="59"/>
  <c r="F20" s="1"/>
  <c r="G5" i="48"/>
  <c r="H10" i="14"/>
  <c r="H16" s="1"/>
  <c r="M78"/>
  <c r="M8" i="59"/>
  <c r="M10" s="1"/>
  <c r="O8" i="18"/>
  <c r="O10" s="1"/>
  <c r="J87" i="14"/>
  <c r="I10" i="18"/>
  <c r="Q76" i="14"/>
  <c r="D78"/>
  <c r="I78"/>
  <c r="B76"/>
  <c r="J10" i="18"/>
  <c r="J76" i="14"/>
  <c r="I87"/>
  <c r="I17" i="59" s="1"/>
  <c r="I20" s="1"/>
  <c r="I20" i="18"/>
  <c r="Q87" i="14"/>
  <c r="D90"/>
  <c r="A31" i="23"/>
  <c r="A32"/>
  <c r="A33"/>
  <c r="B78" i="14" l="1"/>
  <c r="B8" i="59"/>
  <c r="B10" s="1"/>
  <c r="J78" i="14"/>
  <c r="J8" i="59"/>
  <c r="J10" s="1"/>
  <c r="J90" i="14"/>
  <c r="J17" i="59"/>
  <c r="J20" s="1"/>
  <c r="Q90" i="14"/>
  <c r="B17" i="6" s="1"/>
  <c r="P17" i="59"/>
  <c r="P20" s="1"/>
  <c r="Q78" i="14"/>
  <c r="B9" i="6" s="1"/>
  <c r="P8" i="59"/>
  <c r="P10" s="1"/>
  <c r="C87" i="14"/>
  <c r="B87"/>
  <c r="I90"/>
  <c r="C76"/>
  <c r="B11" i="44"/>
  <c r="B25"/>
  <c r="B24"/>
  <c r="C90" i="14" l="1"/>
  <c r="C17" i="59"/>
  <c r="C20" s="1"/>
  <c r="B90" i="14"/>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6"/>
  <c r="H32"/>
  <c r="H28"/>
  <c r="H29"/>
  <c r="H25"/>
  <c r="H24"/>
  <c r="H22"/>
  <c r="H30"/>
  <c r="H23"/>
  <c r="D11" i="14"/>
  <c r="C4" i="48"/>
  <c r="G30"/>
  <c r="G24"/>
  <c r="G25"/>
  <c r="G29"/>
  <c r="G26"/>
  <c r="G32"/>
  <c r="G22"/>
  <c r="G23"/>
  <c r="C11" i="14"/>
  <c r="B4" i="48"/>
  <c r="F24"/>
  <c r="F32"/>
  <c r="F29"/>
  <c r="F27"/>
  <c r="F30"/>
  <c r="F31"/>
  <c r="F28"/>
  <c r="N30"/>
  <c r="N27"/>
  <c r="N31"/>
  <c r="N32"/>
  <c r="N24"/>
  <c r="N29"/>
  <c r="N28"/>
  <c r="C19" i="14"/>
  <c r="B10" i="48"/>
  <c r="E32"/>
  <c r="E31"/>
  <c r="E28"/>
  <c r="E30"/>
  <c r="E24"/>
  <c r="E29"/>
  <c r="M32"/>
  <c r="M26"/>
  <c r="M25"/>
  <c r="M24"/>
  <c r="M29"/>
  <c r="M30"/>
  <c r="M22"/>
  <c r="M23"/>
  <c r="L10" i="14"/>
  <c r="L16" s="1"/>
  <c r="L27" s="1"/>
  <c r="K5" i="48"/>
  <c r="D30"/>
  <c r="D31"/>
  <c r="D29"/>
  <c r="D24"/>
  <c r="D28"/>
  <c r="D32"/>
  <c r="L32"/>
  <c r="L27"/>
  <c r="L24"/>
  <c r="L28"/>
  <c r="L22"/>
  <c r="L29"/>
  <c r="L31"/>
  <c r="L30"/>
  <c r="Q10" i="14"/>
  <c r="P5" i="48"/>
  <c r="P23" s="1"/>
  <c r="K28"/>
  <c r="K32"/>
  <c r="K27"/>
  <c r="K30"/>
  <c r="K26"/>
  <c r="K31"/>
  <c r="K24"/>
  <c r="K25"/>
  <c r="K29"/>
  <c r="K22"/>
  <c r="B7"/>
  <c r="C24" i="14"/>
  <c r="C26" s="1"/>
  <c r="J30" i="48"/>
  <c r="J24"/>
  <c r="J29"/>
  <c r="J32"/>
  <c r="J31"/>
  <c r="J28"/>
  <c r="J27"/>
  <c r="P4"/>
  <c r="Q11" i="14"/>
  <c r="P11"/>
  <c r="O4" i="48"/>
  <c r="I22"/>
  <c r="I26"/>
  <c r="I25"/>
  <c r="I32"/>
  <c r="I29"/>
  <c r="I28"/>
  <c r="I24"/>
  <c r="I31"/>
  <c r="I27"/>
  <c r="I30"/>
  <c r="J15" i="16"/>
  <c r="G24" i="14"/>
  <c r="G26" s="1"/>
  <c r="F7" i="48"/>
  <c r="F25" s="1"/>
  <c r="L8"/>
  <c r="L26" s="1"/>
  <c r="M13" i="14"/>
  <c r="C16" i="15"/>
  <c r="C5" i="48" s="1"/>
  <c r="C18" i="16"/>
  <c r="D7" i="48"/>
  <c r="E24" i="14"/>
  <c r="D10"/>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10" i="14" l="1"/>
  <c r="J16" s="1"/>
  <c r="J27" s="1"/>
  <c r="I5" i="48"/>
  <c r="P15"/>
  <c r="P22"/>
  <c r="P33" s="1"/>
  <c r="E9"/>
  <c r="E27" s="1"/>
  <c r="F20" i="14"/>
  <c r="F22" s="1"/>
  <c r="D9" i="48"/>
  <c r="D27" s="1"/>
  <c r="E20" i="14"/>
  <c r="E22" s="1"/>
  <c r="P10"/>
  <c r="O5" i="48"/>
  <c r="O23" s="1"/>
  <c r="J7"/>
  <c r="J25" s="1"/>
  <c r="K24" i="14"/>
  <c r="K26" s="1"/>
  <c r="C20"/>
  <c r="B9" i="48"/>
  <c r="O22"/>
  <c r="G11" i="14"/>
  <c r="F4" i="48"/>
  <c r="F22" s="1"/>
  <c r="K23"/>
  <c r="K33" s="1"/>
  <c r="K15"/>
  <c r="M12" i="22"/>
  <c r="M13" i="48"/>
  <c r="M31" s="1"/>
  <c r="N18" i="14"/>
  <c r="G13" i="48"/>
  <c r="H18" i="14"/>
  <c r="R18" s="1"/>
  <c r="H13" i="48"/>
  <c r="H31" s="1"/>
  <c r="I18" i="14"/>
  <c r="P22" i="16"/>
  <c r="Q43" i="14" s="1"/>
  <c r="Q13"/>
  <c r="Q16" s="1"/>
  <c r="Q27" s="1"/>
  <c r="Q63" s="1"/>
  <c r="P8" i="48"/>
  <c r="P26" s="1"/>
  <c r="J63" i="14"/>
  <c r="J12" i="17"/>
  <c r="K54" i="14" s="1"/>
  <c r="K56" s="1"/>
  <c r="L46"/>
  <c r="L61" s="1"/>
  <c r="L63"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E12" l="1"/>
  <c r="F41" i="14" s="1"/>
  <c r="F11"/>
  <c r="E4" i="48"/>
  <c r="O11" i="14"/>
  <c r="N4" i="48"/>
  <c r="N22" s="1"/>
  <c r="K11" i="14"/>
  <c r="J4" i="48"/>
  <c r="E7"/>
  <c r="E25" s="1"/>
  <c r="F24" i="14"/>
  <c r="F26" s="1"/>
  <c r="M9" i="48"/>
  <c r="N20" i="14"/>
  <c r="M10" i="48"/>
  <c r="M28" s="1"/>
  <c r="N19" i="14"/>
  <c r="N22" s="1"/>
  <c r="N27" s="1"/>
  <c r="O22" i="16"/>
  <c r="P43" i="14" s="1"/>
  <c r="P46" s="1"/>
  <c r="P61" s="1"/>
  <c r="P13"/>
  <c r="P16" s="1"/>
  <c r="P27" s="1"/>
  <c r="O8" i="48"/>
  <c r="H19" i="14"/>
  <c r="G10" i="48"/>
  <c r="G31"/>
  <c r="Q13"/>
  <c r="I23"/>
  <c r="I33" s="1"/>
  <c r="I15"/>
  <c r="G14" i="22"/>
  <c r="C22"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P63"/>
  <c r="K10"/>
  <c r="J5" i="48"/>
  <c r="J23" s="1"/>
  <c r="E5"/>
  <c r="E23" s="1"/>
  <c r="F10" i="14"/>
  <c r="J22" i="48"/>
  <c r="I20" i="14"/>
  <c r="I22" s="1"/>
  <c r="I27" s="1"/>
  <c r="H9" i="48"/>
  <c r="O26"/>
  <c r="O33" s="1"/>
  <c r="O15"/>
  <c r="H20" i="14"/>
  <c r="G9" i="48"/>
  <c r="G28"/>
  <c r="Q10"/>
  <c r="M27"/>
  <c r="M33" s="1"/>
  <c r="M15"/>
  <c r="E22"/>
  <c r="Q4"/>
  <c r="R19" i="14"/>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2" l="1"/>
  <c r="H27" s="1"/>
  <c r="H63" s="1"/>
  <c r="R20"/>
  <c r="J22" i="16"/>
  <c r="K43" i="14" s="1"/>
  <c r="K13"/>
  <c r="K16" s="1"/>
  <c r="K27" s="1"/>
  <c r="J8" i="48"/>
  <c r="J26" s="1"/>
  <c r="G27"/>
  <c r="G33" s="1"/>
  <c r="G15"/>
  <c r="Q9"/>
  <c r="F13" i="14"/>
  <c r="E8" i="48"/>
  <c r="H27"/>
  <c r="H33" s="1"/>
  <c r="H15"/>
  <c r="F46" i="14"/>
  <c r="F61" s="1"/>
  <c r="F63" s="1"/>
  <c r="R22"/>
  <c r="F16"/>
  <c r="F27" s="1"/>
  <c r="K46"/>
  <c r="K61" s="1"/>
  <c r="J33" i="48"/>
  <c r="I63" i="14"/>
  <c r="O13"/>
  <c r="N8" i="48"/>
  <c r="N26" s="1"/>
  <c r="F8"/>
  <c r="G13" i="14"/>
  <c r="E26" i="48" l="1"/>
  <c r="E33" s="1"/>
  <c r="E15"/>
  <c r="R13" i="14"/>
  <c r="J15" i="48"/>
  <c r="K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<sst xmlns="http://schemas.openxmlformats.org/spreadsheetml/2006/main" count="2455" uniqueCount="924">
  <si>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</si>
  <si>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</si>
  <si>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</si>
  <si>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</si>
  <si>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</si>
  <si>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</si>
  <si>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</si>
  <si>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</si>
  <si>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</si>
  <si>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</si>
  <si>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</si>
  <si>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</si>
  <si>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</si>
  <si>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</si>
  <si>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</si>
  <si>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</si>
  <si>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</si>
  <si>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</si>
  <si>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</si>
  <si>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</si>
  <si>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</si>
  <si>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</si>
  <si>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</si>
  <si>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</si>
  <si>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</si>
  <si>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</si>
  <si>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</si>
  <si>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</si>
  <si>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</si>
  <si>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</si>
  <si>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</si>
  <si>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</si>
  <si>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</si>
  <si>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</si>
  <si>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</si>
  <si>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</si>
  <si>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</si>
  <si>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</si>
  <si>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</si>
  <si>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</si>
  <si>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</si>
  <si>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</si>
  <si>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</si>
  <si>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</si>
  <si>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</si>
  <si>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</si>
  <si>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</si>
  <si>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</si>
  <si>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</si>
  <si>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</si>
  <si>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</si>
  <si>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</si>
  <si>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</si>
  <si>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</si>
  <si>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</si>
  <si>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</si>
  <si>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</si>
  <si>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</si>
  <si>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</si>
  <si>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</si>
  <si>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</si>
  <si>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</si>
  <si>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</si>
  <si>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</si>
  <si>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</si>
  <si>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</si>
  <si>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</si>
  <si>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</si>
  <si>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</si>
  <si>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</si>
  <si>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</si>
  <si>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</si>
  <si>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</si>
  <si>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</si>
  <si>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</si>
  <si>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</si>
  <si>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</si>
  <si>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</si>
  <si>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</si>
  <si>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</si>
  <si>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</si>
  <si>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</si>
  <si>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</si>
  <si>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</si>
  <si>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</si>
  <si>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</si>
  <si>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</si>
  <si>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</si>
  <si>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</si>
  <si>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</si>
  <si>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</si>
  <si>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</si>
  <si>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</si>
  <si>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</si>
  <si>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</si>
  <si>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</si>
  <si>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</si>
  <si>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</si>
  <si>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</si>
  <si>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</si>
  <si>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</si>
  <si>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</si>
  <si>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</si>
  <si>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</si>
  <si>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</si>
  <si>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</si>
  <si>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</si>
  <si>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</si>
  <si>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</si>
  <si>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</si>
  <si>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</si>
  <si>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</si>
  <si>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</si>
  <si>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</si>
  <si>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</si>
  <si>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</si>
  <si>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</si>
  <si>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</si>
  <si>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</si>
  <si>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</si>
  <si>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</si>
  <si>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</si>
  <si>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</si>
  <si>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</si>
  <si>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</si>
  <si>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</si>
  <si>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</si>
  <si>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</si>
  <si>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</si>
  <si>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</si>
  <si>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</si>
  <si>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</si>
  <si>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</si>
  <si>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</si>
  <si>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</si>
  <si>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</si>
  <si>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</si>
  <si>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</si>
  <si>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</si>
  <si>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</si>
  <si>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</si>
  <si>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</si>
  <si>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</si>
  <si>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</si>
  <si>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</si>
  <si>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</si>
  <si>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</si>
  <si>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</si>
  <si>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</si>
  <si>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</si>
  <si>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</si>
  <si>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</si>
  <si>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</si>
  <si>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</si>
  <si>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</si>
  <si>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</si>
  <si>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</si>
  <si>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</si>
  <si>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</si>
  <si>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</si>
  <si>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</si>
  <si>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</si>
  <si>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</si>
  <si>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</si>
  <si>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</si>
  <si>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</si>
  <si>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</si>
  <si>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</si>
  <si>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</si>
  <si>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</si>
  <si>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</si>
  <si>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</si>
  <si>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</si>
  <si>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</si>
  <si>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</si>
  <si>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</si>
  <si>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</si>
  <si>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</si>
  <si>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</si>
  <si>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</si>
  <si>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</si>
  <si>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</si>
  <si>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</si>
  <si>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</si>
  <si>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</si>
  <si>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</si>
  <si>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</si>
  <si>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</si>
  <si>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</si>
  <si>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</si>
  <si>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</si>
  <si>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</si>
  <si>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</si>
  <si>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</si>
  <si>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</si>
  <si>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</si>
  <si>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</si>
  <si>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</si>
  <si>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</si>
  <si>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</si>
  <si>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</si>
  <si>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</si>
  <si>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</si>
  <si>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</si>
  <si>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</si>
  <si>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</si>
  <si>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</si>
  <si>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</si>
  <si>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</si>
  <si>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</si>
  <si>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</si>
  <si>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</si>
  <si>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</si>
  <si>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</si>
  <si>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</si>
  <si>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</si>
  <si>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</si>
  <si>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</si>
  <si>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</si>
  <si>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</si>
  <si>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</si>
  <si>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</si>
  <si>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</si>
  <si>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</si>
  <si>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</si>
  <si>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</si>
  <si>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</si>
  <si>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</si>
  <si>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</si>
  <si>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</si>
  <si>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</si>
  <si>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</si>
  <si>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</si>
  <si>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</si>
  <si>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</si>
  <si>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</si>
  <si>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</si>
  <si>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</si>
  <si>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</si>
  <si>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</si>
  <si>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</si>
  <si>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</si>
  <si>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</si>
  <si>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</si>
  <si>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</si>
  <si>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</si>
  <si>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</si>
  <si>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</si>
  <si>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</si>
  <si>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</si>
  <si>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</si>
  <si>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</si>
  <si>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</si>
  <si>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</si>
  <si>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</si>
  <si>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</si>
  <si>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</si>
  <si>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</si>
  <si>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</si>
  <si>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</si>
  <si>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</si>
  <si>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</si>
  <si>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</si>
  <si>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</si>
  <si>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</si>
  <si>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</si>
  <si>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</si>
  <si>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</si>
  <si>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</si>
  <si>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</si>
  <si>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</si>
  <si>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</si>
  <si>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</si>
  <si>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</si>
  <si>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</si>
  <si>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</si>
  <si>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</si>
  <si>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</si>
  <si>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</si>
  <si>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</si>
  <si>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</si>
  <si>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</si>
  <si>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</si>
  <si>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</si>
  <si>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</si>
  <si>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</si>
  <si>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</si>
  <si>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</si>
  <si>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</si>
  <si>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</si>
  <si>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</si>
  <si>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</si>
  <si>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</si>
  <si>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</si>
  <si>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</si>
  <si>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</si>
  <si>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</si>
  <si>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</si>
  <si>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</si>
  <si>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</si>
  <si>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</si>
  <si>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</si>
  <si>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</si>
  <si>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</si>
  <si>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</si>
  <si>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</si>
  <si>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</si>
  <si>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</si>
  <si>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</si>
  <si>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</si>
  <si>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</si>
  <si>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</si>
  <si>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</si>
  <si>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</si>
  <si>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</si>
  <si>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</si>
  <si>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</si>
  <si>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</si>
  <si>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</si>
  <si>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</si>
  <si>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</si>
  <si>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</si>
  <si>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</si>
  <si>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</si>
  <si>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</si>
  <si>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</si>
  <si>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</si>
  <si>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</si>
  <si>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</si>
  <si>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</si>
  <si>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</si>
  <si>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</si>
  <si>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</si>
  <si>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</si>
  <si>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</si>
  <si>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</si>
  <si>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</si>
  <si>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</si>
  <si>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</si>
  <si>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</si>
  <si>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</si>
  <si>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</si>
  <si>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</si>
  <si>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</si>
  <si>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</si>
  <si>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</si>
  <si>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</si>
  <si>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</si>
  <si>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</si>
  <si>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</si>
  <si>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</si>
  <si>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</si>
  <si>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</si>
  <si>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</si>
  <si>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</si>
  <si>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</si>
  <si>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</si>
  <si>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</si>
  <si>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</si>
  <si>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</si>
  <si>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</si>
  <si>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</si>
  <si>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</si>
  <si>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</si>
  <si>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</si>
  <si>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</si>
  <si>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</si>
  <si>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</si>
  <si>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</si>
  <si>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</si>
  <si>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</si>
  <si>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</si>
  <si>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</si>
  <si>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</si>
  <si>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</si>
  <si>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</si>
  <si>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</si>
  <si>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</si>
  <si>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</si>
  <si>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</si>
  <si>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</si>
  <si>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</si>
  <si>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</si>
  <si>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</si>
  <si>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</si>
  <si>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</si>
  <si>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</si>
  <si>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</si>
  <si>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</si>
  <si>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</si>
  <si>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</si>
  <si>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</si>
  <si>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</si>
  <si>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</si>
  <si>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</si>
  <si>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</si>
  <si>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</si>
  <si>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</si>
  <si>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</si>
  <si>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</si>
  <si>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</si>
  <si>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</si>
  <si>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</si>
  <si>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</si>
  <si>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</si>
  <si>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</si>
  <si>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</si>
  <si>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</si>
  <si>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</si>
  <si>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</si>
  <si>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</si>
  <si>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</si>
  <si>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</si>
  <si>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</si>
  <si>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</si>
  <si>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</si>
  <si>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</si>
  <si>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</si>
  <si>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</si>
  <si>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</si>
  <si>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</si>
  <si>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</si>
  <si>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</si>
  <si>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</si>
  <si>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</si>
  <si>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</si>
  <si>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</si>
  <si>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</si>
  <si>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</si>
  <si>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</si>
  <si>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</si>
  <si>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</si>
  <si>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</si>
  <si>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</si>
  <si>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</si>
  <si>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</si>
  <si>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</si>
  <si>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</si>
  <si>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</si>
  <si>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</si>
  <si>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</si>
  <si>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</si>
  <si>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</si>
  <si>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</si>
  <si>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</si>
  <si>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</si>
  <si>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</si>
  <si>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</si>
  <si>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</si>
  <si>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</si>
  <si>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</si>
  <si>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</si>
  <si>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</si>
  <si>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</si>
  <si>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</si>
  <si>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</si>
  <si>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</si>
  <si>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</si>
  <si>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</si>
  <si>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</si>
  <si>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</si>
  <si>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</si>
  <si>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</si>
  <si>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</si>
  <si>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</si>
  <si>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</si>
  <si>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</si>
  <si>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</si>
  <si>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</si>
  <si>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</si>
  <si>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</si>
  <si>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</si>
  <si>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</si>
  <si>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</si>
  <si>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</si>
  <si>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</si>
  <si>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</si>
  <si>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</si>
  <si>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</si>
  <si>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</si>
  <si>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</si>
  <si>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</si>
  <si>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</si>
  <si>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</si>
  <si>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</si>
  <si>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</si>
  <si>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</si>
  <si>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</si>
  <si>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</si>
  <si>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</si>
  <si>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</si>
  <si>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</si>
  <si>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</si>
  <si>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</si>
  <si>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</si>
  <si>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</si>
  <si>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</si>
  <si>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</si>
  <si>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</si>
  <si>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</si>
  <si>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</si>
  <si>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</si>
  <si>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</si>
  <si>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</si>
  <si>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</si>
  <si>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</si>
  <si>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</si>
  <si>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</si>
  <si>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</si>
  <si>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</si>
  <si>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</si>
  <si>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</si>
  <si>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</si>
  <si>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</si>
  <si>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</si>
  <si>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</si>
  <si>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</si>
  <si>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</si>
  <si>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</si>
  <si>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</si>
  <si>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</si>
  <si>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</si>
  <si>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</si>
  <si>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</si>
  <si>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</si>
  <si>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</si>
  <si>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</si>
  <si>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</si>
  <si>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</si>
  <si>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</si>
  <si>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</si>
  <si>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</si>
  <si>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</si>
  <si>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</si>
  <si>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</si>
  <si>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</si>
  <si>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</si>
  <si>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</si>
  <si>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</si>
  <si>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</si>
  <si>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</si>
  <si>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</si>
  <si>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</si>
  <si>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</si>
  <si>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</si>
  <si>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</si>
  <si>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</si>
  <si>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</si>
  <si>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</si>
  <si>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</si>
  <si>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</si>
  <si>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</si>
  <si>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</si>
  <si>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</si>
  <si>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</si>
  <si>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</si>
  <si>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</si>
  <si>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</si>
  <si>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</si>
  <si>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</si>
  <si>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</si>
  <si>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</si>
  <si>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</si>
  <si>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</si>
  <si>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</si>
  <si>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</si>
  <si>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</si>
  <si>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</si>
  <si>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</si>
  <si>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</si>
  <si>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</si>
  <si>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</si>
  <si>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</si>
  <si>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</si>
  <si>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</si>
  <si>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</si>
  <si>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</si>
  <si>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</si>
  <si>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</si>
  <si>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</si>
  <si>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</si>
  <si>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</si>
  <si>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</si>
  <si>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</si>
  <si>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</si>
  <si>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</si>
  <si>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</si>
  <si>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</si>
  <si>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</si>
  <si>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</si>
  <si>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</si>
  <si>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</si>
  <si>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</si>
  <si>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</si>
  <si>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</si>
  <si>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</si>
  <si>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</si>
  <si>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</si>
  <si>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</si>
  <si>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</si>
  <si>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</si>
  <si>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</si>
  <si>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</si>
  <si>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</si>
  <si>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</si>
  <si>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</si>
  <si>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</si>
  <si>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</si>
  <si>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</si>
  <si>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</si>
  <si>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</si>
  <si>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</si>
  <si>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</si>
  <si>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</si>
  <si>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</si>
  <si>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</si>
  <si>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</si>
  <si>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</si>
  <si>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</si>
  <si>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</si>
  <si>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</si>
  <si>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</si>
  <si>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</si>
  <si>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</si>
  <si>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</si>
  <si>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</si>
  <si>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</si>
  <si>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</si>
  <si>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</si>
  <si>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</si>
  <si>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</si>
  <si>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</si>
  <si>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</si>
  <si>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</si>
  <si>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</si>
  <si>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</si>
  <si>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</si>
  <si>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</si>
  <si>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</si>
  <si>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</si>
  <si>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</si>
  <si>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</si>
  <si>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</si>
  <si>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</si>
  <si>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</si>
  <si>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</si>
  <si>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</si>
  <si>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</si>
  <si>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</si>
  <si>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</si>
  <si>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</si>
  <si>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</si>
  <si>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</si>
  <si>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</si>
  <si>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</si>
  <si>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</si>
  <si>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</si>
  <si>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</si>
  <si>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</si>
  <si>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</si>
  <si>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</si>
  <si>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</si>
  <si>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</si>
  <si>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</si>
  <si>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</si>
  <si>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</si>
  <si>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</si>
  <si>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</si>
  <si>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</si>
  <si>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</si>
  <si>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</si>
  <si>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</si>
  <si>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</si>
  <si>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</si>
  <si>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</si>
  <si>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</si>
  <si>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</si>
  <si>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</si>
  <si>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</si>
  <si>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</si>
  <si>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</si>
  <si>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</si>
  <si>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</si>
  <si>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</si>
  <si>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</si>
  <si>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</si>
  <si>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</si>
  <si>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</si>
  <si>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</si>
  <si>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</si>
  <si>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</si>
  <si>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</si>
  <si>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</si>
  <si>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</si>
  <si>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</si>
  <si>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</si>
  <si>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</si>
  <si>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</si>
  <si>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</si>
  <si>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</si>
  <si>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</si>
  <si>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</si>
  <si>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</si>
  <si>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</si>
  <si>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</si>
  <si>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</si>
  <si>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</si>
  <si>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</si>
  <si>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</si>
  <si>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</si>
  <si>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</si>
  <si>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</si>
  <si>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</si>
  <si>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</si>
  <si>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</si>
  <si>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</si>
  <si>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</si>
  <si>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</si>
  <si>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</si>
  <si>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</si>
  <si>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</si>
  <si>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</si>
  <si>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</si>
  <si>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</si>
  <si>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</si>
  <si>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</si>
  <si>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</si>
  <si>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</si>
  <si>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</si>
  <si>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</si>
  <si>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</si>
  <si>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</si>
  <si>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</si>
  <si>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</si>
  <si>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</si>
  <si>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</si>
  <si>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</si>
  <si>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</si>
  <si>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</si>
  <si>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</si>
  <si>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</si>
  <si>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</si>
  <si>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</si>
  <si>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</si>
  <si>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</si>
  <si>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</si>
  <si>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</si>
  <si>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</si>
  <si>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</si>
  <si>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</si>
  <si>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</si>
  <si>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</si>
  <si>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</si>
  <si>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</si>
  <si>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</si>
  <si>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</si>
  <si>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</si>
  <si>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</si>
  <si>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</si>
  <si>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</si>
  <si>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</si>
  <si>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</si>
  <si>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</si>
  <si>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</si>
  <si>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</si>
  <si>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</si>
  <si>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</si>
  <si>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</si>
  <si>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</si>
  <si>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</si>
  <si>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</si>
  <si>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</si>
  <si>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</si>
  <si>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</si>
  <si>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</si>
  <si>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</si>
  <si>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</si>
  <si>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</si>
  <si>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</si>
  <si>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</si>
  <si>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</si>
  <si>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</si>
  <si>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</si>
  <si>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</si>
  <si>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</si>
  <si>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</si>
  <si>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</si>
  <si>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</si>
  <si>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</si>
  <si>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</si>
  <si>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</si>
  <si>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</si>
  <si>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</si>
  <si>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</si>
  <si>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</si>
  <si>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</si>
  <si>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</si>
  <si>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</si>
  <si>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</si>
  <si>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</si>
  <si>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</si>
  <si>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</si>
  <si>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</si>
  <si>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</si>
  <si>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</si>
  <si>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</si>
  <si>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</si>
  <si>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</si>
  <si>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</si>
  <si>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</si>
  <si>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</si>
  <si>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</si>
  <si>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</si>
  <si>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</si>
  <si>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</si>
  <si>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</si>
  <si>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</si>
  <si>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</si>
  <si>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</si>
  <si>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</si>
  <si>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</si>
  <si>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</si>
  <si>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</si>
  <si>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</si>
  <si>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</si>
  <si>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</si>
  <si>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</si>
  <si>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</si>
  <si>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</si>
  <si>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</si>
  <si>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</si>
  <si>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</si>
  <si>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</si>
  <si>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</si>
  <si>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</si>
  <si>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</si>
  <si>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</si>
  <si>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</si>
  <si>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</si>
  <si>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</si>
  <si>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</si>
  <si>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</si>
  <si>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</si>
  <si>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</si>
  <si>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</si>
  <si>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</si>
  <si>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</si>
  <si>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</si>
  <si>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</si>
  <si>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</si>
  <si>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</si>
  <si>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</si>
  <si>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</si>
  <si>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</si>
  <si>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</si>
  <si>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</si>
  <si>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</si>
  <si>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</si>
  <si>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</si>
  <si>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</si>
  <si>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</si>
  <si>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</si>
  <si>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</si>
  <si>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</si>
  <si>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</si>
  <si>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</si>
  <si>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</si>
  <si>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</si>
  <si>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</si>
  <si>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</si>
  <si>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</si>
  <si>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</si>
  <si>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</si>
  <si>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</si>
  <si>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</si>
  <si>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</si>
  <si>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</si>
  <si>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</si>
  <si>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</si>
  <si>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</si>
  <si>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</si>
  <si>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</si>
  <si>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</si>
  <si>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</si>
  <si>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</si>
  <si>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</si>
  <si>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</si>
  <si>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</si>
  <si>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</si>
  <si>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</si>
  <si>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</si>
  <si>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</si>
  <si>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</si>
  <si>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</si>
  <si>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</si>
  <si>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</si>
  <si>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</si>
  <si>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</si>
  <si>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</si>
  <si>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12030</t>
  </si>
  <si>
    <t>PUURS</t>
  </si>
  <si>
    <t>Paarden&amp;pony's 200 - 600 kg</t>
  </si>
  <si>
    <t>Paarden&amp;pony's &lt; 200 kg</t>
  </si>
  <si>
    <t>referentietaak LNE (2017); Jaarverslag De Lijn (2014)</t>
  </si>
  <si>
    <t>op basis van VEA (maart 2018) en Inventaris Hernieuwbare Energiebronnen (juni 2018)</t>
  </si>
  <si>
    <t>VEA (maart 2016)</t>
  </si>
  <si>
    <t>VEA (juni 2018)</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</si>
  <si>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</si>
  <si>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</si>
  <si>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</si>
  <si>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</si>
  <si>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</si>
  <si>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</si>
  <si>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</si>
  <si>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</si>
  <si>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</si>
  <si>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</si>
  <si>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</si>
  <si>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</si>
  <si>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</si>
  <si>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</si>
  <si>
    <t>Nico Parket BVBA</t>
  </si>
  <si>
    <t>Dendermondsesteenweg 172 , 2870 Puurs</t>
  </si>
  <si>
    <t>WKK-0607 Nico Parket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</si>
</sst>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121296.30502338558</c:v>
                </c:pt>
                <c:pt idx="1">
                  <c:v>60507.831370400745</c:v>
                </c:pt>
                <c:pt idx="2">
                  <c:v>1527.9680000000001</c:v>
                </c:pt>
                <c:pt idx="3">
                  <c:v>3573.7508583320528</c:v>
                </c:pt>
                <c:pt idx="4">
                  <c:v>338327.09169255372</c:v>
                </c:pt>
                <c:pt idx="5">
                  <c:v>404242.00825060409</c:v>
                </c:pt>
                <c:pt idx="6">
                  <c:v>1685.6757822150416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887360"/>
        <c:axId val="181888896"/>
      </c:barChart>
      <c:catAx>
        <c:axId val="181887360"/>
        <c:scaling>
          <c:orientation val="minMax"/>
        </c:scaling>
        <c:axPos val="b"/>
        <c:numFmt formatCode="General" sourceLinked="0"/>
        <c:tickLblPos val="nextTo"/>
        <c:crossAx val="181888896"/>
        <c:crosses val="autoZero"/>
        <c:auto val="1"/>
        <c:lblAlgn val="ctr"/>
        <c:lblOffset val="100"/>
      </c:catAx>
      <c:valAx>
        <c:axId val="181888896"/>
        <c:scaling>
          <c:orientation val="minMax"/>
        </c:scaling>
        <c:axPos val="l"/>
        <c:majorGridlines/>
        <c:numFmt formatCode="#,##0" sourceLinked="1"/>
        <c:tickLblPos val="nextTo"/>
        <c:crossAx val="181887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121296.30502338558</c:v>
                </c:pt>
                <c:pt idx="1">
                  <c:v>60507.831370400745</c:v>
                </c:pt>
                <c:pt idx="2">
                  <c:v>1527.9680000000001</c:v>
                </c:pt>
                <c:pt idx="3">
                  <c:v>3573.7508583320528</c:v>
                </c:pt>
                <c:pt idx="4">
                  <c:v>338327.09169255372</c:v>
                </c:pt>
                <c:pt idx="5">
                  <c:v>404242.00825060409</c:v>
                </c:pt>
                <c:pt idx="6">
                  <c:v>1685.6757822150416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23136.553390629455</c:v>
                </c:pt>
                <c:pt idx="2">
                  <c:v>11811.294076583417</c:v>
                </c:pt>
                <c:pt idx="3">
                  <c:v>302.8117104876419</c:v>
                </c:pt>
                <c:pt idx="4">
                  <c:v>892.39894883931811</c:v>
                </c:pt>
                <c:pt idx="5">
                  <c:v>67784.746178236237</c:v>
                </c:pt>
                <c:pt idx="6">
                  <c:v>101416.32682580207</c:v>
                </c:pt>
                <c:pt idx="7">
                  <c:v>425.79366253275191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54592"/>
        <c:axId val="182313728"/>
      </c:barChart>
      <c:catAx>
        <c:axId val="182254592"/>
        <c:scaling>
          <c:orientation val="minMax"/>
        </c:scaling>
        <c:axPos val="b"/>
        <c:numFmt formatCode="General" sourceLinked="0"/>
        <c:tickLblPos val="nextTo"/>
        <c:crossAx val="182313728"/>
        <c:crosses val="autoZero"/>
        <c:auto val="1"/>
        <c:lblAlgn val="ctr"/>
        <c:lblOffset val="100"/>
      </c:catAx>
      <c:valAx>
        <c:axId val="182313728"/>
        <c:scaling>
          <c:orientation val="minMax"/>
        </c:scaling>
        <c:axPos val="l"/>
        <c:majorGridlines/>
        <c:numFmt formatCode="#,##0" sourceLinked="1"/>
        <c:tickLblPos val="nextTo"/>
        <c:crossAx val="1822545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23136.553390629455</c:v>
                </c:pt>
                <c:pt idx="2">
                  <c:v>11811.294076583417</c:v>
                </c:pt>
                <c:pt idx="3">
                  <c:v>302.8117104876419</c:v>
                </c:pt>
                <c:pt idx="4">
                  <c:v>892.39894883931811</c:v>
                </c:pt>
                <c:pt idx="5">
                  <c:v>67784.746178236237</c:v>
                </c:pt>
                <c:pt idx="6">
                  <c:v>101416.32682580207</c:v>
                </c:pt>
                <c:pt idx="7">
                  <c:v>425.79366253275191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12030</v>
      </c>
      <c r="B6" s="416"/>
      <c r="C6" s="417"/>
    </row>
    <row r="7" spans="1:7" s="414" customFormat="1" ht="15.75" customHeight="1">
      <c r="A7" s="418" t="str">
        <f>txtMunicipality</f>
        <v>PUURS</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0.19817935355167249</v>
      </c>
      <c r="C17" s="525">
        <f ca="1">'EF ele_warmte'!B22</f>
        <v>0.23764705882352935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0.19817935355167249</v>
      </c>
      <c r="C29" s="526">
        <f ca="1">'EF ele_warmte'!B22</f>
        <v>0.23764705882352935</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6949</v>
      </c>
      <c r="C9" s="342">
        <v>7472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1160</v>
      </c>
    </row>
    <row r="15" spans="1:6">
      <c r="A15" s="348" t="s">
        <v>184</v>
      </c>
      <c r="B15" s="334">
        <v>859</v>
      </c>
    </row>
    <row r="16" spans="1:6">
      <c r="A16" s="348" t="s">
        <v>6</v>
      </c>
      <c r="B16" s="334">
        <v>556</v>
      </c>
    </row>
    <row r="17" spans="1:6">
      <c r="A17" s="348" t="s">
        <v>7</v>
      </c>
      <c r="B17" s="334">
        <v>21</v>
      </c>
    </row>
    <row r="18" spans="1:6">
      <c r="A18" s="348" t="s">
        <v>8</v>
      </c>
      <c r="B18" s="334">
        <v>201</v>
      </c>
    </row>
    <row r="19" spans="1:6">
      <c r="A19" s="348" t="s">
        <v>9</v>
      </c>
      <c r="B19" s="334">
        <v>82</v>
      </c>
    </row>
    <row r="20" spans="1:6">
      <c r="A20" s="348" t="s">
        <v>10</v>
      </c>
      <c r="B20" s="334">
        <v>76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9</v>
      </c>
    </row>
    <row r="27" spans="1:6">
      <c r="A27" s="348" t="s">
        <v>17</v>
      </c>
      <c r="B27" s="334">
        <v>0</v>
      </c>
    </row>
    <row r="28" spans="1:6" s="356" customFormat="1">
      <c r="A28" s="355" t="s">
        <v>18</v>
      </c>
      <c r="B28" s="355">
        <v>2210</v>
      </c>
    </row>
    <row r="29" spans="1:6">
      <c r="A29" s="355" t="s">
        <v>901</v>
      </c>
      <c r="B29" s="355">
        <v>107</v>
      </c>
      <c r="C29" s="356"/>
      <c r="D29" s="356"/>
      <c r="E29" s="356"/>
      <c r="F29" s="356"/>
    </row>
    <row r="30" spans="1:6">
      <c r="A30" s="341" t="s">
        <v>902</v>
      </c>
      <c r="B30" s="341">
        <v>44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43131.56</v>
      </c>
    </row>
    <row r="39" spans="1:6">
      <c r="A39" s="348" t="s">
        <v>30</v>
      </c>
      <c r="B39" s="348" t="s">
        <v>31</v>
      </c>
      <c r="C39" s="334">
        <v>5182</v>
      </c>
      <c r="D39" s="334">
        <v>78824744.041238099</v>
      </c>
      <c r="E39" s="334">
        <v>6862</v>
      </c>
      <c r="F39" s="334">
        <v>25742179</v>
      </c>
    </row>
    <row r="40" spans="1:6">
      <c r="A40" s="348" t="s">
        <v>30</v>
      </c>
      <c r="B40" s="348" t="s">
        <v>29</v>
      </c>
      <c r="C40" s="334">
        <v>0</v>
      </c>
      <c r="D40" s="334">
        <v>0</v>
      </c>
      <c r="E40" s="334">
        <v>0</v>
      </c>
      <c r="F40" s="334">
        <v>0</v>
      </c>
    </row>
    <row r="41" spans="1:6">
      <c r="A41" s="348" t="s">
        <v>32</v>
      </c>
      <c r="B41" s="348" t="s">
        <v>33</v>
      </c>
      <c r="C41" s="334">
        <v>41</v>
      </c>
      <c r="D41" s="334">
        <v>1176209.7549852501</v>
      </c>
      <c r="E41" s="334">
        <v>154</v>
      </c>
      <c r="F41" s="334">
        <v>9651164</v>
      </c>
    </row>
    <row r="42" spans="1:6">
      <c r="A42" s="348" t="s">
        <v>32</v>
      </c>
      <c r="B42" s="348" t="s">
        <v>34</v>
      </c>
      <c r="C42" s="334">
        <v>11</v>
      </c>
      <c r="D42" s="334">
        <v>105271513.35115901</v>
      </c>
      <c r="E42" s="334">
        <v>12</v>
      </c>
      <c r="F42" s="334">
        <v>53486269</v>
      </c>
    </row>
    <row r="43" spans="1:6">
      <c r="A43" s="348" t="s">
        <v>32</v>
      </c>
      <c r="B43" s="348" t="s">
        <v>35</v>
      </c>
      <c r="C43" s="334">
        <v>0</v>
      </c>
      <c r="D43" s="334">
        <v>0</v>
      </c>
      <c r="E43" s="334">
        <v>0</v>
      </c>
      <c r="F43" s="334">
        <v>0</v>
      </c>
    </row>
    <row r="44" spans="1:6">
      <c r="A44" s="348" t="s">
        <v>32</v>
      </c>
      <c r="B44" s="348" t="s">
        <v>36</v>
      </c>
      <c r="C44" s="334">
        <v>3</v>
      </c>
      <c r="D44" s="334">
        <v>230979.89201752099</v>
      </c>
      <c r="E44" s="334">
        <v>19</v>
      </c>
      <c r="F44" s="334">
        <v>1554630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36</v>
      </c>
      <c r="D48" s="334">
        <v>30994278.011905801</v>
      </c>
      <c r="E48" s="334">
        <v>46</v>
      </c>
      <c r="F48" s="334">
        <v>42285880</v>
      </c>
    </row>
    <row r="49" spans="1:6">
      <c r="A49" s="348" t="s">
        <v>32</v>
      </c>
      <c r="B49" s="348" t="s">
        <v>40</v>
      </c>
      <c r="C49" s="334">
        <v>0</v>
      </c>
      <c r="D49" s="334">
        <v>0</v>
      </c>
      <c r="E49" s="334">
        <v>0</v>
      </c>
      <c r="F49" s="334">
        <v>0</v>
      </c>
    </row>
    <row r="50" spans="1:6">
      <c r="A50" s="348" t="s">
        <v>32</v>
      </c>
      <c r="B50" s="348" t="s">
        <v>41</v>
      </c>
      <c r="C50" s="334">
        <v>14</v>
      </c>
      <c r="D50" s="334">
        <v>29535093.172646299</v>
      </c>
      <c r="E50" s="334">
        <v>15</v>
      </c>
      <c r="F50" s="334">
        <v>14843093</v>
      </c>
    </row>
    <row r="51" spans="1:6">
      <c r="A51" s="348" t="s">
        <v>42</v>
      </c>
      <c r="B51" s="348" t="s">
        <v>43</v>
      </c>
      <c r="C51" s="334">
        <v>6</v>
      </c>
      <c r="D51" s="334">
        <v>81499.687895225899</v>
      </c>
      <c r="E51" s="334">
        <v>38</v>
      </c>
      <c r="F51" s="334">
        <v>702730</v>
      </c>
    </row>
    <row r="52" spans="1:6">
      <c r="A52" s="348" t="s">
        <v>42</v>
      </c>
      <c r="B52" s="348" t="s">
        <v>29</v>
      </c>
      <c r="C52" s="334">
        <v>3</v>
      </c>
      <c r="D52" s="334">
        <v>92712.034951463706</v>
      </c>
      <c r="E52" s="334">
        <v>13</v>
      </c>
      <c r="F52" s="334">
        <v>220737.5</v>
      </c>
    </row>
    <row r="53" spans="1:6">
      <c r="A53" s="348" t="s">
        <v>44</v>
      </c>
      <c r="B53" s="348" t="s">
        <v>45</v>
      </c>
      <c r="C53" s="334">
        <v>117</v>
      </c>
      <c r="D53" s="334">
        <v>2275677.5300087701</v>
      </c>
      <c r="E53" s="334">
        <v>220</v>
      </c>
      <c r="F53" s="334">
        <v>777895.1</v>
      </c>
    </row>
    <row r="54" spans="1:6">
      <c r="A54" s="348" t="s">
        <v>46</v>
      </c>
      <c r="B54" s="348" t="s">
        <v>47</v>
      </c>
      <c r="C54" s="334">
        <v>0</v>
      </c>
      <c r="D54" s="334">
        <v>0</v>
      </c>
      <c r="E54" s="334">
        <v>1</v>
      </c>
      <c r="F54" s="334">
        <v>1527968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v>
      </c>
      <c r="D57" s="334">
        <v>1317213.776302</v>
      </c>
      <c r="E57" s="334">
        <v>69</v>
      </c>
      <c r="F57" s="334">
        <v>2978637</v>
      </c>
    </row>
    <row r="58" spans="1:6">
      <c r="A58" s="348" t="s">
        <v>49</v>
      </c>
      <c r="B58" s="348" t="s">
        <v>51</v>
      </c>
      <c r="C58" s="334">
        <v>24</v>
      </c>
      <c r="D58" s="334">
        <v>1140519.6541496499</v>
      </c>
      <c r="E58" s="334">
        <v>45</v>
      </c>
      <c r="F58" s="334">
        <v>1482943</v>
      </c>
    </row>
    <row r="59" spans="1:6">
      <c r="A59" s="348" t="s">
        <v>49</v>
      </c>
      <c r="B59" s="348" t="s">
        <v>52</v>
      </c>
      <c r="C59" s="334">
        <v>88</v>
      </c>
      <c r="D59" s="334">
        <v>4042474.0061418</v>
      </c>
      <c r="E59" s="334">
        <v>155</v>
      </c>
      <c r="F59" s="334">
        <v>6754394</v>
      </c>
    </row>
    <row r="60" spans="1:6">
      <c r="A60" s="348" t="s">
        <v>49</v>
      </c>
      <c r="B60" s="348" t="s">
        <v>53</v>
      </c>
      <c r="C60" s="334">
        <v>56</v>
      </c>
      <c r="D60" s="334">
        <v>2500814.26888608</v>
      </c>
      <c r="E60" s="334">
        <v>129</v>
      </c>
      <c r="F60" s="334">
        <v>2411552</v>
      </c>
    </row>
    <row r="61" spans="1:6">
      <c r="A61" s="348" t="s">
        <v>49</v>
      </c>
      <c r="B61" s="348" t="s">
        <v>54</v>
      </c>
      <c r="C61" s="334">
        <v>152</v>
      </c>
      <c r="D61" s="334">
        <v>10579596.5000057</v>
      </c>
      <c r="E61" s="334">
        <v>237</v>
      </c>
      <c r="F61" s="334">
        <v>6459136</v>
      </c>
    </row>
    <row r="62" spans="1:6">
      <c r="A62" s="348" t="s">
        <v>49</v>
      </c>
      <c r="B62" s="348" t="s">
        <v>55</v>
      </c>
      <c r="C62" s="334">
        <v>24</v>
      </c>
      <c r="D62" s="334">
        <v>1897393.7375244</v>
      </c>
      <c r="E62" s="334">
        <v>25</v>
      </c>
      <c r="F62" s="334">
        <v>490523.6</v>
      </c>
    </row>
    <row r="63" spans="1:6">
      <c r="A63" s="348" t="s">
        <v>49</v>
      </c>
      <c r="B63" s="348" t="s">
        <v>29</v>
      </c>
      <c r="C63" s="334">
        <v>103</v>
      </c>
      <c r="D63" s="334">
        <v>6937475.6625009701</v>
      </c>
      <c r="E63" s="334">
        <v>103</v>
      </c>
      <c r="F63" s="334">
        <v>7030715</v>
      </c>
    </row>
    <row r="64" spans="1:6">
      <c r="A64" s="348" t="s">
        <v>56</v>
      </c>
      <c r="B64" s="348" t="s">
        <v>57</v>
      </c>
      <c r="C64" s="334">
        <v>0</v>
      </c>
      <c r="D64" s="334">
        <v>0</v>
      </c>
      <c r="E64" s="334">
        <v>0</v>
      </c>
      <c r="F64" s="334">
        <v>0</v>
      </c>
    </row>
    <row r="65" spans="1:6">
      <c r="A65" s="348" t="s">
        <v>56</v>
      </c>
      <c r="B65" s="348" t="s">
        <v>29</v>
      </c>
      <c r="C65" s="334">
        <v>2</v>
      </c>
      <c r="D65" s="334">
        <v>63573.348104139302</v>
      </c>
      <c r="E65" s="334">
        <v>3</v>
      </c>
      <c r="F65" s="334">
        <v>10253.16</v>
      </c>
    </row>
    <row r="66" spans="1:6">
      <c r="A66" s="348" t="s">
        <v>56</v>
      </c>
      <c r="B66" s="348" t="s">
        <v>58</v>
      </c>
      <c r="C66" s="334">
        <v>0</v>
      </c>
      <c r="D66" s="334">
        <v>0</v>
      </c>
      <c r="E66" s="334">
        <v>9</v>
      </c>
      <c r="F66" s="334">
        <v>2561966</v>
      </c>
    </row>
    <row r="67" spans="1:6">
      <c r="A67" s="355" t="s">
        <v>56</v>
      </c>
      <c r="B67" s="355" t="s">
        <v>59</v>
      </c>
      <c r="C67" s="334">
        <v>0</v>
      </c>
      <c r="D67" s="334">
        <v>0</v>
      </c>
      <c r="E67" s="334">
        <v>0</v>
      </c>
      <c r="F67" s="334">
        <v>0</v>
      </c>
    </row>
    <row r="68" spans="1:6">
      <c r="A68" s="341" t="s">
        <v>56</v>
      </c>
      <c r="B68" s="341" t="s">
        <v>60</v>
      </c>
      <c r="C68" s="334">
        <v>11</v>
      </c>
      <c r="D68" s="334">
        <v>3936122.2946080901</v>
      </c>
      <c r="E68" s="334">
        <v>33</v>
      </c>
      <c r="F68" s="334">
        <v>2356092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246035881</v>
      </c>
      <c r="E73" s="476">
        <v>262990277.49462846</v>
      </c>
    </row>
    <row r="74" spans="1:6">
      <c r="A74" s="348" t="s">
        <v>64</v>
      </c>
      <c r="B74" s="348" t="s">
        <v>714</v>
      </c>
      <c r="C74" s="1311" t="s">
        <v>716</v>
      </c>
      <c r="D74" s="476">
        <v>37425477.59312278</v>
      </c>
      <c r="E74" s="476">
        <v>38390959.838018499</v>
      </c>
    </row>
    <row r="75" spans="1:6">
      <c r="A75" s="348" t="s">
        <v>65</v>
      </c>
      <c r="B75" s="348" t="s">
        <v>713</v>
      </c>
      <c r="C75" s="1311" t="s">
        <v>717</v>
      </c>
      <c r="D75" s="476">
        <v>63144753</v>
      </c>
      <c r="E75" s="476">
        <v>66654712.916097566</v>
      </c>
    </row>
    <row r="76" spans="1:6">
      <c r="A76" s="348" t="s">
        <v>65</v>
      </c>
      <c r="B76" s="348" t="s">
        <v>714</v>
      </c>
      <c r="C76" s="1311" t="s">
        <v>718</v>
      </c>
      <c r="D76" s="476">
        <v>8676761.5931227822</v>
      </c>
      <c r="E76" s="476">
        <v>9027822.8102678396</v>
      </c>
    </row>
    <row r="77" spans="1:6">
      <c r="A77" s="348" t="s">
        <v>66</v>
      </c>
      <c r="B77" s="348" t="s">
        <v>713</v>
      </c>
      <c r="C77" s="1311" t="s">
        <v>719</v>
      </c>
      <c r="D77" s="476">
        <v>69789228</v>
      </c>
      <c r="E77" s="476">
        <v>74617012.766985089</v>
      </c>
    </row>
    <row r="78" spans="1:6">
      <c r="A78" s="341" t="s">
        <v>66</v>
      </c>
      <c r="B78" s="341" t="s">
        <v>714</v>
      </c>
      <c r="C78" s="341" t="s">
        <v>720</v>
      </c>
      <c r="D78" s="1307">
        <v>9155216</v>
      </c>
      <c r="E78" s="1307">
        <v>9950154.5829242356</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450452.81375443487</v>
      </c>
      <c r="C83" s="476">
        <v>445349.14576374175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12088.39033298098</v>
      </c>
    </row>
    <row r="91" spans="1:6">
      <c r="A91" s="348" t="s">
        <v>68</v>
      </c>
      <c r="B91" s="334">
        <v>3497.1910391049</v>
      </c>
    </row>
    <row r="92" spans="1:6">
      <c r="A92" s="341" t="s">
        <v>69</v>
      </c>
      <c r="B92" s="342">
        <v>5829.9889168713134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3477</v>
      </c>
    </row>
    <row r="98" spans="1:6">
      <c r="A98" s="348" t="s">
        <v>72</v>
      </c>
      <c r="B98" s="334">
        <v>9</v>
      </c>
    </row>
    <row r="99" spans="1:6">
      <c r="A99" s="348" t="s">
        <v>73</v>
      </c>
      <c r="B99" s="334">
        <v>46</v>
      </c>
    </row>
    <row r="100" spans="1:6">
      <c r="A100" s="348" t="s">
        <v>74</v>
      </c>
      <c r="B100" s="334">
        <v>346</v>
      </c>
    </row>
    <row r="101" spans="1:6">
      <c r="A101" s="348" t="s">
        <v>75</v>
      </c>
      <c r="B101" s="334">
        <v>50</v>
      </c>
    </row>
    <row r="102" spans="1:6">
      <c r="A102" s="348" t="s">
        <v>76</v>
      </c>
      <c r="B102" s="334">
        <v>70</v>
      </c>
    </row>
    <row r="103" spans="1:6">
      <c r="A103" s="348" t="s">
        <v>77</v>
      </c>
      <c r="B103" s="334">
        <v>102</v>
      </c>
    </row>
    <row r="104" spans="1:6">
      <c r="A104" s="348" t="s">
        <v>78</v>
      </c>
      <c r="B104" s="334">
        <v>1915</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30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131</v>
      </c>
    </row>
    <row r="130" spans="1:6">
      <c r="A130" s="348" t="s">
        <v>295</v>
      </c>
      <c r="B130" s="334">
        <v>1</v>
      </c>
    </row>
    <row r="131" spans="1:6">
      <c r="A131" s="348" t="s">
        <v>296</v>
      </c>
      <c r="B131" s="334">
        <v>3</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196661.20139308102</v>
      </c>
      <c r="C3" s="43" t="s">
        <v>170</v>
      </c>
      <c r="D3" s="43"/>
      <c r="E3" s="154"/>
      <c r="F3" s="43"/>
      <c r="G3" s="43"/>
      <c r="H3" s="43"/>
      <c r="I3" s="43"/>
      <c r="J3" s="43"/>
      <c r="K3" s="96"/>
    </row>
    <row r="4" spans="1:11">
      <c r="A4" s="384" t="s">
        <v>171</v>
      </c>
      <c r="B4" s="49">
        <f>IF(ISERROR('SEAP template'!B78+'SEAP template'!C78),0,'SEAP template'!B78+'SEAP template'!C78)</f>
        <v>36127.195288957191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3496.1744117647054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0.19817935355167249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4994.5348739495776</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21016.607142857138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0.23764705882352935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1527.9680000000001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1527.9680000000001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0.19817935355167249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302.8117104876419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25742.179</v>
      </c>
      <c r="C5" s="17">
        <f>IF(ISERROR('Eigen informatie GS &amp; warmtenet'!B57),0,'Eigen informatie GS &amp; warmtenet'!B57)</f>
        <v>0</v>
      </c>
      <c r="D5" s="30">
        <f>(SUM(HH_hh_gas_kWh,HH_rest_gas_kWh)/1000)*0.902</f>
        <v>71099.919125196771</v>
      </c>
      <c r="E5" s="17">
        <f>B46*B57</f>
        <v>2109.494754844522</v>
      </c>
      <c r="F5" s="17">
        <f>B51*B62</f>
        <v>9366.572904052613</v>
      </c>
      <c r="G5" s="18"/>
      <c r="H5" s="17"/>
      <c r="I5" s="17"/>
      <c r="J5" s="17">
        <f>B50*B61+C50*C61</f>
        <v>0</v>
      </c>
      <c r="K5" s="17"/>
      <c r="L5" s="17"/>
      <c r="M5" s="17"/>
      <c r="N5" s="17">
        <f>B48*B59+C48*C59</f>
        <v>8695.3848668534265</v>
      </c>
      <c r="O5" s="17">
        <f>B69*B70*B71</f>
        <v>251.69666666666669</v>
      </c>
      <c r="P5" s="17">
        <f>B77*B78*B79/1000-B77*B78*B79/1000/B80</f>
        <v>533.86666666666667</v>
      </c>
    </row>
    <row r="6" spans="1:16">
      <c r="A6" s="16" t="s">
        <v>631</v>
      </c>
      <c r="B6" s="789">
        <f>kWh_PV_kleiner_dan_10kW</f>
        <v>3497.1910391049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29239.370039104899</v>
      </c>
      <c r="C8" s="21">
        <f>C5</f>
        <v>0</v>
      </c>
      <c r="D8" s="21">
        <f>D5</f>
        <v>71099.919125196771</v>
      </c>
      <c r="E8" s="21">
        <f>E5</f>
        <v>2109.494754844522</v>
      </c>
      <c r="F8" s="21">
        <f>F5</f>
        <v>9366.572904052613</v>
      </c>
      <c r="G8" s="21"/>
      <c r="H8" s="21"/>
      <c r="I8" s="21"/>
      <c r="J8" s="21">
        <f>J5</f>
        <v>0</v>
      </c>
      <c r="K8" s="21"/>
      <c r="L8" s="21">
        <f>L5</f>
        <v>0</v>
      </c>
      <c r="M8" s="21">
        <f>M5</f>
        <v>0</v>
      </c>
      <c r="N8" s="21">
        <f>N5</f>
        <v>8695.3848668534265</v>
      </c>
      <c r="O8" s="21">
        <f>O5</f>
        <v>251.69666666666669</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0.19817935355167249</v>
      </c>
      <c r="C10" s="25">
        <f ca="1">'EF ele_warmte'!B22</f>
        <v>0.23764705882352935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5794.6394526079494</v>
      </c>
      <c r="C12" s="23">
        <f ca="1">C10*C8</f>
        <v>0</v>
      </c>
      <c r="D12" s="23">
        <f>D8*D10</f>
        <v>14362.183663289748</v>
      </c>
      <c r="E12" s="23">
        <f>E10*E8</f>
        <v>478.85530934970654</v>
      </c>
      <c r="F12" s="23">
        <f>F10*F8</f>
        <v>2500.8749653820478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3477</v>
      </c>
      <c r="C18" s="166" t="s">
        <v>111</v>
      </c>
      <c r="D18" s="228"/>
      <c r="E18" s="15"/>
    </row>
    <row r="19" spans="1:7">
      <c r="A19" s="171" t="s">
        <v>72</v>
      </c>
      <c r="B19" s="37">
        <f>aantalw2001_ander</f>
        <v>9</v>
      </c>
      <c r="C19" s="166" t="s">
        <v>111</v>
      </c>
      <c r="D19" s="229"/>
      <c r="E19" s="15"/>
    </row>
    <row r="20" spans="1:7">
      <c r="A20" s="171" t="s">
        <v>73</v>
      </c>
      <c r="B20" s="37">
        <f>aantalw2001_propaan</f>
        <v>46</v>
      </c>
      <c r="C20" s="167">
        <f>IF(ISERROR(B20/SUM($B$20,$B$21,$B$22)*100),0,B20/SUM($B$20,$B$21,$B$22)*100)</f>
        <v>10.407239819004525</v>
      </c>
      <c r="D20" s="229"/>
      <c r="E20" s="15"/>
    </row>
    <row r="21" spans="1:7">
      <c r="A21" s="171" t="s">
        <v>74</v>
      </c>
      <c r="B21" s="37">
        <f>aantalw2001_elektriciteit</f>
        <v>346</v>
      </c>
      <c r="C21" s="167">
        <f>IF(ISERROR(B21/SUM($B$20,$B$21,$B$22)*100),0,B21/SUM($B$20,$B$21,$B$22)*100)</f>
        <v>78.280542986425345</v>
      </c>
      <c r="D21" s="229"/>
      <c r="E21" s="15"/>
    </row>
    <row r="22" spans="1:7">
      <c r="A22" s="171" t="s">
        <v>75</v>
      </c>
      <c r="B22" s="37">
        <f>aantalw2001_hout</f>
        <v>50</v>
      </c>
      <c r="C22" s="167">
        <f>IF(ISERROR(B22/SUM($B$20,$B$21,$B$22)*100),0,B22/SUM($B$20,$B$21,$B$22)*100)</f>
        <v>11.312217194570136</v>
      </c>
      <c r="D22" s="229"/>
      <c r="E22" s="15"/>
    </row>
    <row r="23" spans="1:7">
      <c r="A23" s="171" t="s">
        <v>76</v>
      </c>
      <c r="B23" s="37">
        <f>aantalw2001_niet_gespec</f>
        <v>70</v>
      </c>
      <c r="C23" s="166" t="s">
        <v>111</v>
      </c>
      <c r="D23" s="228"/>
      <c r="E23" s="15"/>
    </row>
    <row r="24" spans="1:7">
      <c r="A24" s="171" t="s">
        <v>77</v>
      </c>
      <c r="B24" s="37">
        <f>aantalw2001_steenkool</f>
        <v>102</v>
      </c>
      <c r="C24" s="166" t="s">
        <v>111</v>
      </c>
      <c r="D24" s="229"/>
      <c r="E24" s="15"/>
    </row>
    <row r="25" spans="1:7">
      <c r="A25" s="171" t="s">
        <v>78</v>
      </c>
      <c r="B25" s="37">
        <f>aantalw2001_stookolie</f>
        <v>1915</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6949</v>
      </c>
      <c r="C28" s="36"/>
      <c r="D28" s="228"/>
    </row>
    <row r="29" spans="1:7" s="15" customFormat="1">
      <c r="A29" s="230" t="s">
        <v>741</v>
      </c>
      <c r="B29" s="37">
        <f>SUM(HH_hh_gas_aantal,HH_rest_gas_aantal)</f>
        <v>5182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5182</v>
      </c>
      <c r="C32" s="167">
        <f>IF(ISERROR(B32/SUM($B$32,$B$34,$B$35,$B$36,$B$38,$B$39)*100),0,B32/SUM($B$32,$B$34,$B$35,$B$36,$B$38,$B$39)*100)</f>
        <v>74.873573183066028</v>
      </c>
      <c r="D32" s="233"/>
      <c r="G32" s="15"/>
    </row>
    <row r="33" spans="1:7">
      <c r="A33" s="171" t="s">
        <v>72</v>
      </c>
      <c r="B33" s="34" t="s">
        <v>111</v>
      </c>
      <c r="C33" s="167"/>
      <c r="D33" s="233"/>
      <c r="G33" s="15"/>
    </row>
    <row r="34" spans="1:7">
      <c r="A34" s="171" t="s">
        <v>73</v>
      </c>
      <c r="B34" s="33">
        <f>IF((($B$28-$B$32-$B$39-$B$77-$B$38)*C20/100)&lt;0,0,($B$28-$B$32-$B$39-$B$77-$B$38)*C20/100)</f>
        <v>141.38235294117646</v>
      </c>
      <c r="C34" s="167">
        <f>IF(ISERROR(B34/SUM($B$32,$B$34,$B$35,$B$36,$B$38,$B$39)*100),0,B34/SUM($B$32,$B$34,$B$35,$B$36,$B$38,$B$39)*100)</f>
        <v>2.0428023831986195</v>
      </c>
      <c r="D34" s="233"/>
      <c r="G34" s="15"/>
    </row>
    <row r="35" spans="1:7">
      <c r="A35" s="171" t="s">
        <v>74</v>
      </c>
      <c r="B35" s="33">
        <f>IF((($B$28-$B$32-$B$39-$B$77-$B$38)*C21/100)&lt;0,0,($B$28-$B$32-$B$39-$B$77-$B$38)*C21/100)</f>
        <v>1063.4411764705883</v>
      </c>
      <c r="C35" s="167">
        <f>IF(ISERROR(B35/SUM($B$32,$B$34,$B$35,$B$36,$B$38,$B$39)*100),0,B35/SUM($B$32,$B$34,$B$35,$B$36,$B$38,$B$39)*100)</f>
        <v>15.365426621450487</v>
      </c>
      <c r="D35" s="233"/>
      <c r="G35" s="15"/>
    </row>
    <row r="36" spans="1:7">
      <c r="A36" s="171" t="s">
        <v>75</v>
      </c>
      <c r="B36" s="33">
        <f>IF((($B$28-$B$32-$B$39-$B$77-$B$38)*C22/100)&lt;0,0,($B$28-$B$32-$B$39-$B$77-$B$38)*C22/100)</f>
        <v>153.6764705882353</v>
      </c>
      <c r="C36" s="167">
        <f>IF(ISERROR(B36/SUM($B$32,$B$34,$B$35,$B$36,$B$38,$B$39)*100),0,B36/SUM($B$32,$B$34,$B$35,$B$36,$B$38,$B$39)*100)</f>
        <v>2.2204373730419782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380.5</v>
      </c>
      <c r="C39" s="167">
        <f>IF(ISERROR(B39/SUM($B$32,$B$34,$B$35,$B$36,$B$38,$B$39)*100),0,B39/SUM($B$32,$B$34,$B$35,$B$36,$B$38,$B$39)*100)</f>
        <v>5.4977604392428843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5182</v>
      </c>
      <c r="C44" s="34" t="s">
        <v>111</v>
      </c>
      <c r="D44" s="174"/>
    </row>
    <row r="45" spans="1:7">
      <c r="A45" s="171" t="s">
        <v>72</v>
      </c>
      <c r="B45" s="33" t="str">
        <f t="shared" si="0"/>
        <v>-</v>
      </c>
      <c r="C45" s="34" t="s">
        <v>111</v>
      </c>
      <c r="D45" s="174"/>
    </row>
    <row r="46" spans="1:7">
      <c r="A46" s="171" t="s">
        <v>73</v>
      </c>
      <c r="B46" s="33">
        <f t="shared" si="0"/>
        <v>141.38235294117646</v>
      </c>
      <c r="C46" s="34" t="s">
        <v>111</v>
      </c>
      <c r="D46" s="174"/>
    </row>
    <row r="47" spans="1:7">
      <c r="A47" s="171" t="s">
        <v>74</v>
      </c>
      <c r="B47" s="33">
        <f t="shared" si="0"/>
        <v>1063.4411764705883</v>
      </c>
      <c r="C47" s="34" t="s">
        <v>111</v>
      </c>
      <c r="D47" s="174"/>
    </row>
    <row r="48" spans="1:7">
      <c r="A48" s="171" t="s">
        <v>75</v>
      </c>
      <c r="B48" s="33">
        <f t="shared" si="0"/>
        <v>153.6764705882353</v>
      </c>
      <c r="C48" s="33">
        <f>B48*10</f>
        <v>1536.7647058823532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380.5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27607.900600000001</v>
      </c>
      <c r="C5" s="17">
        <f>IF(ISERROR('Eigen informatie GS &amp; warmtenet'!B58),0,'Eigen informatie GS &amp; warmtenet'!B58)</f>
        <v>0</v>
      </c>
      <c r="D5" s="30">
        <f>SUM(D6:D12)</f>
        <v>25630.769820170564</v>
      </c>
      <c r="E5" s="17">
        <f>SUM(E6:E12)</f>
        <v>267.78439216575975</v>
      </c>
      <c r="F5" s="17">
        <f>SUM(F6:F12)</f>
        <v>4133.9838001494127</v>
      </c>
      <c r="G5" s="18"/>
      <c r="H5" s="17"/>
      <c r="I5" s="17"/>
      <c r="J5" s="17">
        <f>SUM(J6:J12)</f>
        <v>0</v>
      </c>
      <c r="K5" s="17"/>
      <c r="L5" s="17"/>
      <c r="M5" s="17"/>
      <c r="N5" s="17">
        <f>SUM(N6:N12)</f>
        <v>2830.3258531531037</v>
      </c>
      <c r="O5" s="17">
        <f>B38*B39*B40</f>
        <v>1.5633333333333335</v>
      </c>
      <c r="P5" s="17">
        <f>B46*B47*B48/1000-B46*B47*B48/1000/B49</f>
        <v>57.2</v>
      </c>
      <c r="R5" s="32"/>
    </row>
    <row r="6" spans="1:18">
      <c r="A6" s="32" t="s">
        <v>54</v>
      </c>
      <c r="B6" s="37">
        <f>B26</f>
        <v>6459.1360000000004</v>
      </c>
      <c r="C6" s="33"/>
      <c r="D6" s="37">
        <f>IF(ISERROR(TER_kantoor_gas_kWh/1000),0,TER_kantoor_gas_kWh/1000)*0.902</f>
        <v>9542.7960430051426</v>
      </c>
      <c r="E6" s="33">
        <f>$C$26*'E Balans VL '!I12/100/3.6*1000000</f>
        <v>18.71306468162658</v>
      </c>
      <c r="F6" s="33">
        <f>$C$26*('E Balans VL '!L12+'E Balans VL '!N12)/100/3.6*1000000</f>
        <v>731.03188940061784</v>
      </c>
      <c r="G6" s="34"/>
      <c r="H6" s="33"/>
      <c r="I6" s="33"/>
      <c r="J6" s="33">
        <f>$C$26*('E Balans VL '!D12+'E Balans VL '!E12)/100/3.6*1000000</f>
        <v>0</v>
      </c>
      <c r="K6" s="33"/>
      <c r="L6" s="33"/>
      <c r="M6" s="33"/>
      <c r="N6" s="33">
        <f>$C$26*'E Balans VL '!Y12/100/3.6*1000000</f>
        <v>64.651192056098139</v>
      </c>
      <c r="O6" s="33"/>
      <c r="P6" s="33"/>
      <c r="R6" s="32"/>
    </row>
    <row r="7" spans="1:18">
      <c r="A7" s="32" t="s">
        <v>53</v>
      </c>
      <c r="B7" s="37">
        <f t="shared" ref="B7:B12" si="0">B27</f>
        <v>2411.5520000000001</v>
      </c>
      <c r="C7" s="33"/>
      <c r="D7" s="37">
        <f>IF(ISERROR(TER_horeca_gas_kWh/1000),0,TER_horeca_gas_kWh/1000)*0.902</f>
        <v>2255.7344705352439</v>
      </c>
      <c r="E7" s="33">
        <f>$C$27*'E Balans VL '!I9/100/3.6*1000000</f>
        <v>101.23021521687565</v>
      </c>
      <c r="F7" s="33">
        <f>$C$27*('E Balans VL '!L9+'E Balans VL '!N9)/100/3.6*1000000</f>
        <v>518.17140073143935</v>
      </c>
      <c r="G7" s="34"/>
      <c r="H7" s="33"/>
      <c r="I7" s="33"/>
      <c r="J7" s="33">
        <f>$C$27*('E Balans VL '!D9+'E Balans VL '!E9)/100/3.6*1000000</f>
        <v>0</v>
      </c>
      <c r="K7" s="33"/>
      <c r="L7" s="33"/>
      <c r="M7" s="33"/>
      <c r="N7" s="33">
        <f>$C$27*'E Balans VL '!Y9/100/3.6*1000000</f>
        <v>0.62143586061267919</v>
      </c>
      <c r="O7" s="33"/>
      <c r="P7" s="33"/>
      <c r="R7" s="32"/>
    </row>
    <row r="8" spans="1:18">
      <c r="A8" s="6" t="s">
        <v>52</v>
      </c>
      <c r="B8" s="37">
        <f t="shared" si="0"/>
        <v>6754.3940000000002</v>
      </c>
      <c r="C8" s="33"/>
      <c r="D8" s="37">
        <f>IF(ISERROR(TER_handel_gas_kWh/1000),0,TER_handel_gas_kWh/1000)*0.902</f>
        <v>3646.3115535399038</v>
      </c>
      <c r="E8" s="33">
        <f>$C$28*'E Balans VL '!I13/100/3.6*1000000</f>
        <v>72.54781308232549</v>
      </c>
      <c r="F8" s="33">
        <f>$C$28*('E Balans VL '!L13+'E Balans VL '!N13)/100/3.6*1000000</f>
        <v>874.41207993582839</v>
      </c>
      <c r="G8" s="34"/>
      <c r="H8" s="33"/>
      <c r="I8" s="33"/>
      <c r="J8" s="33">
        <f>$C$28*('E Balans VL '!D13+'E Balans VL '!E13)/100/3.6*1000000</f>
        <v>0</v>
      </c>
      <c r="K8" s="33"/>
      <c r="L8" s="33"/>
      <c r="M8" s="33"/>
      <c r="N8" s="33">
        <f>$C$28*'E Balans VL '!Y13/100/3.6*1000000</f>
        <v>54.792012933947909</v>
      </c>
      <c r="O8" s="33"/>
      <c r="P8" s="33"/>
      <c r="R8" s="32"/>
    </row>
    <row r="9" spans="1:18">
      <c r="A9" s="32" t="s">
        <v>51</v>
      </c>
      <c r="B9" s="37">
        <f t="shared" si="0"/>
        <v>1482.943</v>
      </c>
      <c r="C9" s="33"/>
      <c r="D9" s="37">
        <f>IF(ISERROR(TER_gezond_gas_kWh/1000),0,TER_gezond_gas_kWh/1000)*0.902</f>
        <v>1028.7487280429841</v>
      </c>
      <c r="E9" s="33">
        <f>$C$29*'E Balans VL '!I10/100/3.6*1000000</f>
        <v>1.1805185421836231</v>
      </c>
      <c r="F9" s="33">
        <f>$C$29*('E Balans VL '!L10+'E Balans VL '!N10)/100/3.6*1000000</f>
        <v>180.27315210659989</v>
      </c>
      <c r="G9" s="34"/>
      <c r="H9" s="33"/>
      <c r="I9" s="33"/>
      <c r="J9" s="33">
        <f>$C$29*('E Balans VL '!D10+'E Balans VL '!E10)/100/3.6*1000000</f>
        <v>0</v>
      </c>
      <c r="K9" s="33"/>
      <c r="L9" s="33"/>
      <c r="M9" s="33"/>
      <c r="N9" s="33">
        <f>$C$29*'E Balans VL '!Y10/100/3.6*1000000</f>
        <v>11.978820674065817</v>
      </c>
      <c r="O9" s="33"/>
      <c r="P9" s="33"/>
      <c r="R9" s="32"/>
    </row>
    <row r="10" spans="1:18">
      <c r="A10" s="32" t="s">
        <v>50</v>
      </c>
      <c r="B10" s="37">
        <f t="shared" si="0"/>
        <v>2978.6370000000002</v>
      </c>
      <c r="C10" s="33"/>
      <c r="D10" s="37">
        <f>IF(ISERROR(TER_ander_gas_kWh/1000),0,TER_ander_gas_kWh/1000)*0.902</f>
        <v>1188.1268262244041</v>
      </c>
      <c r="E10" s="33">
        <f>$C$30*'E Balans VL '!I14/100/3.6*1000000</f>
        <v>10.20794547652976</v>
      </c>
      <c r="F10" s="33">
        <f>$C$30*('E Balans VL '!L14+'E Balans VL '!N14)/100/3.6*1000000</f>
        <v>665.30646825012002</v>
      </c>
      <c r="G10" s="34"/>
      <c r="H10" s="33"/>
      <c r="I10" s="33"/>
      <c r="J10" s="33">
        <f>$C$30*('E Balans VL '!D14+'E Balans VL '!E14)/100/3.6*1000000</f>
        <v>0</v>
      </c>
      <c r="K10" s="33"/>
      <c r="L10" s="33"/>
      <c r="M10" s="33"/>
      <c r="N10" s="33">
        <f>$C$30*'E Balans VL '!Y14/100/3.6*1000000</f>
        <v>2098.168174775858</v>
      </c>
      <c r="O10" s="33"/>
      <c r="P10" s="33"/>
      <c r="R10" s="32"/>
    </row>
    <row r="11" spans="1:18">
      <c r="A11" s="32" t="s">
        <v>55</v>
      </c>
      <c r="B11" s="37">
        <f t="shared" si="0"/>
        <v>490.52359999999999</v>
      </c>
      <c r="C11" s="33"/>
      <c r="D11" s="37">
        <f>IF(ISERROR(TER_onderwijs_gas_kWh/1000),0,TER_onderwijs_gas_kWh/1000)*0.902</f>
        <v>1711.4491512470088</v>
      </c>
      <c r="E11" s="33">
        <f>$C$31*'E Balans VL '!I11/100/3.6*1000000</f>
        <v>0.3390838577420548</v>
      </c>
      <c r="F11" s="33">
        <f>$C$31*('E Balans VL '!L11+'E Balans VL '!N11)/100/3.6*1000000</f>
        <v>128.40482973622051</v>
      </c>
      <c r="G11" s="34"/>
      <c r="H11" s="33"/>
      <c r="I11" s="33"/>
      <c r="J11" s="33">
        <f>$C$31*('E Balans VL '!D11+'E Balans VL '!E11)/100/3.6*1000000</f>
        <v>0</v>
      </c>
      <c r="K11" s="33"/>
      <c r="L11" s="33"/>
      <c r="M11" s="33"/>
      <c r="N11" s="33">
        <f>$C$31*'E Balans VL '!Y11/100/3.6*1000000</f>
        <v>0.48827446425890142</v>
      </c>
      <c r="O11" s="33"/>
      <c r="P11" s="33"/>
      <c r="R11" s="32"/>
    </row>
    <row r="12" spans="1:18">
      <c r="A12" s="32" t="s">
        <v>260</v>
      </c>
      <c r="B12" s="37">
        <f t="shared" si="0"/>
        <v>7030.7150000000001</v>
      </c>
      <c r="C12" s="33"/>
      <c r="D12" s="37">
        <f>IF(ISERROR(TER_rest_gas_kWh/1000),0,TER_rest_gas_kWh/1000)*0.902</f>
        <v>6257.6030475758753</v>
      </c>
      <c r="E12" s="33">
        <f>$C$32*'E Balans VL '!I8/100/3.6*1000000</f>
        <v>63.565751308476564</v>
      </c>
      <c r="F12" s="33">
        <f>$C$32*('E Balans VL '!L8+'E Balans VL '!N8)/100/3.6*1000000</f>
        <v>1036.383979988587</v>
      </c>
      <c r="G12" s="34"/>
      <c r="H12" s="33"/>
      <c r="I12" s="33"/>
      <c r="J12" s="33">
        <f>$C$32*('E Balans VL '!D8+'E Balans VL '!E8)/100/3.6*1000000</f>
        <v>0</v>
      </c>
      <c r="K12" s="33"/>
      <c r="L12" s="33"/>
      <c r="M12" s="33"/>
      <c r="N12" s="33">
        <f>$C$32*'E Balans VL '!Y8/100/3.6*1000000</f>
        <v>599.62594238826227</v>
      </c>
      <c r="O12" s="33"/>
      <c r="P12" s="33"/>
      <c r="R12" s="32"/>
    </row>
    <row r="13" spans="1:18">
      <c r="A13" s="16" t="s">
        <v>494</v>
      </c>
      <c r="B13" s="247">
        <f ca="1">'lokale energieproductie'!N91+'lokale energieproductie'!N60</f>
        <v>50.625</v>
      </c>
      <c r="C13" s="247">
        <f ca="1">'lokale energieproductie'!O91+'lokale energieproductie'!O60</f>
        <v>72.321428571428569</v>
      </c>
      <c r="D13" s="310">
        <f ca="1">('lokale energieproductie'!P60+'lokale energieproductie'!P91)*(-1)</f>
        <v>-144.64285714285714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27658.525600000001</v>
      </c>
      <c r="C16" s="21">
        <f t="shared" ca="1" si="1"/>
        <v>72.321428571428569</v>
      </c>
      <c r="D16" s="21">
        <f t="shared" ca="1" si="1"/>
        <v>25486.126963027706</v>
      </c>
      <c r="E16" s="21">
        <f t="shared" si="1"/>
        <v>267.78439216575975</v>
      </c>
      <c r="F16" s="21">
        <f t="shared" ca="1" si="1"/>
        <v>4133.9838001494127</v>
      </c>
      <c r="G16" s="21">
        <f t="shared" si="1"/>
        <v>0</v>
      </c>
      <c r="H16" s="21">
        <f t="shared" si="1"/>
        <v>0</v>
      </c>
      <c r="I16" s="21">
        <f t="shared" si="1"/>
        <v>0</v>
      </c>
      <c r="J16" s="21">
        <f t="shared" si="1"/>
        <v>0</v>
      </c>
      <c r="K16" s="21">
        <f t="shared" si="1"/>
        <v>0</v>
      </c>
      <c r="L16" s="21">
        <f t="shared" ca="1" si="1"/>
        <v>0</v>
      </c>
      <c r="M16" s="21">
        <f t="shared" si="1"/>
        <v>0</v>
      </c>
      <c r="N16" s="21">
        <f t="shared" ca="1" si="1"/>
        <v>2830.3258531531037</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0.19817935355167249</v>
      </c>
      <c r="C18" s="25">
        <f ca="1">'EF ele_warmte'!B22</f>
        <v>0.23764705882352935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5481.3487236003848</v>
      </c>
      <c r="C20" s="23">
        <f t="shared" ref="C20:P20" ca="1" si="2">C16*C18</f>
        <v>17.186974789915961</v>
      </c>
      <c r="D20" s="23">
        <f t="shared" ca="1" si="2"/>
        <v>5148.1976465315965</v>
      </c>
      <c r="E20" s="23">
        <f t="shared" si="2"/>
        <v>60.787057021627469</v>
      </c>
      <c r="F20" s="23">
        <f t="shared" ca="1" si="2"/>
        <v>1103.7736746398932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6459.1360000000004</v>
      </c>
      <c r="C26" s="39">
        <f>IF(ISERROR(B26*3.6/1000000/'E Balans VL '!Z12*100),0,B26*3.6/1000000/'E Balans VL '!Z12*100)</f>
        <v>0.14188238974899178</v>
      </c>
      <c r="D26" s="237" t="s">
        <v>692</v>
      </c>
      <c r="F26" s="6"/>
    </row>
    <row r="27" spans="1:18">
      <c r="A27" s="231" t="s">
        <v>53</v>
      </c>
      <c r="B27" s="33">
        <f>IF(ISERROR(TER_horeca_ele_kWh/1000),0,TER_horeca_ele_kWh/1000)</f>
        <v>2411.5520000000001</v>
      </c>
      <c r="C27" s="39">
        <f>IF(ISERROR(B27*3.6/1000000/'E Balans VL '!Z9*100),0,B27*3.6/1000000/'E Balans VL '!Z9*100)</f>
        <v>0.19379224183425822</v>
      </c>
      <c r="D27" s="237" t="s">
        <v>692</v>
      </c>
      <c r="F27" s="6"/>
    </row>
    <row r="28" spans="1:18">
      <c r="A28" s="171" t="s">
        <v>52</v>
      </c>
      <c r="B28" s="33">
        <f>IF(ISERROR(TER_handel_ele_kWh/1000),0,TER_handel_ele_kWh/1000)</f>
        <v>6754.3940000000002</v>
      </c>
      <c r="C28" s="39">
        <f>IF(ISERROR(B28*3.6/1000000/'E Balans VL '!Z13*100),0,B28*3.6/1000000/'E Balans VL '!Z13*100)</f>
        <v>0.19972271186127472</v>
      </c>
      <c r="D28" s="237" t="s">
        <v>692</v>
      </c>
      <c r="F28" s="6"/>
    </row>
    <row r="29" spans="1:18">
      <c r="A29" s="231" t="s">
        <v>51</v>
      </c>
      <c r="B29" s="33">
        <f>IF(ISERROR(TER_gezond_ele_kWh/1000),0,TER_gezond_ele_kWh/1000)</f>
        <v>1482.943</v>
      </c>
      <c r="C29" s="39">
        <f>IF(ISERROR(B29*3.6/1000000/'E Balans VL '!Z10*100),0,B29*3.6/1000000/'E Balans VL '!Z10*100)</f>
        <v>0.16708938988667824</v>
      </c>
      <c r="D29" s="237" t="s">
        <v>692</v>
      </c>
      <c r="F29" s="6"/>
    </row>
    <row r="30" spans="1:18">
      <c r="A30" s="231" t="s">
        <v>50</v>
      </c>
      <c r="B30" s="33">
        <f>IF(ISERROR(TER_ander_ele_kWh/1000),0,TER_ander_ele_kWh/1000)</f>
        <v>2978.6370000000002</v>
      </c>
      <c r="C30" s="39">
        <f>IF(ISERROR(B30*3.6/1000000/'E Balans VL '!Z14*100),0,B30*3.6/1000000/'E Balans VL '!Z14*100)</f>
        <v>0.22526922456004317</v>
      </c>
      <c r="D30" s="237" t="s">
        <v>692</v>
      </c>
      <c r="F30" s="6"/>
    </row>
    <row r="31" spans="1:18">
      <c r="A31" s="231" t="s">
        <v>55</v>
      </c>
      <c r="B31" s="33">
        <f>IF(ISERROR(TER_onderwijs_ele_kWh/1000),0,TER_onderwijs_ele_kWh/1000)</f>
        <v>490.52359999999999</v>
      </c>
      <c r="C31" s="39">
        <f>IF(ISERROR(B31*3.6/1000000/'E Balans VL '!Z11*100),0,B31*3.6/1000000/'E Balans VL '!Z11*100)</f>
        <v>0.10182131234347547</v>
      </c>
      <c r="D31" s="237" t="s">
        <v>692</v>
      </c>
    </row>
    <row r="32" spans="1:18">
      <c r="A32" s="231" t="s">
        <v>260</v>
      </c>
      <c r="B32" s="33">
        <f>IF(ISERROR(TER_rest_ele_kWh/1000),0,TER_rest_ele_kWh/1000)</f>
        <v>7030.7150000000001</v>
      </c>
      <c r="C32" s="39">
        <f>IF(ISERROR(B32*3.6/1000000/'E Balans VL '!Z8*100),0,B32*3.6/1000000/'E Balans VL '!Z8*100)</f>
        <v>5.9229637845430658E-2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121821.03599999999</v>
      </c>
      <c r="C5" s="17">
        <f>IF(ISERROR('Eigen informatie GS &amp; warmtenet'!B59),0,'Eigen informatie GS &amp; warmtenet'!B59)</f>
        <v>0</v>
      </c>
      <c r="D5" s="30">
        <f>SUM(D6:D15)</f>
        <v>150821.68291280791</v>
      </c>
      <c r="E5" s="17">
        <f>SUM(E6:E15)</f>
        <v>5195.641412824797</v>
      </c>
      <c r="F5" s="17">
        <f>SUM(F6:F15)</f>
        <v>46393.335011614261</v>
      </c>
      <c r="G5" s="18"/>
      <c r="H5" s="17"/>
      <c r="I5" s="17"/>
      <c r="J5" s="17">
        <f>SUM(J6:J15)</f>
        <v>532.64701850983602</v>
      </c>
      <c r="K5" s="17"/>
      <c r="L5" s="17"/>
      <c r="M5" s="17"/>
      <c r="N5" s="17">
        <f>SUM(N6:N15)</f>
        <v>19846.035051082596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1554.63</v>
      </c>
      <c r="C8" s="33"/>
      <c r="D8" s="37">
        <f>IF( ISERROR(IND_metaal_Gas_kWH/1000),0,IND_metaal_Gas_kWH/1000)*0.902</f>
        <v>208.34386259980394</v>
      </c>
      <c r="E8" s="33">
        <f>C30*'E Balans VL '!I18/100/3.6*1000000</f>
        <v>38.906947811567719</v>
      </c>
      <c r="F8" s="33">
        <f>C30*'E Balans VL '!L18/100/3.6*1000000+C30*'E Balans VL '!N18/100/3.6*1000000</f>
        <v>487.22877512731907</v>
      </c>
      <c r="G8" s="34"/>
      <c r="H8" s="33"/>
      <c r="I8" s="33"/>
      <c r="J8" s="40">
        <f>C30*'E Balans VL '!D18/100/3.6*1000000+C30*'E Balans VL '!E18/100/3.6*1000000</f>
        <v>0</v>
      </c>
      <c r="K8" s="33"/>
      <c r="L8" s="33"/>
      <c r="M8" s="33"/>
      <c r="N8" s="33">
        <f>C30*'E Balans VL '!Y18/100/3.6*1000000</f>
        <v>39.056340216671288</v>
      </c>
      <c r="O8" s="33"/>
      <c r="P8" s="33"/>
      <c r="R8" s="32"/>
    </row>
    <row r="9" spans="1:18">
      <c r="A9" s="6" t="s">
        <v>33</v>
      </c>
      <c r="B9" s="37">
        <f t="shared" si="0"/>
        <v>9651.1640000000007</v>
      </c>
      <c r="C9" s="33"/>
      <c r="D9" s="37">
        <f>IF( ISERROR(IND_andere_gas_kWh/1000),0,IND_andere_gas_kWh/1000)*0.902</f>
        <v>1060.9411989966957</v>
      </c>
      <c r="E9" s="33">
        <f>C31*'E Balans VL '!I19/100/3.6*1000000</f>
        <v>2653.6742569719922</v>
      </c>
      <c r="F9" s="33">
        <f>C31*'E Balans VL '!L19/100/3.6*1000000+C31*'E Balans VL '!N19/100/3.6*1000000</f>
        <v>7606.796655115154</v>
      </c>
      <c r="G9" s="34"/>
      <c r="H9" s="33"/>
      <c r="I9" s="33"/>
      <c r="J9" s="40">
        <f>C31*'E Balans VL '!D19/100/3.6*1000000+C31*'E Balans VL '!E19/100/3.6*1000000</f>
        <v>0</v>
      </c>
      <c r="K9" s="33"/>
      <c r="L9" s="33"/>
      <c r="M9" s="33"/>
      <c r="N9" s="33">
        <f>C31*'E Balans VL '!Y19/100/3.6*1000000</f>
        <v>3124.3365349002711</v>
      </c>
      <c r="O9" s="33"/>
      <c r="P9" s="33"/>
      <c r="R9" s="32"/>
    </row>
    <row r="10" spans="1:18">
      <c r="A10" s="6" t="s">
        <v>41</v>
      </c>
      <c r="B10" s="37">
        <f t="shared" si="0"/>
        <v>14843.093000000001</v>
      </c>
      <c r="C10" s="33"/>
      <c r="D10" s="37">
        <f>IF( ISERROR(IND_voed_gas_kWh/1000),0,IND_voed_gas_kWh/1000)*0.902</f>
        <v>26640.654041726961</v>
      </c>
      <c r="E10" s="33">
        <f>C32*'E Balans VL '!I20/100/3.6*1000000</f>
        <v>151.31715602840754</v>
      </c>
      <c r="F10" s="33">
        <f>C32*'E Balans VL '!L20/100/3.6*1000000+C32*'E Balans VL '!N20/100/3.6*1000000</f>
        <v>28038.509842414696</v>
      </c>
      <c r="G10" s="34"/>
      <c r="H10" s="33"/>
      <c r="I10" s="33"/>
      <c r="J10" s="40">
        <f>C32*'E Balans VL '!D20/100/3.6*1000000+C32*'E Balans VL '!E20/100/3.6*1000000</f>
        <v>355.24378231017732</v>
      </c>
      <c r="K10" s="33"/>
      <c r="L10" s="33"/>
      <c r="M10" s="33"/>
      <c r="N10" s="33">
        <f>C32*'E Balans VL '!Y20/100/3.6*1000000</f>
        <v>7824.0197256622923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53486.269</v>
      </c>
      <c r="C14" s="33"/>
      <c r="D14" s="37">
        <f>IF( ISERROR(IND_chemie_gas_kWh/1000),0,IND_chemie_gas_kWh/1000)*0.902</f>
        <v>94954.905042745435</v>
      </c>
      <c r="E14" s="33">
        <f>C36*'E Balans VL '!I24/100/3.6*1000000</f>
        <v>200.5288125862503</v>
      </c>
      <c r="F14" s="33">
        <f>C36*'E Balans VL '!L24/100/3.6*1000000+C36*'E Balans VL '!N24/100/3.6*1000000</f>
        <v>622.25671391297783</v>
      </c>
      <c r="G14" s="34"/>
      <c r="H14" s="33"/>
      <c r="I14" s="33"/>
      <c r="J14" s="40">
        <f>C36*'E Balans VL '!D24/100/3.6*1000000+C36*'E Balans VL '!E24/100/3.6*1000000</f>
        <v>0</v>
      </c>
      <c r="K14" s="33"/>
      <c r="L14" s="33"/>
      <c r="M14" s="33"/>
      <c r="N14" s="33">
        <f>C36*'E Balans VL '!Y24/100/3.6*1000000</f>
        <v>913.78723676117227</v>
      </c>
      <c r="O14" s="33"/>
      <c r="P14" s="33"/>
      <c r="R14" s="32"/>
    </row>
    <row r="15" spans="1:18">
      <c r="A15" s="6" t="s">
        <v>270</v>
      </c>
      <c r="B15" s="37">
        <f t="shared" si="0"/>
        <v>42285.88</v>
      </c>
      <c r="C15" s="33"/>
      <c r="D15" s="37">
        <f>IF( ISERROR(IND_rest_gas_kWh/1000),0,IND_rest_gas_kWh/1000)*0.902</f>
        <v>27956.838766739034</v>
      </c>
      <c r="E15" s="33">
        <f>C37*'E Balans VL '!I15/100/3.6*1000000</f>
        <v>2151.2142394265793</v>
      </c>
      <c r="F15" s="33">
        <f>C37*'E Balans VL '!L15/100/3.6*1000000+C37*'E Balans VL '!N15/100/3.6*1000000</f>
        <v>9638.5430250441132</v>
      </c>
      <c r="G15" s="34"/>
      <c r="H15" s="33"/>
      <c r="I15" s="33"/>
      <c r="J15" s="40">
        <f>C37*'E Balans VL '!D15/100/3.6*1000000+C37*'E Balans VL '!E15/100/3.6*1000000</f>
        <v>177.40323619965864</v>
      </c>
      <c r="K15" s="33"/>
      <c r="L15" s="33"/>
      <c r="M15" s="33"/>
      <c r="N15" s="33">
        <f>C37*'E Balans VL '!Y15/100/3.6*1000000</f>
        <v>7944.8352135421883</v>
      </c>
      <c r="O15" s="33"/>
      <c r="P15" s="33"/>
      <c r="R15" s="32"/>
    </row>
    <row r="16" spans="1:18">
      <c r="A16" s="16" t="s">
        <v>494</v>
      </c>
      <c r="B16" s="247">
        <f>'lokale energieproductie'!N90+'lokale energieproductie'!N59</f>
        <v>14660.999999999998</v>
      </c>
      <c r="C16" s="247">
        <f>'lokale energieproductie'!O90+'lokale energieproductie'!O59</f>
        <v>20944.28571428571</v>
      </c>
      <c r="D16" s="310">
        <f>('lokale energieproductie'!P59+'lokale energieproductie'!P90)*(-1)</f>
        <v>-41888.57142857142</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136482.03599999999</v>
      </c>
      <c r="C18" s="21">
        <f>C5+C16</f>
        <v>20944.28571428571</v>
      </c>
      <c r="D18" s="21">
        <f>MAX((D5+D16),0)</f>
        <v>108933.11148423649</v>
      </c>
      <c r="E18" s="21">
        <f>MAX((E5+E16),0)</f>
        <v>5195.641412824797</v>
      </c>
      <c r="F18" s="21">
        <f>MAX((F5+F16),0)</f>
        <v>46393.335011614261</v>
      </c>
      <c r="G18" s="21"/>
      <c r="H18" s="21"/>
      <c r="I18" s="21"/>
      <c r="J18" s="21">
        <f>MAX((J5+J16),0)</f>
        <v>532.64701850983602</v>
      </c>
      <c r="K18" s="21"/>
      <c r="L18" s="21">
        <f>MAX((L5+L16),0)</f>
        <v>0</v>
      </c>
      <c r="M18" s="21"/>
      <c r="N18" s="21">
        <f>MAX((N5+N16),0)</f>
        <v>19846.035051082596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0.19817935355167249</v>
      </c>
      <c r="C20" s="25">
        <f ca="1">'EF ele_warmte'!B22</f>
        <v>0.23764705882352935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27047.92166589609</v>
      </c>
      <c r="C22" s="23">
        <f ca="1">C18*C20</f>
        <v>4977.3478991596612</v>
      </c>
      <c r="D22" s="23">
        <f>D18*D20</f>
        <v>22004.488519815772</v>
      </c>
      <c r="E22" s="23">
        <f>E18*E20</f>
        <v>1179.4106007112289</v>
      </c>
      <c r="F22" s="23">
        <f>F18*F20</f>
        <v>12387.020448101008</v>
      </c>
      <c r="G22" s="23"/>
      <c r="H22" s="23"/>
      <c r="I22" s="23"/>
      <c r="J22" s="23">
        <f>J18*J20</f>
        <v>188.55704455248193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1554.63</v>
      </c>
      <c r="C30" s="39">
        <f>IF(ISERROR(B30*3.6/1000000/'E Balans VL '!Z18*100),0,B30*3.6/1000000/'E Balans VL '!Z18*100)</f>
        <v>0.2175963913829044</v>
      </c>
      <c r="D30" s="237" t="s">
        <v>692</v>
      </c>
    </row>
    <row r="31" spans="1:18">
      <c r="A31" s="6" t="s">
        <v>33</v>
      </c>
      <c r="B31" s="37">
        <f>IF( ISERROR(IND_ander_ele_kWh/1000),0,IND_ander_ele_kWh/1000)</f>
        <v>9651.1640000000007</v>
      </c>
      <c r="C31" s="39">
        <f>IF(ISERROR(B31*3.6/1000000/'E Balans VL '!Z19*100),0,B31*3.6/1000000/'E Balans VL '!Z19*100)</f>
        <v>0.42242988263876186</v>
      </c>
      <c r="D31" s="237" t="s">
        <v>692</v>
      </c>
    </row>
    <row r="32" spans="1:18">
      <c r="A32" s="171" t="s">
        <v>41</v>
      </c>
      <c r="B32" s="37">
        <f>IF( ISERROR(IND_voed_ele_kWh/1000),0,IND_voed_ele_kWh/1000)</f>
        <v>14843.093000000001</v>
      </c>
      <c r="C32" s="39">
        <f>IF(ISERROR(B32*3.6/1000000/'E Balans VL '!Z20*100),0,B32*3.6/1000000/'E Balans VL '!Z20*100)</f>
        <v>3.6746569119947301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53486.269</v>
      </c>
      <c r="C36" s="39">
        <f>IF(ISERROR(B36*3.6/1000000/'E Balans VL '!Z24*100),0,B36*3.6/1000000/'E Balans VL '!Z24*100)</f>
        <v>1.3638182214329682</v>
      </c>
      <c r="D36" s="237" t="s">
        <v>692</v>
      </c>
    </row>
    <row r="37" spans="1:5">
      <c r="A37" s="171" t="s">
        <v>270</v>
      </c>
      <c r="B37" s="37">
        <f>IF( ISERROR(IND_rest_ele_kWh/1000),0,IND_rest_ele_kWh/1000)</f>
        <v>42285.88</v>
      </c>
      <c r="C37" s="39">
        <f>IF(ISERROR(B37*3.6/1000000/'E Balans VL '!Z15*100),0,B37*3.6/1000000/'E Balans VL '!Z15*100)</f>
        <v>0.31354256055098778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923.46749999999997</v>
      </c>
      <c r="C5" s="17">
        <f>'Eigen informatie GS &amp; warmtenet'!B60</f>
        <v>0</v>
      </c>
      <c r="D5" s="30">
        <f>IF(ISERROR(SUM(LB_lb_gas_kWh,LB_rest_gas_kWh)/1000),0,SUM(LB_lb_gas_kWh,LB_rest_gas_kWh)/1000)*0.902</f>
        <v>157.13897400771404</v>
      </c>
      <c r="E5" s="17">
        <f>B17*'E Balans VL '!I25/3.6*1000000/100</f>
        <v>8.553542768742906</v>
      </c>
      <c r="F5" s="17">
        <f>B17*('E Balans VL '!L25/3.6*1000000+'E Balans VL '!N25/3.6*1000000)/100</f>
        <v>2343.0129678782168</v>
      </c>
      <c r="G5" s="18"/>
      <c r="H5" s="17"/>
      <c r="I5" s="17"/>
      <c r="J5" s="17">
        <f>('E Balans VL '!D25+'E Balans VL '!E25)/3.6*1000000*landbouw!B17/100</f>
        <v>141.57787367737882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923.46749999999997</v>
      </c>
      <c r="C8" s="21">
        <f>C5+C6</f>
        <v>0</v>
      </c>
      <c r="D8" s="21">
        <f>MAX((D5+D6),0)</f>
        <v>157.13897400771404</v>
      </c>
      <c r="E8" s="21">
        <f>MAX((E5+E6),0)</f>
        <v>8.553542768742906</v>
      </c>
      <c r="F8" s="21">
        <f>MAX((F5+F6),0)</f>
        <v>2343.0129678782168</v>
      </c>
      <c r="G8" s="21"/>
      <c r="H8" s="21"/>
      <c r="I8" s="21"/>
      <c r="J8" s="21">
        <f>MAX((J5+J6),0)</f>
        <v>141.57787367737882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0.19817935355167249</v>
      </c>
      <c r="C10" s="31">
        <f ca="1">'EF ele_warmte'!B22</f>
        <v>0.23764705882352935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183.0121921759791</v>
      </c>
      <c r="C12" s="23">
        <f ca="1">C8*C10</f>
        <v>0</v>
      </c>
      <c r="D12" s="23">
        <f>D8*D10</f>
        <v>31.74207274955824</v>
      </c>
      <c r="E12" s="23">
        <f>E8*E10</f>
        <v>1.9416542085046398</v>
      </c>
      <c r="F12" s="23">
        <f>F8*F10</f>
        <v>625.58446242348396</v>
      </c>
      <c r="G12" s="23"/>
      <c r="H12" s="23"/>
      <c r="I12" s="23"/>
      <c r="J12" s="23">
        <f>J8*J10</f>
        <v>50.118567281792096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0.13129749760446041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102.09472995725879</v>
      </c>
      <c r="C26" s="247">
        <f>B26*'GWP N2O_CH4'!B5</f>
        <v>2143.9893291024346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25.622603507089231</v>
      </c>
      <c r="C27" s="247">
        <f>B27*'GWP N2O_CH4'!B5</f>
        <v>538.07467364887384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1.6495301756283349</v>
      </c>
      <c r="C28" s="247">
        <f>B28*'GWP N2O_CH4'!B4</f>
        <v>511.35435444478384</v>
      </c>
      <c r="D28" s="50"/>
    </row>
    <row r="29" spans="1:4">
      <c r="A29" s="41" t="s">
        <v>277</v>
      </c>
      <c r="B29" s="247">
        <f>B34*'ha_N2O bodem landbouw'!B4</f>
        <v>7.6789530912036783</v>
      </c>
      <c r="C29" s="247">
        <f>B29*'GWP N2O_CH4'!B4</f>
        <v>2380.4754582731402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1.7222538958570886E-3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1.8698095431409314E-4</v>
      </c>
      <c r="C5" s="464" t="s">
        <v>211</v>
      </c>
      <c r="D5" s="449">
        <f>SUM(D6:D11)</f>
        <v>4.9176792314501751E-4</v>
      </c>
      <c r="E5" s="449">
        <f>SUM(E6:E11)</f>
        <v>3.2722768294991462E-3</v>
      </c>
      <c r="F5" s="462" t="s">
        <v>211</v>
      </c>
      <c r="G5" s="449">
        <f>SUM(G6:G11)</f>
        <v>1.1893345714811892</v>
      </c>
      <c r="H5" s="449">
        <f>SUM(H6:H11)</f>
        <v>0.18741865968669025</v>
      </c>
      <c r="I5" s="464" t="s">
        <v>211</v>
      </c>
      <c r="J5" s="464" t="s">
        <v>211</v>
      </c>
      <c r="K5" s="464" t="s">
        <v>211</v>
      </c>
      <c r="L5" s="464" t="s">
        <v>211</v>
      </c>
      <c r="M5" s="449">
        <f>SUM(M6:M11)</f>
        <v>7.4566972827337111E-2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1.2139230170468979E-4</v>
      </c>
      <c r="C6" s="450"/>
      <c r="D6" s="893">
        <f>vkm_2011_GW_PW*SUMIFS(TableVerdeelsleutelVkm[CNG],TableVerdeelsleutelVkm[Voertuigtype],"Lichte voertuigen")*SUMIFS(TableECFTransport[EnergieConsumptieFactor (PJ per km)],TableECFTransport[Index],CONCATENATE($A6,"_CNG_CNG"))</f>
        <v>2.8079375858173502E-4</v>
      </c>
      <c r="E6" s="893">
        <f>vkm_2011_GW_PW*SUMIFS(TableVerdeelsleutelVkm[LPG],TableVerdeelsleutelVkm[Voertuigtype],"Lichte voertuigen")*SUMIFS(TableECFTransport[EnergieConsumptieFactor (PJ per km)],TableECFTransport[Index],CONCATENATE($A6,"_LPG_LPG"))</f>
        <v>1.8283593892831284E-3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0.37982813642731239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0.10706570227590166</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2.5267266204241488E-2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0.34913645967349216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1.1939832859486635E-4</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2.0199523187374405E-2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3.1155158654457054E-5</v>
      </c>
      <c r="C8" s="450"/>
      <c r="D8" s="452">
        <f>vkm_2011_NGW_PW*SUMIFS(TableVerdeelsleutelVkm[CNG],TableVerdeelsleutelVkm[Voertuigtype],"Lichte voertuigen")*SUMIFS(TableECFTransport[EnergieConsumptieFactor (PJ per km)],TableECFTransport[Index],CONCATENATE($A8,"_CNG_CNG"))</f>
        <v>1.2746247629217463E-4</v>
      </c>
      <c r="E8" s="452">
        <f>vkm_2011_NGW_PW*SUMIFS(TableVerdeelsleutelVkm[LPG],TableVerdeelsleutelVkm[Voertuigtype],"Lichte voertuigen")*SUMIFS(TableECFTransport[EnergieConsumptieFactor (PJ per km)],TableECFTransport[Index],CONCATENATE($A8,"_LPG_LPG"))</f>
        <v>7.6596550815766272E-4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0.14874937643146341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4.6993744169813563E-2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1.0051147081251136E-2</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0.10326346815043559</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3.3414855409896903E-5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5.9743184834810739E-3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3.4433493954946289E-5</v>
      </c>
      <c r="C10" s="450"/>
      <c r="D10" s="452">
        <f>vkm_2011_SW_PW*SUMIFS(TableVerdeelsleutelVkm[CNG],TableVerdeelsleutelVkm[Voertuigtype],"Lichte voertuigen")*SUMIFS(TableECFTransport[EnergieConsumptieFactor (PJ per km)],TableECFTransport[Index],CONCATENATE($A10,"_CNG_CNG"))</f>
        <v>8.3511688271107839E-5</v>
      </c>
      <c r="E10" s="452">
        <f>vkm_2011_SW_PW*SUMIFS(TableVerdeelsleutelVkm[LPG],TableVerdeelsleutelVkm[Voertuigtype],"Lichte voertuigen")*SUMIFS(TableECFTransport[EnergieConsumptieFactor (PJ per km)],TableECFTransport[Index],CONCATENATE($A10,"_LPG_LPG"))</f>
        <v>6.7795193205835496E-4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0.12679647697953017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3.3176339877853789E-2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8.3559050007362273E-3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8.1560653818955164E-2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3.0060179116469046E-5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4.7188128702527875E-3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51.939153976136978</v>
      </c>
      <c r="C14" s="21"/>
      <c r="D14" s="21">
        <f t="shared" ref="D14:M14" si="0">((D5)*10^9/3600)+D12</f>
        <v>136.60220087361597</v>
      </c>
      <c r="E14" s="21">
        <f t="shared" si="0"/>
        <v>908.96578597198504</v>
      </c>
      <c r="F14" s="21"/>
      <c r="G14" s="21">
        <f t="shared" si="0"/>
        <v>330370.71430033032</v>
      </c>
      <c r="H14" s="21">
        <f t="shared" si="0"/>
        <v>52060.738801858402</v>
      </c>
      <c r="I14" s="21"/>
      <c r="J14" s="21"/>
      <c r="K14" s="21"/>
      <c r="L14" s="21"/>
      <c r="M14" s="21">
        <f t="shared" si="0"/>
        <v>20713.048007593643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0.19817935355167249</v>
      </c>
      <c r="C16" s="56">
        <f ca="1">'EF ele_warmte'!B22</f>
        <v>0.23764705882352935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10.293267959011606</v>
      </c>
      <c r="C18" s="23"/>
      <c r="D18" s="23">
        <f t="shared" ref="D18:M18" si="1">D14*D16</f>
        <v>27.593644576470428</v>
      </c>
      <c r="E18" s="23">
        <f t="shared" si="1"/>
        <v>206.3352334156406</v>
      </c>
      <c r="F18" s="23"/>
      <c r="G18" s="23">
        <f t="shared" si="1"/>
        <v>88208.980718188206</v>
      </c>
      <c r="H18" s="23">
        <f t="shared" si="1"/>
        <v>12963.123961662743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5.7410381465090136E-3</v>
      </c>
      <c r="H50" s="321">
        <f t="shared" si="2"/>
        <v>0</v>
      </c>
      <c r="I50" s="321">
        <f t="shared" si="2"/>
        <v>0</v>
      </c>
      <c r="J50" s="321">
        <f t="shared" si="2"/>
        <v>0</v>
      </c>
      <c r="K50" s="321">
        <f t="shared" si="2"/>
        <v>0</v>
      </c>
      <c r="L50" s="321">
        <f t="shared" si="2"/>
        <v>0</v>
      </c>
      <c r="M50" s="321">
        <f t="shared" si="2"/>
        <v>3.2739466946513584E-4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5.7410381465090136E-3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3.2739466946513584E-4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1594.7328184747262</v>
      </c>
      <c r="H54" s="21">
        <f t="shared" si="3"/>
        <v>0</v>
      </c>
      <c r="I54" s="21">
        <f t="shared" si="3"/>
        <v>0</v>
      </c>
      <c r="J54" s="21">
        <f t="shared" si="3"/>
        <v>0</v>
      </c>
      <c r="K54" s="21">
        <f t="shared" si="3"/>
        <v>0</v>
      </c>
      <c r="L54" s="21">
        <f t="shared" si="3"/>
        <v>0</v>
      </c>
      <c r="M54" s="21">
        <f t="shared" si="3"/>
        <v>90.942963740315506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0.19817935355167249</v>
      </c>
      <c r="C56" s="56">
        <f ca="1">'EF ele_warmte'!B22</f>
        <v>0.23764705882352935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425.79366253275191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29186.493600000002</v>
      </c>
      <c r="D10" s="1025">
        <f ca="1">tertiair!C16</f>
        <v>72.321428571428569</v>
      </c>
      <c r="E10" s="1025">
        <f ca="1">tertiair!D16</f>
        <v>25486.126963027706</v>
      </c>
      <c r="F10" s="1025">
        <f>tertiair!E16</f>
        <v>267.78439216575975</v>
      </c>
      <c r="G10" s="1025">
        <f ca="1">tertiair!F16</f>
        <v>4133.9838001494127</v>
      </c>
      <c r="H10" s="1025">
        <f>tertiair!G16</f>
        <v>0</v>
      </c>
      <c r="I10" s="1025">
        <f>tertiair!H16</f>
        <v>0</v>
      </c>
      <c r="J10" s="1025">
        <f>tertiair!I16</f>
        <v>0</v>
      </c>
      <c r="K10" s="1025">
        <f>tertiair!J16</f>
        <v>0</v>
      </c>
      <c r="L10" s="1025">
        <f>tertiair!K16</f>
        <v>0</v>
      </c>
      <c r="M10" s="1025">
        <f ca="1">tertiair!L16</f>
        <v>0</v>
      </c>
      <c r="N10" s="1025">
        <f>tertiair!M16</f>
        <v>0</v>
      </c>
      <c r="O10" s="1025">
        <f ca="1">tertiair!N16</f>
        <v>2830.3258531531037</v>
      </c>
      <c r="P10" s="1025">
        <f>tertiair!O16</f>
        <v>1.5633333333333335</v>
      </c>
      <c r="Q10" s="1026">
        <f>tertiair!P16</f>
        <v>57.2</v>
      </c>
      <c r="R10" s="701">
        <f ca="1">SUM(C10:Q10)</f>
        <v>62035.799370400739</v>
      </c>
      <c r="S10" s="67"/>
    </row>
    <row r="11" spans="1:19" s="474" customFormat="1">
      <c r="A11" s="810" t="s">
        <v>225</v>
      </c>
      <c r="B11" s="815"/>
      <c r="C11" s="1025">
        <f>huishoudens!B8</f>
        <v>29239.370039104899</v>
      </c>
      <c r="D11" s="1025">
        <f>huishoudens!C8</f>
        <v>0</v>
      </c>
      <c r="E11" s="1025">
        <f>huishoudens!D8</f>
        <v>71099.919125196771</v>
      </c>
      <c r="F11" s="1025">
        <f>huishoudens!E8</f>
        <v>2109.494754844522</v>
      </c>
      <c r="G11" s="1025">
        <f>huishoudens!F8</f>
        <v>9366.572904052613</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8695.3848668534265</v>
      </c>
      <c r="P11" s="1025">
        <f>huishoudens!O8</f>
        <v>251.69666666666669</v>
      </c>
      <c r="Q11" s="1026">
        <f>huishoudens!P8</f>
        <v>533.86666666666667</v>
      </c>
      <c r="R11" s="701">
        <f>SUM(C11:Q11)</f>
        <v>121296.30502338558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136482.03599999999</v>
      </c>
      <c r="D13" s="1025">
        <f>industrie!C18</f>
        <v>20944.28571428571</v>
      </c>
      <c r="E13" s="1025">
        <f>industrie!D18</f>
        <v>108933.11148423649</v>
      </c>
      <c r="F13" s="1025">
        <f>industrie!E18</f>
        <v>5195.641412824797</v>
      </c>
      <c r="G13" s="1025">
        <f>industrie!F18</f>
        <v>46393.335011614261</v>
      </c>
      <c r="H13" s="1025">
        <f>industrie!G18</f>
        <v>0</v>
      </c>
      <c r="I13" s="1025">
        <f>industrie!H18</f>
        <v>0</v>
      </c>
      <c r="J13" s="1025">
        <f>industrie!I18</f>
        <v>0</v>
      </c>
      <c r="K13" s="1025">
        <f>industrie!J18</f>
        <v>532.64701850983602</v>
      </c>
      <c r="L13" s="1025">
        <f>industrie!K18</f>
        <v>0</v>
      </c>
      <c r="M13" s="1025">
        <f>industrie!L18</f>
        <v>0</v>
      </c>
      <c r="N13" s="1025">
        <f>industrie!M18</f>
        <v>0</v>
      </c>
      <c r="O13" s="1025">
        <f>industrie!N18</f>
        <v>19846.035051082596</v>
      </c>
      <c r="P13" s="1025">
        <f>industrie!O18</f>
        <v>0</v>
      </c>
      <c r="Q13" s="1026">
        <f>industrie!P18</f>
        <v>0</v>
      </c>
      <c r="R13" s="701">
        <f>SUM(C13:Q13)</f>
        <v>338327.09169255372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194907.8996391049</v>
      </c>
      <c r="D16" s="733">
        <f t="shared" ref="D16:R16" ca="1" si="0">SUM(D9:D15)</f>
        <v>21016.607142857138</v>
      </c>
      <c r="E16" s="733">
        <f t="shared" ca="1" si="0"/>
        <v>205519.15757246097</v>
      </c>
      <c r="F16" s="733">
        <f t="shared" si="0"/>
        <v>7572.9205598350791</v>
      </c>
      <c r="G16" s="733">
        <f t="shared" ca="1" si="0"/>
        <v>59893.891715816288</v>
      </c>
      <c r="H16" s="733">
        <f t="shared" si="0"/>
        <v>0</v>
      </c>
      <c r="I16" s="733">
        <f t="shared" si="0"/>
        <v>0</v>
      </c>
      <c r="J16" s="733">
        <f t="shared" si="0"/>
        <v>0</v>
      </c>
      <c r="K16" s="733">
        <f t="shared" si="0"/>
        <v>532.64701850983602</v>
      </c>
      <c r="L16" s="733">
        <f t="shared" si="0"/>
        <v>0</v>
      </c>
      <c r="M16" s="733">
        <f t="shared" ca="1" si="0"/>
        <v>0</v>
      </c>
      <c r="N16" s="733">
        <f t="shared" si="0"/>
        <v>0</v>
      </c>
      <c r="O16" s="733">
        <f t="shared" ca="1" si="0"/>
        <v>31371.745771089125</v>
      </c>
      <c r="P16" s="733">
        <f t="shared" si="0"/>
        <v>253.26000000000002</v>
      </c>
      <c r="Q16" s="733">
        <f t="shared" si="0"/>
        <v>591.06666666666672</v>
      </c>
      <c r="R16" s="733">
        <f t="shared" ca="1" si="0"/>
        <v>521659.19608634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1594.7328184747262</v>
      </c>
      <c r="I19" s="1025">
        <f>transport!H54</f>
        <v>0</v>
      </c>
      <c r="J19" s="1025">
        <f>transport!I54</f>
        <v>0</v>
      </c>
      <c r="K19" s="1025">
        <f>transport!J54</f>
        <v>0</v>
      </c>
      <c r="L19" s="1025">
        <f>transport!K54</f>
        <v>0</v>
      </c>
      <c r="M19" s="1025">
        <f>transport!L54</f>
        <v>0</v>
      </c>
      <c r="N19" s="1025">
        <f>transport!M54</f>
        <v>90.942963740315506</v>
      </c>
      <c r="O19" s="1025">
        <f>transport!N54</f>
        <v>0</v>
      </c>
      <c r="P19" s="1025">
        <f>transport!O54</f>
        <v>0</v>
      </c>
      <c r="Q19" s="1026">
        <f>transport!P54</f>
        <v>0</v>
      </c>
      <c r="R19" s="701">
        <f>SUM(C19:Q19)</f>
        <v>1685.6757822150416</v>
      </c>
      <c r="S19" s="67"/>
    </row>
    <row r="20" spans="1:19" s="474" customFormat="1">
      <c r="A20" s="810" t="s">
        <v>307</v>
      </c>
      <c r="B20" s="815"/>
      <c r="C20" s="1025">
        <f>transport!B14</f>
        <v>51.939153976136978</v>
      </c>
      <c r="D20" s="1025">
        <f>transport!C14</f>
        <v>0</v>
      </c>
      <c r="E20" s="1025">
        <f>transport!D14</f>
        <v>136.60220087361597</v>
      </c>
      <c r="F20" s="1025">
        <f>transport!E14</f>
        <v>908.96578597198504</v>
      </c>
      <c r="G20" s="1025">
        <f>transport!F14</f>
        <v>0</v>
      </c>
      <c r="H20" s="1025">
        <f>transport!G14</f>
        <v>330370.71430033032</v>
      </c>
      <c r="I20" s="1025">
        <f>transport!H14</f>
        <v>52060.738801858402</v>
      </c>
      <c r="J20" s="1025">
        <f>transport!I14</f>
        <v>0</v>
      </c>
      <c r="K20" s="1025">
        <f>transport!J14</f>
        <v>0</v>
      </c>
      <c r="L20" s="1025">
        <f>transport!K14</f>
        <v>0</v>
      </c>
      <c r="M20" s="1025">
        <f>transport!L14</f>
        <v>0</v>
      </c>
      <c r="N20" s="1025">
        <f>transport!M14</f>
        <v>20713.048007593643</v>
      </c>
      <c r="O20" s="1025">
        <f>transport!N14</f>
        <v>0</v>
      </c>
      <c r="P20" s="1025">
        <f>transport!O14</f>
        <v>0</v>
      </c>
      <c r="Q20" s="1026">
        <f>transport!P14</f>
        <v>0</v>
      </c>
      <c r="R20" s="701">
        <f>SUM(C20:Q20)</f>
        <v>404242.00825060409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51.939153976136978</v>
      </c>
      <c r="D22" s="813">
        <f t="shared" ref="D22:R22" si="1">SUM(D18:D21)</f>
        <v>0</v>
      </c>
      <c r="E22" s="813">
        <f t="shared" si="1"/>
        <v>136.60220087361597</v>
      </c>
      <c r="F22" s="813">
        <f t="shared" si="1"/>
        <v>908.96578597198504</v>
      </c>
      <c r="G22" s="813">
        <f t="shared" si="1"/>
        <v>0</v>
      </c>
      <c r="H22" s="813">
        <f t="shared" si="1"/>
        <v>331965.44711880502</v>
      </c>
      <c r="I22" s="813">
        <f t="shared" si="1"/>
        <v>52060.738801858402</v>
      </c>
      <c r="J22" s="813">
        <f t="shared" si="1"/>
        <v>0</v>
      </c>
      <c r="K22" s="813">
        <f t="shared" si="1"/>
        <v>0</v>
      </c>
      <c r="L22" s="813">
        <f t="shared" si="1"/>
        <v>0</v>
      </c>
      <c r="M22" s="813">
        <f t="shared" si="1"/>
        <v>0</v>
      </c>
      <c r="N22" s="813">
        <f t="shared" si="1"/>
        <v>20803.990971333958</v>
      </c>
      <c r="O22" s="813">
        <f t="shared" si="1"/>
        <v>0</v>
      </c>
      <c r="P22" s="813">
        <f t="shared" si="1"/>
        <v>0</v>
      </c>
      <c r="Q22" s="813">
        <f t="shared" si="1"/>
        <v>0</v>
      </c>
      <c r="R22" s="813">
        <f t="shared" si="1"/>
        <v>405927.68403281912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923.46749999999997</v>
      </c>
      <c r="D24" s="1025">
        <f>+landbouw!C8</f>
        <v>0</v>
      </c>
      <c r="E24" s="1025">
        <f>+landbouw!D8</f>
        <v>157.13897400771404</v>
      </c>
      <c r="F24" s="1025">
        <f>+landbouw!E8</f>
        <v>8.553542768742906</v>
      </c>
      <c r="G24" s="1025">
        <f>+landbouw!F8</f>
        <v>2343.0129678782168</v>
      </c>
      <c r="H24" s="1025">
        <f>+landbouw!G8</f>
        <v>0</v>
      </c>
      <c r="I24" s="1025">
        <f>+landbouw!H8</f>
        <v>0</v>
      </c>
      <c r="J24" s="1025">
        <f>+landbouw!I8</f>
        <v>0</v>
      </c>
      <c r="K24" s="1025">
        <f>+landbouw!J8</f>
        <v>141.57787367737882</v>
      </c>
      <c r="L24" s="1025">
        <f>+landbouw!K8</f>
        <v>0</v>
      </c>
      <c r="M24" s="1025">
        <f>+landbouw!L8</f>
        <v>0</v>
      </c>
      <c r="N24" s="1025">
        <f>+landbouw!M8</f>
        <v>0</v>
      </c>
      <c r="O24" s="1025">
        <f>+landbouw!N8</f>
        <v>0</v>
      </c>
      <c r="P24" s="1025">
        <f>+landbouw!O8</f>
        <v>0</v>
      </c>
      <c r="Q24" s="1026">
        <f>+landbouw!P8</f>
        <v>0</v>
      </c>
      <c r="R24" s="701">
        <f>SUM(C24:Q24)</f>
        <v>3573.7508583320528</v>
      </c>
      <c r="S24" s="67"/>
    </row>
    <row r="25" spans="1:19" s="474" customFormat="1" ht="15" thickBot="1">
      <c r="A25" s="832" t="s">
        <v>864</v>
      </c>
      <c r="B25" s="1028"/>
      <c r="C25" s="1029">
        <f>IF(Onbekend_ele_kWh="---",0,Onbekend_ele_kWh)/1000+IF(REST_rest_ele_kWh="---",0,REST_rest_ele_kWh)/1000</f>
        <v>777.89509999999996</v>
      </c>
      <c r="D25" s="1029"/>
      <c r="E25" s="1029">
        <f>IF(onbekend_gas_kWh="---",0,onbekend_gas_kWh)/1000+IF(REST_rest_gas_kWh="---",0,REST_rest_gas_kWh)/1000</f>
        <v>2275.6775300087702</v>
      </c>
      <c r="F25" s="1029"/>
      <c r="G25" s="1029"/>
      <c r="H25" s="1029"/>
      <c r="I25" s="1029"/>
      <c r="J25" s="1029"/>
      <c r="K25" s="1029"/>
      <c r="L25" s="1029"/>
      <c r="M25" s="1029"/>
      <c r="N25" s="1029"/>
      <c r="O25" s="1029"/>
      <c r="P25" s="1029"/>
      <c r="Q25" s="1030"/>
      <c r="R25" s="701">
        <f>SUM(C25:Q25)</f>
        <v>3053.5726300087699</v>
      </c>
      <c r="S25" s="67"/>
    </row>
    <row r="26" spans="1:19" s="474" customFormat="1" ht="15.75" thickBot="1">
      <c r="A26" s="706" t="s">
        <v>865</v>
      </c>
      <c r="B26" s="818"/>
      <c r="C26" s="813">
        <f>SUM(C24:C25)</f>
        <v>1701.3625999999999</v>
      </c>
      <c r="D26" s="813">
        <f t="shared" ref="D26:R26" si="2">SUM(D24:D25)</f>
        <v>0</v>
      </c>
      <c r="E26" s="813">
        <f t="shared" si="2"/>
        <v>2432.816504016484</v>
      </c>
      <c r="F26" s="813">
        <f t="shared" si="2"/>
        <v>8.553542768742906</v>
      </c>
      <c r="G26" s="813">
        <f t="shared" si="2"/>
        <v>2343.0129678782168</v>
      </c>
      <c r="H26" s="813">
        <f t="shared" si="2"/>
        <v>0</v>
      </c>
      <c r="I26" s="813">
        <f t="shared" si="2"/>
        <v>0</v>
      </c>
      <c r="J26" s="813">
        <f t="shared" si="2"/>
        <v>0</v>
      </c>
      <c r="K26" s="813">
        <f t="shared" si="2"/>
        <v>141.57787367737882</v>
      </c>
      <c r="L26" s="813">
        <f t="shared" si="2"/>
        <v>0</v>
      </c>
      <c r="M26" s="813">
        <f t="shared" si="2"/>
        <v>0</v>
      </c>
      <c r="N26" s="813">
        <f t="shared" si="2"/>
        <v>0</v>
      </c>
      <c r="O26" s="813">
        <f t="shared" si="2"/>
        <v>0</v>
      </c>
      <c r="P26" s="813">
        <f t="shared" si="2"/>
        <v>0</v>
      </c>
      <c r="Q26" s="813">
        <f t="shared" si="2"/>
        <v>0</v>
      </c>
      <c r="R26" s="813">
        <f t="shared" si="2"/>
        <v>6627.3234883408222</v>
      </c>
      <c r="S26" s="67"/>
    </row>
    <row r="27" spans="1:19" s="474" customFormat="1" ht="17.25" thickTop="1" thickBot="1">
      <c r="A27" s="707" t="s">
        <v>116</v>
      </c>
      <c r="B27" s="806"/>
      <c r="C27" s="708">
        <f ca="1">C22+C16+C26</f>
        <v>196661.20139308102</v>
      </c>
      <c r="D27" s="708">
        <f t="shared" ref="D27:R27" ca="1" si="3">D22+D16+D26</f>
        <v>21016.607142857138</v>
      </c>
      <c r="E27" s="708">
        <f t="shared" ca="1" si="3"/>
        <v>208088.57627735107</v>
      </c>
      <c r="F27" s="708">
        <f t="shared" si="3"/>
        <v>8490.4398885758073</v>
      </c>
      <c r="G27" s="708">
        <f t="shared" ca="1" si="3"/>
        <v>62236.904683694505</v>
      </c>
      <c r="H27" s="708">
        <f t="shared" si="3"/>
        <v>331965.44711880502</v>
      </c>
      <c r="I27" s="708">
        <f t="shared" si="3"/>
        <v>52060.738801858402</v>
      </c>
      <c r="J27" s="708">
        <f t="shared" si="3"/>
        <v>0</v>
      </c>
      <c r="K27" s="708">
        <f t="shared" si="3"/>
        <v>674.22489218721489</v>
      </c>
      <c r="L27" s="708">
        <f t="shared" si="3"/>
        <v>0</v>
      </c>
      <c r="M27" s="708">
        <f t="shared" ca="1" si="3"/>
        <v>0</v>
      </c>
      <c r="N27" s="708">
        <f t="shared" si="3"/>
        <v>20803.990971333958</v>
      </c>
      <c r="O27" s="708">
        <f t="shared" ca="1" si="3"/>
        <v>31371.745771089125</v>
      </c>
      <c r="P27" s="708">
        <f t="shared" si="3"/>
        <v>253.26000000000002</v>
      </c>
      <c r="Q27" s="708">
        <f t="shared" si="3"/>
        <v>591.06666666666672</v>
      </c>
      <c r="R27" s="708">
        <f t="shared" ca="1" si="3"/>
        <v>934214.20360749995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5784.1604340880267</v>
      </c>
      <c r="D40" s="1025">
        <f ca="1">tertiair!C20</f>
        <v>17.186974789915961</v>
      </c>
      <c r="E40" s="1025">
        <f ca="1">tertiair!D20</f>
        <v>5148.1976465315965</v>
      </c>
      <c r="F40" s="1025">
        <f>tertiair!E20</f>
        <v>60.787057021627469</v>
      </c>
      <c r="G40" s="1025">
        <f ca="1">tertiair!F20</f>
        <v>1103.7736746398932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12114.105787071061</v>
      </c>
    </row>
    <row r="41" spans="1:18">
      <c r="A41" s="823" t="s">
        <v>225</v>
      </c>
      <c r="B41" s="830"/>
      <c r="C41" s="1025">
        <f ca="1">huishoudens!B12</f>
        <v>5794.6394526079494</v>
      </c>
      <c r="D41" s="1025">
        <f ca="1">huishoudens!C12</f>
        <v>0</v>
      </c>
      <c r="E41" s="1025">
        <f>huishoudens!D12</f>
        <v>14362.183663289748</v>
      </c>
      <c r="F41" s="1025">
        <f>huishoudens!E12</f>
        <v>478.85530934970654</v>
      </c>
      <c r="G41" s="1025">
        <f>huishoudens!F12</f>
        <v>2500.8749653820478</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23136.553390629455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27047.92166589609</v>
      </c>
      <c r="D43" s="1025">
        <f ca="1">industrie!C22</f>
        <v>4977.3478991596612</v>
      </c>
      <c r="E43" s="1025">
        <f>industrie!D22</f>
        <v>22004.488519815772</v>
      </c>
      <c r="F43" s="1025">
        <f>industrie!E22</f>
        <v>1179.4106007112289</v>
      </c>
      <c r="G43" s="1025">
        <f>industrie!F22</f>
        <v>12387.020448101008</v>
      </c>
      <c r="H43" s="1025">
        <f>industrie!G22</f>
        <v>0</v>
      </c>
      <c r="I43" s="1025">
        <f>industrie!H22</f>
        <v>0</v>
      </c>
      <c r="J43" s="1025">
        <f>industrie!I22</f>
        <v>0</v>
      </c>
      <c r="K43" s="1025">
        <f>industrie!J22</f>
        <v>188.55704455248193</v>
      </c>
      <c r="L43" s="1025">
        <f>industrie!K22</f>
        <v>0</v>
      </c>
      <c r="M43" s="1025">
        <f>industrie!L22</f>
        <v>0</v>
      </c>
      <c r="N43" s="1025">
        <f>industrie!M22</f>
        <v>0</v>
      </c>
      <c r="O43" s="1025">
        <f>industrie!N22</f>
        <v>0</v>
      </c>
      <c r="P43" s="1025">
        <f>industrie!O22</f>
        <v>0</v>
      </c>
      <c r="Q43" s="775">
        <f>industrie!P22</f>
        <v>0</v>
      </c>
      <c r="R43" s="850">
        <f t="shared" ca="1" si="4"/>
        <v>67784.746178236237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38626.721552592062</v>
      </c>
      <c r="D46" s="733">
        <f t="shared" ref="D46:Q46" ca="1" si="5">SUM(D39:D45)</f>
        <v>4994.5348739495776</v>
      </c>
      <c r="E46" s="733">
        <f t="shared" ca="1" si="5"/>
        <v>41514.869829637115</v>
      </c>
      <c r="F46" s="733">
        <f t="shared" si="5"/>
        <v>1719.0529670825629</v>
      </c>
      <c r="G46" s="733">
        <f t="shared" ca="1" si="5"/>
        <v>15991.669088122948</v>
      </c>
      <c r="H46" s="733">
        <f t="shared" si="5"/>
        <v>0</v>
      </c>
      <c r="I46" s="733">
        <f t="shared" si="5"/>
        <v>0</v>
      </c>
      <c r="J46" s="733">
        <f t="shared" si="5"/>
        <v>0</v>
      </c>
      <c r="K46" s="733">
        <f t="shared" si="5"/>
        <v>188.55704455248193</v>
      </c>
      <c r="L46" s="733">
        <f t="shared" si="5"/>
        <v>0</v>
      </c>
      <c r="M46" s="733">
        <f t="shared" ca="1" si="5"/>
        <v>0</v>
      </c>
      <c r="N46" s="733">
        <f t="shared" si="5"/>
        <v>0</v>
      </c>
      <c r="O46" s="733">
        <f t="shared" ca="1" si="5"/>
        <v>0</v>
      </c>
      <c r="P46" s="733">
        <f t="shared" si="5"/>
        <v>0</v>
      </c>
      <c r="Q46" s="733">
        <f t="shared" si="5"/>
        <v>0</v>
      </c>
      <c r="R46" s="733">
        <f ca="1">SUM(R39:R45)</f>
        <v>103035.40535593676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425.79366253275191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425.79366253275191</v>
      </c>
    </row>
    <row r="50" spans="1:18">
      <c r="A50" s="826" t="s">
        <v>307</v>
      </c>
      <c r="B50" s="836"/>
      <c r="C50" s="704">
        <f ca="1">transport!B18</f>
        <v>10.293267959011606</v>
      </c>
      <c r="D50" s="704">
        <f>transport!C18</f>
        <v>0</v>
      </c>
      <c r="E50" s="704">
        <f>transport!D18</f>
        <v>27.593644576470428</v>
      </c>
      <c r="F50" s="704">
        <f>transport!E18</f>
        <v>206.3352334156406</v>
      </c>
      <c r="G50" s="704">
        <f>transport!F18</f>
        <v>0</v>
      </c>
      <c r="H50" s="704">
        <f>transport!G18</f>
        <v>88208.980718188206</v>
      </c>
      <c r="I50" s="704">
        <f>transport!H18</f>
        <v>12963.123961662743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101416.32682580207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10.293267959011606</v>
      </c>
      <c r="D52" s="733">
        <f t="shared" ref="D52:Q52" ca="1" si="6">SUM(D48:D51)</f>
        <v>0</v>
      </c>
      <c r="E52" s="733">
        <f t="shared" si="6"/>
        <v>27.593644576470428</v>
      </c>
      <c r="F52" s="733">
        <f t="shared" si="6"/>
        <v>206.3352334156406</v>
      </c>
      <c r="G52" s="733">
        <f t="shared" si="6"/>
        <v>0</v>
      </c>
      <c r="H52" s="733">
        <f t="shared" si="6"/>
        <v>88634.774380720963</v>
      </c>
      <c r="I52" s="733">
        <f t="shared" si="6"/>
        <v>12963.123961662743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101842.12048833483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183.0121921759791</v>
      </c>
      <c r="D54" s="704">
        <f ca="1">+landbouw!C12</f>
        <v>0</v>
      </c>
      <c r="E54" s="704">
        <f>+landbouw!D12</f>
        <v>31.74207274955824</v>
      </c>
      <c r="F54" s="704">
        <f>+landbouw!E12</f>
        <v>1.9416542085046398</v>
      </c>
      <c r="G54" s="704">
        <f>+landbouw!F12</f>
        <v>625.58446242348396</v>
      </c>
      <c r="H54" s="704">
        <f>+landbouw!G12</f>
        <v>0</v>
      </c>
      <c r="I54" s="704">
        <f>+landbouw!H12</f>
        <v>0</v>
      </c>
      <c r="J54" s="704">
        <f>+landbouw!I12</f>
        <v>0</v>
      </c>
      <c r="K54" s="704">
        <f>+landbouw!J12</f>
        <v>50.118567281792096</v>
      </c>
      <c r="L54" s="704">
        <f>+landbouw!K12</f>
        <v>0</v>
      </c>
      <c r="M54" s="704">
        <f>+landbouw!L12</f>
        <v>0</v>
      </c>
      <c r="N54" s="704">
        <f>+landbouw!M12</f>
        <v>0</v>
      </c>
      <c r="O54" s="704">
        <f>+landbouw!N12</f>
        <v>0</v>
      </c>
      <c r="P54" s="704">
        <f>+landbouw!O12</f>
        <v>0</v>
      </c>
      <c r="Q54" s="705">
        <f>+landbouw!P12</f>
        <v>0</v>
      </c>
      <c r="R54" s="732">
        <f ca="1">SUM(C54:Q54)</f>
        <v>892.39894883931811</v>
      </c>
    </row>
    <row r="55" spans="1:18" ht="15" thickBot="1">
      <c r="A55" s="826" t="s">
        <v>864</v>
      </c>
      <c r="B55" s="836"/>
      <c r="C55" s="704">
        <f ca="1">C25*'EF ele_warmte'!B12</f>
        <v>154.16274804901363</v>
      </c>
      <c r="D55" s="704"/>
      <c r="E55" s="704">
        <f>E25*EF_CO2_aardgas</f>
        <v>459.68686106177159</v>
      </c>
      <c r="F55" s="704"/>
      <c r="G55" s="704"/>
      <c r="H55" s="704"/>
      <c r="I55" s="704"/>
      <c r="J55" s="704"/>
      <c r="K55" s="704"/>
      <c r="L55" s="704"/>
      <c r="M55" s="704"/>
      <c r="N55" s="704"/>
      <c r="O55" s="704"/>
      <c r="P55" s="704"/>
      <c r="Q55" s="705"/>
      <c r="R55" s="732">
        <f ca="1">SUM(C55:Q55)</f>
        <v>613.8496091107852</v>
      </c>
    </row>
    <row r="56" spans="1:18" ht="15.75" thickBot="1">
      <c r="A56" s="824" t="s">
        <v>865</v>
      </c>
      <c r="B56" s="837"/>
      <c r="C56" s="733">
        <f ca="1">SUM(C54:C55)</f>
        <v>337.17494022499272</v>
      </c>
      <c r="D56" s="733">
        <f t="shared" ref="D56:Q56" ca="1" si="7">SUM(D54:D55)</f>
        <v>0</v>
      </c>
      <c r="E56" s="733">
        <f t="shared" si="7"/>
        <v>491.42893381132984</v>
      </c>
      <c r="F56" s="733">
        <f t="shared" si="7"/>
        <v>1.9416542085046398</v>
      </c>
      <c r="G56" s="733">
        <f t="shared" si="7"/>
        <v>625.58446242348396</v>
      </c>
      <c r="H56" s="733">
        <f t="shared" si="7"/>
        <v>0</v>
      </c>
      <c r="I56" s="733">
        <f t="shared" si="7"/>
        <v>0</v>
      </c>
      <c r="J56" s="733">
        <f t="shared" si="7"/>
        <v>0</v>
      </c>
      <c r="K56" s="733">
        <f t="shared" si="7"/>
        <v>50.118567281792096</v>
      </c>
      <c r="L56" s="733">
        <f t="shared" si="7"/>
        <v>0</v>
      </c>
      <c r="M56" s="733">
        <f t="shared" si="7"/>
        <v>0</v>
      </c>
      <c r="N56" s="733">
        <f t="shared" si="7"/>
        <v>0</v>
      </c>
      <c r="O56" s="733">
        <f t="shared" si="7"/>
        <v>0</v>
      </c>
      <c r="P56" s="733">
        <f t="shared" si="7"/>
        <v>0</v>
      </c>
      <c r="Q56" s="734">
        <f t="shared" si="7"/>
        <v>0</v>
      </c>
      <c r="R56" s="735">
        <f ca="1">SUM(R54:R55)</f>
        <v>1506.2485579501033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38974.189760776062</v>
      </c>
      <c r="D61" s="741">
        <f t="shared" ref="D61:Q61" ca="1" si="8">D46+D52+D56</f>
        <v>4994.5348739495776</v>
      </c>
      <c r="E61" s="741">
        <f t="shared" ca="1" si="8"/>
        <v>42033.892408024913</v>
      </c>
      <c r="F61" s="741">
        <f t="shared" si="8"/>
        <v>1927.3298547067081</v>
      </c>
      <c r="G61" s="741">
        <f t="shared" ca="1" si="8"/>
        <v>16617.253550546433</v>
      </c>
      <c r="H61" s="741">
        <f t="shared" si="8"/>
        <v>88634.774380720963</v>
      </c>
      <c r="I61" s="741">
        <f t="shared" si="8"/>
        <v>12963.123961662743</v>
      </c>
      <c r="J61" s="741">
        <f t="shared" si="8"/>
        <v>0</v>
      </c>
      <c r="K61" s="741">
        <f t="shared" si="8"/>
        <v>238.67561183427404</v>
      </c>
      <c r="L61" s="741">
        <f t="shared" si="8"/>
        <v>0</v>
      </c>
      <c r="M61" s="741">
        <f t="shared" ca="1" si="8"/>
        <v>0</v>
      </c>
      <c r="N61" s="741">
        <f t="shared" si="8"/>
        <v>0</v>
      </c>
      <c r="O61" s="741">
        <f t="shared" ca="1" si="8"/>
        <v>0</v>
      </c>
      <c r="P61" s="741">
        <f t="shared" si="8"/>
        <v>0</v>
      </c>
      <c r="Q61" s="741">
        <f t="shared" si="8"/>
        <v>0</v>
      </c>
      <c r="R61" s="741">
        <f ca="1">R46+R52+R56</f>
        <v>206383.77440222169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0.19817935355167246</v>
      </c>
      <c r="D63" s="782">
        <f t="shared" ca="1" si="9"/>
        <v>0.23764705882352935</v>
      </c>
      <c r="E63" s="1036">
        <f t="shared" ca="1" si="9"/>
        <v>0.20199999999999999</v>
      </c>
      <c r="F63" s="782">
        <f t="shared" si="9"/>
        <v>0.22699999999999998</v>
      </c>
      <c r="G63" s="782">
        <f t="shared" ca="1" si="9"/>
        <v>0.26700000000000002</v>
      </c>
      <c r="H63" s="782">
        <f t="shared" si="9"/>
        <v>0.26700000000000007</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12088.39033298098</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9327.179955976213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14711.624999999998</v>
      </c>
      <c r="D76" s="1046">
        <f>'lokale energieproductie'!C8</f>
        <v>17307.794117647056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3496.1744117647054</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21415.570288957191</v>
      </c>
      <c r="C78" s="756">
        <f>SUM(C72:C77)</f>
        <v>14711.624999999998</v>
      </c>
      <c r="D78" s="757">
        <f t="shared" ref="D78:H78" si="10">SUM(D76:D77)</f>
        <v>17307.794117647056</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3496.1744117647054</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21016.607142857138</v>
      </c>
      <c r="D87" s="778">
        <f>'lokale energieproductie'!C17</f>
        <v>24725.420168067216</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4994.5348739495776</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21016.607142857138</v>
      </c>
      <c r="D90" s="756">
        <f t="shared" ref="D90:H90" si="12">SUM(D87:D89)</f>
        <v>24725.420168067216</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4994.5348739495776</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12088.39033298098</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9327.179955976213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14711.624999999998</v>
      </c>
      <c r="C8" s="571">
        <f>B101</f>
        <v>17307.794117647056</v>
      </c>
      <c r="D8" s="1056"/>
      <c r="E8" s="1056">
        <f>E101</f>
        <v>0</v>
      </c>
      <c r="F8" s="1057"/>
      <c r="G8" s="572"/>
      <c r="H8" s="1056">
        <f>I101</f>
        <v>0</v>
      </c>
      <c r="I8" s="1056">
        <f>G101+F101</f>
        <v>0</v>
      </c>
      <c r="J8" s="1056">
        <f>H101+D101+C101</f>
        <v>0</v>
      </c>
      <c r="K8" s="1056"/>
      <c r="L8" s="1056"/>
      <c r="M8" s="1056"/>
      <c r="N8" s="573"/>
      <c r="O8" s="574">
        <f>C8*$C$12+D8*$D$12+E8*$E$12+F8*$F$12+G8*$G$12+H8*$H$12+I8*$I$12+J8*$J$12</f>
        <v>3496.1744117647054</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36127.195288957191</v>
      </c>
      <c r="C10" s="584">
        <f t="shared" ref="C10:L10" si="0">SUM(C8:C9)</f>
        <v>17307.794117647056</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3496.1744117647054</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21016.607142857138</v>
      </c>
      <c r="C17" s="596">
        <f>B102</f>
        <v>24725.420168067216</v>
      </c>
      <c r="D17" s="597"/>
      <c r="E17" s="597">
        <f>E102</f>
        <v>0</v>
      </c>
      <c r="F17" s="1062"/>
      <c r="G17" s="598"/>
      <c r="H17" s="596">
        <f>I102</f>
        <v>0</v>
      </c>
      <c r="I17" s="597">
        <f>G102+F102</f>
        <v>0</v>
      </c>
      <c r="J17" s="597">
        <f>H102+D102+C102</f>
        <v>0</v>
      </c>
      <c r="K17" s="597"/>
      <c r="L17" s="597"/>
      <c r="M17" s="597"/>
      <c r="N17" s="1063"/>
      <c r="O17" s="599">
        <f>C17*$C$22+E17*$E$22+H17*$H$22+I17*$I$22+J17*$J$22+D17*$D$22+F17*$F$22+G17*$G$22+K17*$K$22+L17*$L$22</f>
        <v>4994.5348739495776</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21016.607142857138</v>
      </c>
      <c r="C20" s="583">
        <f>SUM(C17:C19)</f>
        <v>24725.420168067216</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4994.5348739495776</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12030</v>
      </c>
      <c r="C28" s="797">
        <v>2870</v>
      </c>
      <c r="D28" s="654" t="s">
        <v>907</v>
      </c>
      <c r="E28" s="653" t="s">
        <v>908</v>
      </c>
      <c r="F28" s="653" t="s">
        <v>909</v>
      </c>
      <c r="G28" s="653" t="s">
        <v>910</v>
      </c>
      <c r="H28" s="653" t="s">
        <v>911</v>
      </c>
      <c r="I28" s="653" t="s">
        <v>908</v>
      </c>
      <c r="J28" s="796">
        <v>39510</v>
      </c>
      <c r="K28" s="796">
        <v>39513</v>
      </c>
      <c r="L28" s="653" t="s">
        <v>912</v>
      </c>
      <c r="M28" s="653">
        <v>2014</v>
      </c>
      <c r="N28" s="653">
        <v>9062.9999999999982</v>
      </c>
      <c r="O28" s="653">
        <v>12947.142857142855</v>
      </c>
      <c r="P28" s="653">
        <v>25894.28571428571</v>
      </c>
      <c r="Q28" s="653">
        <v>0</v>
      </c>
      <c r="R28" s="653">
        <v>0</v>
      </c>
      <c r="S28" s="653">
        <v>0</v>
      </c>
      <c r="T28" s="653">
        <v>0</v>
      </c>
      <c r="U28" s="653">
        <v>0</v>
      </c>
      <c r="V28" s="653">
        <v>0</v>
      </c>
      <c r="W28" s="653">
        <v>0</v>
      </c>
      <c r="X28" s="653">
        <v>300</v>
      </c>
      <c r="Y28" s="653" t="s">
        <v>34</v>
      </c>
      <c r="Z28" s="655" t="s">
        <v>389</v>
      </c>
    </row>
    <row r="29" spans="1:26" s="607" customFormat="1" ht="25.5">
      <c r="A29" s="606"/>
      <c r="B29" s="797">
        <v>12030</v>
      </c>
      <c r="C29" s="797">
        <v>2870</v>
      </c>
      <c r="D29" s="654" t="s">
        <v>913</v>
      </c>
      <c r="E29" s="653" t="s">
        <v>914</v>
      </c>
      <c r="F29" s="653" t="s">
        <v>915</v>
      </c>
      <c r="G29" s="653" t="s">
        <v>910</v>
      </c>
      <c r="H29" s="653" t="s">
        <v>911</v>
      </c>
      <c r="I29" s="653" t="s">
        <v>914</v>
      </c>
      <c r="J29" s="796">
        <v>40934</v>
      </c>
      <c r="K29" s="796">
        <v>40934</v>
      </c>
      <c r="L29" s="653" t="s">
        <v>912</v>
      </c>
      <c r="M29" s="653">
        <v>1189</v>
      </c>
      <c r="N29" s="653">
        <v>5350.5</v>
      </c>
      <c r="O29" s="653">
        <v>7643.5714285714284</v>
      </c>
      <c r="P29" s="653">
        <v>15287.142857142859</v>
      </c>
      <c r="Q29" s="653">
        <v>0</v>
      </c>
      <c r="R29" s="653">
        <v>0</v>
      </c>
      <c r="S29" s="653">
        <v>0</v>
      </c>
      <c r="T29" s="653">
        <v>0</v>
      </c>
      <c r="U29" s="653">
        <v>0</v>
      </c>
      <c r="V29" s="653">
        <v>0</v>
      </c>
      <c r="W29" s="653">
        <v>0</v>
      </c>
      <c r="X29" s="653">
        <v>300</v>
      </c>
      <c r="Y29" s="653" t="s">
        <v>916</v>
      </c>
      <c r="Z29" s="655" t="s">
        <v>389</v>
      </c>
    </row>
    <row r="30" spans="1:26" s="607" customFormat="1" ht="25.5">
      <c r="A30" s="606"/>
      <c r="B30" s="797">
        <v>12030</v>
      </c>
      <c r="C30" s="797">
        <v>2870</v>
      </c>
      <c r="D30" s="654" t="s">
        <v>917</v>
      </c>
      <c r="E30" s="653" t="s">
        <v>918</v>
      </c>
      <c r="F30" s="653" t="s">
        <v>919</v>
      </c>
      <c r="G30" s="653" t="s">
        <v>920</v>
      </c>
      <c r="H30" s="653" t="s">
        <v>911</v>
      </c>
      <c r="I30" s="653" t="s">
        <v>918</v>
      </c>
      <c r="J30" s="796">
        <v>41241</v>
      </c>
      <c r="K30" s="796">
        <v>41311</v>
      </c>
      <c r="L30" s="653" t="s">
        <v>912</v>
      </c>
      <c r="M30" s="653">
        <v>55</v>
      </c>
      <c r="N30" s="653">
        <v>247.5</v>
      </c>
      <c r="O30" s="653">
        <v>353.57142857142856</v>
      </c>
      <c r="P30" s="653">
        <v>707.14285714285722</v>
      </c>
      <c r="Q30" s="653">
        <v>0</v>
      </c>
      <c r="R30" s="653">
        <v>0</v>
      </c>
      <c r="S30" s="653">
        <v>0</v>
      </c>
      <c r="T30" s="653">
        <v>0</v>
      </c>
      <c r="U30" s="653">
        <v>0</v>
      </c>
      <c r="V30" s="653">
        <v>0</v>
      </c>
      <c r="W30" s="653">
        <v>0</v>
      </c>
      <c r="X30" s="653">
        <v>500</v>
      </c>
      <c r="Y30" s="653" t="s">
        <v>41</v>
      </c>
      <c r="Z30" s="655" t="s">
        <v>389</v>
      </c>
    </row>
    <row r="31" spans="1:26" s="607" customFormat="1" ht="25.5">
      <c r="A31" s="606"/>
      <c r="B31" s="797">
        <v>12030</v>
      </c>
      <c r="C31" s="797">
        <v>2870</v>
      </c>
      <c r="D31" s="654" t="s">
        <v>921</v>
      </c>
      <c r="E31" s="653" t="s">
        <v>922</v>
      </c>
      <c r="F31" s="653" t="s">
        <v>923</v>
      </c>
      <c r="G31" s="653" t="s">
        <v>910</v>
      </c>
      <c r="H31" s="653" t="s">
        <v>911</v>
      </c>
      <c r="I31" s="653" t="s">
        <v>922</v>
      </c>
      <c r="J31" s="796">
        <v>41699</v>
      </c>
      <c r="K31" s="796">
        <v>41712</v>
      </c>
      <c r="L31" s="653" t="s">
        <v>912</v>
      </c>
      <c r="M31" s="653">
        <v>15</v>
      </c>
      <c r="N31" s="653">
        <v>50.625</v>
      </c>
      <c r="O31" s="653">
        <v>72.321428571428569</v>
      </c>
      <c r="P31" s="653">
        <v>144.64285714285714</v>
      </c>
      <c r="Q31" s="653">
        <v>0</v>
      </c>
      <c r="R31" s="653">
        <v>0</v>
      </c>
      <c r="S31" s="653">
        <v>0</v>
      </c>
      <c r="T31" s="653">
        <v>0</v>
      </c>
      <c r="U31" s="653">
        <v>0</v>
      </c>
      <c r="V31" s="653">
        <v>0</v>
      </c>
      <c r="W31" s="653">
        <v>0</v>
      </c>
      <c r="X31" s="653">
        <v>1101</v>
      </c>
      <c r="Y31" s="653" t="s">
        <v>52</v>
      </c>
      <c r="Z31" s="655" t="s">
        <v>156</v>
      </c>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3273</v>
      </c>
      <c r="N58" s="611">
        <f>SUM(N28:N57)</f>
        <v>14711.624999999998</v>
      </c>
      <c r="O58" s="611">
        <f t="shared" ref="O58:W58" si="2">SUM(O28:O57)</f>
        <v>21016.607142857138</v>
      </c>
      <c r="P58" s="611">
        <f t="shared" si="2"/>
        <v>42033.214285714275</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3258</v>
      </c>
      <c r="N59" s="611">
        <f t="shared" si="3"/>
        <v>14660.999999999998</v>
      </c>
      <c r="O59" s="611">
        <f t="shared" si="3"/>
        <v>20944.28571428571</v>
      </c>
      <c r="P59" s="611">
        <f t="shared" si="3"/>
        <v>41888.57142857142</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15</v>
      </c>
      <c r="N60" s="611">
        <f ca="1">SUMIF($Z$28:AD57,"tertiair",N28:N57)</f>
        <v>50.625</v>
      </c>
      <c r="O60" s="611">
        <f ca="1">SUMIF($Z$28:AE57,"tertiair",O28:O57)</f>
        <v>72.321428571428569</v>
      </c>
      <c r="P60" s="611">
        <f ca="1">SUMIF($Z$28:AF57,"tertiair",P28:P57)</f>
        <v>144.64285714285714</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0.58823529411764697</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17307.794117647056</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24725.420168067216</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29239.370039104899</v>
      </c>
      <c r="C4" s="478">
        <f>huishoudens!C8</f>
        <v>0</v>
      </c>
      <c r="D4" s="478">
        <f>huishoudens!D8</f>
        <v>71099.919125196771</v>
      </c>
      <c r="E4" s="478">
        <f>huishoudens!E8</f>
        <v>2109.494754844522</v>
      </c>
      <c r="F4" s="478">
        <f>huishoudens!F8</f>
        <v>9366.572904052613</v>
      </c>
      <c r="G4" s="478">
        <f>huishoudens!G8</f>
        <v>0</v>
      </c>
      <c r="H4" s="478">
        <f>huishoudens!H8</f>
        <v>0</v>
      </c>
      <c r="I4" s="478">
        <f>huishoudens!I8</f>
        <v>0</v>
      </c>
      <c r="J4" s="478">
        <f>huishoudens!J8</f>
        <v>0</v>
      </c>
      <c r="K4" s="478">
        <f>huishoudens!K8</f>
        <v>0</v>
      </c>
      <c r="L4" s="478">
        <f>huishoudens!L8</f>
        <v>0</v>
      </c>
      <c r="M4" s="478">
        <f>huishoudens!M8</f>
        <v>0</v>
      </c>
      <c r="N4" s="478">
        <f>huishoudens!N8</f>
        <v>8695.3848668534265</v>
      </c>
      <c r="O4" s="478">
        <f>huishoudens!O8</f>
        <v>251.69666666666669</v>
      </c>
      <c r="P4" s="479">
        <f>huishoudens!P8</f>
        <v>533.86666666666667</v>
      </c>
      <c r="Q4" s="480">
        <f>SUM(B4:P4)</f>
        <v>121296.30502338558</v>
      </c>
    </row>
    <row r="5" spans="1:17">
      <c r="A5" s="477" t="s">
        <v>156</v>
      </c>
      <c r="B5" s="478">
        <f ca="1">tertiair!B16</f>
        <v>27658.525600000001</v>
      </c>
      <c r="C5" s="478">
        <f ca="1">tertiair!C16</f>
        <v>72.321428571428569</v>
      </c>
      <c r="D5" s="478">
        <f ca="1">tertiair!D16</f>
        <v>25486.126963027706</v>
      </c>
      <c r="E5" s="478">
        <f>tertiair!E16</f>
        <v>267.78439216575975</v>
      </c>
      <c r="F5" s="478">
        <f ca="1">tertiair!F16</f>
        <v>4133.9838001494127</v>
      </c>
      <c r="G5" s="478">
        <f>tertiair!G16</f>
        <v>0</v>
      </c>
      <c r="H5" s="478">
        <f>tertiair!H16</f>
        <v>0</v>
      </c>
      <c r="I5" s="478">
        <f>tertiair!I16</f>
        <v>0</v>
      </c>
      <c r="J5" s="478">
        <f>tertiair!J16</f>
        <v>0</v>
      </c>
      <c r="K5" s="478">
        <f>tertiair!K16</f>
        <v>0</v>
      </c>
      <c r="L5" s="478">
        <f ca="1">tertiair!L16</f>
        <v>0</v>
      </c>
      <c r="M5" s="478">
        <f>tertiair!M16</f>
        <v>0</v>
      </c>
      <c r="N5" s="478">
        <f ca="1">tertiair!N16</f>
        <v>2830.3258531531037</v>
      </c>
      <c r="O5" s="478">
        <f>tertiair!O16</f>
        <v>1.5633333333333335</v>
      </c>
      <c r="P5" s="479">
        <f>tertiair!P16</f>
        <v>57.2</v>
      </c>
      <c r="Q5" s="477">
        <f t="shared" ref="Q5:Q14" ca="1" si="0">SUM(B5:P5)</f>
        <v>60507.831370400745</v>
      </c>
    </row>
    <row r="6" spans="1:17">
      <c r="A6" s="477" t="s">
        <v>194</v>
      </c>
      <c r="B6" s="478">
        <f>'openbare verlichting'!B8</f>
        <v>1527.9680000000001</v>
      </c>
      <c r="C6" s="478"/>
      <c r="D6" s="478"/>
      <c r="E6" s="478"/>
      <c r="F6" s="478"/>
      <c r="G6" s="478"/>
      <c r="H6" s="478"/>
      <c r="I6" s="478"/>
      <c r="J6" s="478"/>
      <c r="K6" s="478"/>
      <c r="L6" s="478"/>
      <c r="M6" s="478"/>
      <c r="N6" s="478"/>
      <c r="O6" s="478"/>
      <c r="P6" s="479"/>
      <c r="Q6" s="477">
        <f t="shared" si="0"/>
        <v>1527.9680000000001</v>
      </c>
    </row>
    <row r="7" spans="1:17">
      <c r="A7" s="477" t="s">
        <v>112</v>
      </c>
      <c r="B7" s="478">
        <f>landbouw!B8</f>
        <v>923.46749999999997</v>
      </c>
      <c r="C7" s="478">
        <f>landbouw!C8</f>
        <v>0</v>
      </c>
      <c r="D7" s="478">
        <f>landbouw!D8</f>
        <v>157.13897400771404</v>
      </c>
      <c r="E7" s="478">
        <f>landbouw!E8</f>
        <v>8.553542768742906</v>
      </c>
      <c r="F7" s="478">
        <f>landbouw!F8</f>
        <v>2343.0129678782168</v>
      </c>
      <c r="G7" s="478">
        <f>landbouw!G8</f>
        <v>0</v>
      </c>
      <c r="H7" s="478">
        <f>landbouw!H8</f>
        <v>0</v>
      </c>
      <c r="I7" s="478">
        <f>landbouw!I8</f>
        <v>0</v>
      </c>
      <c r="J7" s="478">
        <f>landbouw!J8</f>
        <v>141.57787367737882</v>
      </c>
      <c r="K7" s="478">
        <f>landbouw!K8</f>
        <v>0</v>
      </c>
      <c r="L7" s="478">
        <f>landbouw!L8</f>
        <v>0</v>
      </c>
      <c r="M7" s="478">
        <f>landbouw!M8</f>
        <v>0</v>
      </c>
      <c r="N7" s="478">
        <f>landbouw!N8</f>
        <v>0</v>
      </c>
      <c r="O7" s="478">
        <f>landbouw!O8</f>
        <v>0</v>
      </c>
      <c r="P7" s="479">
        <f>landbouw!P8</f>
        <v>0</v>
      </c>
      <c r="Q7" s="477">
        <f t="shared" si="0"/>
        <v>3573.7508583320528</v>
      </c>
    </row>
    <row r="8" spans="1:17">
      <c r="A8" s="477" t="s">
        <v>650</v>
      </c>
      <c r="B8" s="478">
        <f>industrie!B18</f>
        <v>136482.03599999999</v>
      </c>
      <c r="C8" s="478">
        <f>industrie!C18</f>
        <v>20944.28571428571</v>
      </c>
      <c r="D8" s="478">
        <f>industrie!D18</f>
        <v>108933.11148423649</v>
      </c>
      <c r="E8" s="478">
        <f>industrie!E18</f>
        <v>5195.641412824797</v>
      </c>
      <c r="F8" s="478">
        <f>industrie!F18</f>
        <v>46393.335011614261</v>
      </c>
      <c r="G8" s="478">
        <f>industrie!G18</f>
        <v>0</v>
      </c>
      <c r="H8" s="478">
        <f>industrie!H18</f>
        <v>0</v>
      </c>
      <c r="I8" s="478">
        <f>industrie!I18</f>
        <v>0</v>
      </c>
      <c r="J8" s="478">
        <f>industrie!J18</f>
        <v>532.64701850983602</v>
      </c>
      <c r="K8" s="478">
        <f>industrie!K18</f>
        <v>0</v>
      </c>
      <c r="L8" s="478">
        <f>industrie!L18</f>
        <v>0</v>
      </c>
      <c r="M8" s="478">
        <f>industrie!M18</f>
        <v>0</v>
      </c>
      <c r="N8" s="478">
        <f>industrie!N18</f>
        <v>19846.035051082596</v>
      </c>
      <c r="O8" s="478">
        <f>industrie!O18</f>
        <v>0</v>
      </c>
      <c r="P8" s="479">
        <f>industrie!P18</f>
        <v>0</v>
      </c>
      <c r="Q8" s="477">
        <f t="shared" si="0"/>
        <v>338327.09169255372</v>
      </c>
    </row>
    <row r="9" spans="1:17" s="483" customFormat="1">
      <c r="A9" s="481" t="s">
        <v>571</v>
      </c>
      <c r="B9" s="482">
        <f>transport!B14</f>
        <v>51.939153976136978</v>
      </c>
      <c r="C9" s="482">
        <f>transport!C14</f>
        <v>0</v>
      </c>
      <c r="D9" s="482">
        <f>transport!D14</f>
        <v>136.60220087361597</v>
      </c>
      <c r="E9" s="482">
        <f>transport!E14</f>
        <v>908.96578597198504</v>
      </c>
      <c r="F9" s="482">
        <f>transport!F14</f>
        <v>0</v>
      </c>
      <c r="G9" s="482">
        <f>transport!G14</f>
        <v>330370.71430033032</v>
      </c>
      <c r="H9" s="482">
        <f>transport!H14</f>
        <v>52060.738801858402</v>
      </c>
      <c r="I9" s="482">
        <f>transport!I14</f>
        <v>0</v>
      </c>
      <c r="J9" s="482">
        <f>transport!J14</f>
        <v>0</v>
      </c>
      <c r="K9" s="482">
        <f>transport!K14</f>
        <v>0</v>
      </c>
      <c r="L9" s="482">
        <f>transport!L14</f>
        <v>0</v>
      </c>
      <c r="M9" s="482">
        <f>transport!M14</f>
        <v>20713.048007593643</v>
      </c>
      <c r="N9" s="482">
        <f>transport!N14</f>
        <v>0</v>
      </c>
      <c r="O9" s="482">
        <f>transport!O14</f>
        <v>0</v>
      </c>
      <c r="P9" s="482">
        <f>transport!P14</f>
        <v>0</v>
      </c>
      <c r="Q9" s="481">
        <f>SUM(B9:P9)</f>
        <v>404242.00825060409</v>
      </c>
    </row>
    <row r="10" spans="1:17">
      <c r="A10" s="477" t="s">
        <v>561</v>
      </c>
      <c r="B10" s="478">
        <f>transport!B54</f>
        <v>0</v>
      </c>
      <c r="C10" s="478">
        <f>transport!C54</f>
        <v>0</v>
      </c>
      <c r="D10" s="478">
        <f>transport!D54</f>
        <v>0</v>
      </c>
      <c r="E10" s="478">
        <f>transport!E54</f>
        <v>0</v>
      </c>
      <c r="F10" s="478">
        <f>transport!F54</f>
        <v>0</v>
      </c>
      <c r="G10" s="478">
        <f>transport!G54</f>
        <v>1594.7328184747262</v>
      </c>
      <c r="H10" s="478">
        <f>transport!H54</f>
        <v>0</v>
      </c>
      <c r="I10" s="478">
        <f>transport!I54</f>
        <v>0</v>
      </c>
      <c r="J10" s="478">
        <f>transport!J54</f>
        <v>0</v>
      </c>
      <c r="K10" s="478">
        <f>transport!K54</f>
        <v>0</v>
      </c>
      <c r="L10" s="478">
        <f>transport!L54</f>
        <v>0</v>
      </c>
      <c r="M10" s="478">
        <f>transport!M54</f>
        <v>90.942963740315506</v>
      </c>
      <c r="N10" s="478">
        <f>transport!N54</f>
        <v>0</v>
      </c>
      <c r="O10" s="478">
        <f>transport!O54</f>
        <v>0</v>
      </c>
      <c r="P10" s="479">
        <f>transport!P54</f>
        <v>0</v>
      </c>
      <c r="Q10" s="477">
        <f t="shared" si="0"/>
        <v>1685.6757822150416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777.89509999999996</v>
      </c>
      <c r="C14" s="485"/>
      <c r="D14" s="485">
        <f>'SEAP template'!E25</f>
        <v>2275.6775300087702</v>
      </c>
      <c r="E14" s="485"/>
      <c r="F14" s="485"/>
      <c r="G14" s="485"/>
      <c r="H14" s="485"/>
      <c r="I14" s="485"/>
      <c r="J14" s="485"/>
      <c r="K14" s="485"/>
      <c r="L14" s="485"/>
      <c r="M14" s="485"/>
      <c r="N14" s="485"/>
      <c r="O14" s="485"/>
      <c r="P14" s="486"/>
      <c r="Q14" s="477">
        <f t="shared" si="0"/>
        <v>3053.5726300087699</v>
      </c>
    </row>
    <row r="15" spans="1:17" s="487" customFormat="1">
      <c r="A15" s="1051" t="s">
        <v>565</v>
      </c>
      <c r="B15" s="991">
        <f ca="1">SUM(B4:B14)</f>
        <v>196661.20139308102</v>
      </c>
      <c r="C15" s="991">
        <f t="shared" ref="C15:Q15" ca="1" si="1">SUM(C4:C14)</f>
        <v>21016.607142857138</v>
      </c>
      <c r="D15" s="991">
        <f t="shared" ca="1" si="1"/>
        <v>208088.57627735107</v>
      </c>
      <c r="E15" s="991">
        <f t="shared" si="1"/>
        <v>8490.4398885758073</v>
      </c>
      <c r="F15" s="991">
        <f t="shared" ca="1" si="1"/>
        <v>62236.904683694505</v>
      </c>
      <c r="G15" s="991">
        <f t="shared" si="1"/>
        <v>331965.44711880502</v>
      </c>
      <c r="H15" s="991">
        <f t="shared" si="1"/>
        <v>52060.738801858402</v>
      </c>
      <c r="I15" s="991">
        <f t="shared" si="1"/>
        <v>0</v>
      </c>
      <c r="J15" s="991">
        <f t="shared" si="1"/>
        <v>674.22489218721489</v>
      </c>
      <c r="K15" s="991">
        <f t="shared" si="1"/>
        <v>0</v>
      </c>
      <c r="L15" s="991">
        <f t="shared" ca="1" si="1"/>
        <v>0</v>
      </c>
      <c r="M15" s="991">
        <f t="shared" si="1"/>
        <v>20803.990971333958</v>
      </c>
      <c r="N15" s="991">
        <f t="shared" ca="1" si="1"/>
        <v>31371.745771089125</v>
      </c>
      <c r="O15" s="991">
        <f t="shared" si="1"/>
        <v>253.26000000000002</v>
      </c>
      <c r="P15" s="991">
        <f t="shared" si="1"/>
        <v>591.06666666666672</v>
      </c>
      <c r="Q15" s="991">
        <f t="shared" ca="1" si="1"/>
        <v>934214.20360750018</v>
      </c>
    </row>
    <row r="17" spans="1:17">
      <c r="A17" s="488" t="s">
        <v>566</v>
      </c>
      <c r="B17" s="787">
        <f ca="1">huishoudens!B10</f>
        <v>0.19817935355167249</v>
      </c>
      <c r="C17" s="787">
        <f ca="1">huishoudens!C10</f>
        <v>0.23764705882352935</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5794.6394526079494</v>
      </c>
      <c r="C22" s="478">
        <f t="shared" ref="C22:C32" ca="1" si="3">C4*$C$17</f>
        <v>0</v>
      </c>
      <c r="D22" s="478">
        <f t="shared" ref="D22:D32" si="4">D4*$D$17</f>
        <v>14362.183663289748</v>
      </c>
      <c r="E22" s="478">
        <f t="shared" ref="E22:E32" si="5">E4*$E$17</f>
        <v>478.85530934970654</v>
      </c>
      <c r="F22" s="478">
        <f t="shared" ref="F22:F32" si="6">F4*$F$17</f>
        <v>2500.8749653820478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23136.553390629455</v>
      </c>
    </row>
    <row r="23" spans="1:17">
      <c r="A23" s="477" t="s">
        <v>156</v>
      </c>
      <c r="B23" s="478">
        <f t="shared" ca="1" si="2"/>
        <v>5481.3487236003848</v>
      </c>
      <c r="C23" s="478">
        <f t="shared" ca="1" si="3"/>
        <v>17.186974789915961</v>
      </c>
      <c r="D23" s="478">
        <f t="shared" ca="1" si="4"/>
        <v>5148.1976465315965</v>
      </c>
      <c r="E23" s="478">
        <f t="shared" si="5"/>
        <v>60.787057021627469</v>
      </c>
      <c r="F23" s="478">
        <f t="shared" ca="1" si="6"/>
        <v>1103.7736746398932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11811.294076583417</v>
      </c>
    </row>
    <row r="24" spans="1:17">
      <c r="A24" s="477" t="s">
        <v>194</v>
      </c>
      <c r="B24" s="478">
        <f t="shared" ca="1" si="2"/>
        <v>302.8117104876419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302.8117104876419</v>
      </c>
    </row>
    <row r="25" spans="1:17">
      <c r="A25" s="477" t="s">
        <v>112</v>
      </c>
      <c r="B25" s="478">
        <f t="shared" ca="1" si="2"/>
        <v>183.0121921759791</v>
      </c>
      <c r="C25" s="478">
        <f t="shared" ca="1" si="3"/>
        <v>0</v>
      </c>
      <c r="D25" s="478">
        <f t="shared" si="4"/>
        <v>31.74207274955824</v>
      </c>
      <c r="E25" s="478">
        <f t="shared" si="5"/>
        <v>1.9416542085046398</v>
      </c>
      <c r="F25" s="478">
        <f t="shared" si="6"/>
        <v>625.58446242348396</v>
      </c>
      <c r="G25" s="478">
        <f t="shared" si="7"/>
        <v>0</v>
      </c>
      <c r="H25" s="478">
        <f t="shared" si="8"/>
        <v>0</v>
      </c>
      <c r="I25" s="478">
        <f t="shared" si="9"/>
        <v>0</v>
      </c>
      <c r="J25" s="478">
        <f t="shared" si="10"/>
        <v>50.118567281792096</v>
      </c>
      <c r="K25" s="478">
        <f t="shared" si="11"/>
        <v>0</v>
      </c>
      <c r="L25" s="478">
        <f t="shared" si="12"/>
        <v>0</v>
      </c>
      <c r="M25" s="478">
        <f t="shared" si="13"/>
        <v>0</v>
      </c>
      <c r="N25" s="478">
        <f t="shared" si="14"/>
        <v>0</v>
      </c>
      <c r="O25" s="478">
        <f t="shared" si="15"/>
        <v>0</v>
      </c>
      <c r="P25" s="479">
        <f t="shared" si="16"/>
        <v>0</v>
      </c>
      <c r="Q25" s="477">
        <f t="shared" ca="1" si="17"/>
        <v>892.39894883931811</v>
      </c>
    </row>
    <row r="26" spans="1:17">
      <c r="A26" s="477" t="s">
        <v>650</v>
      </c>
      <c r="B26" s="478">
        <f t="shared" ca="1" si="2"/>
        <v>27047.92166589609</v>
      </c>
      <c r="C26" s="478">
        <f t="shared" ca="1" si="3"/>
        <v>4977.3478991596612</v>
      </c>
      <c r="D26" s="478">
        <f t="shared" si="4"/>
        <v>22004.488519815772</v>
      </c>
      <c r="E26" s="478">
        <f t="shared" si="5"/>
        <v>1179.4106007112289</v>
      </c>
      <c r="F26" s="478">
        <f t="shared" si="6"/>
        <v>12387.020448101008</v>
      </c>
      <c r="G26" s="478">
        <f t="shared" si="7"/>
        <v>0</v>
      </c>
      <c r="H26" s="478">
        <f t="shared" si="8"/>
        <v>0</v>
      </c>
      <c r="I26" s="478">
        <f t="shared" si="9"/>
        <v>0</v>
      </c>
      <c r="J26" s="478">
        <f t="shared" si="10"/>
        <v>188.55704455248193</v>
      </c>
      <c r="K26" s="478">
        <f t="shared" si="11"/>
        <v>0</v>
      </c>
      <c r="L26" s="478">
        <f t="shared" si="12"/>
        <v>0</v>
      </c>
      <c r="M26" s="478">
        <f t="shared" si="13"/>
        <v>0</v>
      </c>
      <c r="N26" s="478">
        <f t="shared" si="14"/>
        <v>0</v>
      </c>
      <c r="O26" s="478">
        <f t="shared" si="15"/>
        <v>0</v>
      </c>
      <c r="P26" s="479">
        <f t="shared" si="16"/>
        <v>0</v>
      </c>
      <c r="Q26" s="477">
        <f t="shared" ca="1" si="17"/>
        <v>67784.746178236237</v>
      </c>
    </row>
    <row r="27" spans="1:17" s="483" customFormat="1">
      <c r="A27" s="481" t="s">
        <v>571</v>
      </c>
      <c r="B27" s="781">
        <f t="shared" ca="1" si="2"/>
        <v>10.293267959011606</v>
      </c>
      <c r="C27" s="482">
        <f t="shared" ca="1" si="3"/>
        <v>0</v>
      </c>
      <c r="D27" s="482">
        <f t="shared" si="4"/>
        <v>27.593644576470428</v>
      </c>
      <c r="E27" s="482">
        <f t="shared" si="5"/>
        <v>206.3352334156406</v>
      </c>
      <c r="F27" s="482">
        <f t="shared" si="6"/>
        <v>0</v>
      </c>
      <c r="G27" s="482">
        <f t="shared" si="7"/>
        <v>88208.980718188206</v>
      </c>
      <c r="H27" s="482">
        <f t="shared" si="8"/>
        <v>12963.123961662743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101416.32682580207</v>
      </c>
    </row>
    <row r="28" spans="1:17">
      <c r="A28" s="477" t="s">
        <v>561</v>
      </c>
      <c r="B28" s="478">
        <f t="shared" ca="1" si="2"/>
        <v>0</v>
      </c>
      <c r="C28" s="478">
        <f t="shared" ca="1" si="3"/>
        <v>0</v>
      </c>
      <c r="D28" s="478">
        <f t="shared" si="4"/>
        <v>0</v>
      </c>
      <c r="E28" s="478">
        <f t="shared" si="5"/>
        <v>0</v>
      </c>
      <c r="F28" s="478">
        <f t="shared" si="6"/>
        <v>0</v>
      </c>
      <c r="G28" s="478">
        <f t="shared" si="7"/>
        <v>425.79366253275191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425.79366253275191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154.16274804901363</v>
      </c>
      <c r="C32" s="478">
        <f t="shared" ca="1" si="3"/>
        <v>0</v>
      </c>
      <c r="D32" s="478">
        <f t="shared" si="4"/>
        <v>459.68686106177159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613.8496091107852</v>
      </c>
    </row>
    <row r="33" spans="1:17" s="487" customFormat="1">
      <c r="A33" s="1051" t="s">
        <v>565</v>
      </c>
      <c r="B33" s="991">
        <f ca="1">SUM(B22:B32)</f>
        <v>38974.189760776069</v>
      </c>
      <c r="C33" s="991">
        <f t="shared" ref="C33:Q33" ca="1" si="18">SUM(C22:C32)</f>
        <v>4994.5348739495776</v>
      </c>
      <c r="D33" s="991">
        <f t="shared" ca="1" si="18"/>
        <v>42033.89240802492</v>
      </c>
      <c r="E33" s="991">
        <f t="shared" si="18"/>
        <v>1927.3298547067081</v>
      </c>
      <c r="F33" s="991">
        <f t="shared" ca="1" si="18"/>
        <v>16617.253550546433</v>
      </c>
      <c r="G33" s="991">
        <f t="shared" si="18"/>
        <v>88634.774380720963</v>
      </c>
      <c r="H33" s="991">
        <f t="shared" si="18"/>
        <v>12963.123961662743</v>
      </c>
      <c r="I33" s="991">
        <f t="shared" si="18"/>
        <v>0</v>
      </c>
      <c r="J33" s="991">
        <f t="shared" si="18"/>
        <v>238.67561183427404</v>
      </c>
      <c r="K33" s="991">
        <f t="shared" si="18"/>
        <v>0</v>
      </c>
      <c r="L33" s="991">
        <f t="shared" ca="1" si="18"/>
        <v>0</v>
      </c>
      <c r="M33" s="991">
        <f t="shared" si="18"/>
        <v>0</v>
      </c>
      <c r="N33" s="991">
        <f t="shared" ca="1" si="18"/>
        <v>0</v>
      </c>
      <c r="O33" s="991">
        <f t="shared" si="18"/>
        <v>0</v>
      </c>
      <c r="P33" s="991">
        <f t="shared" si="18"/>
        <v>0</v>
      </c>
      <c r="Q33" s="991">
        <f t="shared" ca="1" si="18"/>
        <v>206383.77440222169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12088.39033298098</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9327.179955976213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14711.624999999998</v>
      </c>
      <c r="D8" s="1068">
        <f>'SEAP template'!D76</f>
        <v>17307.794117647056</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3496.1744117647054</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21415.570288957191</v>
      </c>
      <c r="C10" s="1072">
        <f>SUM(C4:C9)</f>
        <v>14711.624999999998</v>
      </c>
      <c r="D10" s="1072">
        <f t="shared" ref="D10:H10" si="0">SUM(D8:D9)</f>
        <v>17307.794117647056</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3496.1744117647054</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0.19817935355167249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21016.607142857138</v>
      </c>
      <c r="D17" s="1069">
        <f>'SEAP template'!D87</f>
        <v>24725.420168067216</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4994.5348739495776</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21016.607142857138</v>
      </c>
      <c r="D20" s="1072">
        <f t="shared" ref="D20:H20" si="2">SUM(D17:D19)</f>
        <v>24725.420168067216</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4994.5348739495776</v>
      </c>
    </row>
    <row r="22" spans="1:16">
      <c r="A22" s="488" t="s">
        <v>888</v>
      </c>
      <c r="B22" s="787" t="s">
        <v>882</v>
      </c>
      <c r="C22" s="787">
        <f ca="1">'EF ele_warmte'!B22</f>
        <v>0.23764705882352935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0.19817935355167249</v>
      </c>
      <c r="C17" s="525">
        <f ca="1">'EF ele_warmte'!B22</f>
        <v>0.23764705882352935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2019-08-12T08:06:49Z</dcterms:modified>
</cp:coreProperties>
</file>