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15" i="48"/>
  <c r="P22"/>
  <c r="P33" s="1"/>
  <c r="Q16" i="14"/>
  <c r="Q27" s="1"/>
  <c r="Q63" s="1"/>
  <c r="J46"/>
  <c r="J61" s="1"/>
  <c r="D10"/>
  <c r="K33" i="48"/>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20" i="14"/>
  <c r="H22" s="1"/>
  <c r="H27" s="1"/>
  <c r="G9" i="48"/>
  <c r="G31"/>
  <c r="Q13"/>
  <c r="N19" i="14"/>
  <c r="M10" i="48"/>
  <c r="M28" s="1"/>
  <c r="O22" i="16"/>
  <c r="P43" i="14" s="1"/>
  <c r="P13"/>
  <c r="P16" s="1"/>
  <c r="P27" s="1"/>
  <c r="P63" s="1"/>
  <c r="O8" i="48"/>
  <c r="O26" s="1"/>
  <c r="O33" s="1"/>
  <c r="H19" i="14"/>
  <c r="R19" s="1"/>
  <c r="G10" i="48"/>
  <c r="I23"/>
  <c r="I33" s="1"/>
  <c r="I15"/>
  <c r="E12" i="13"/>
  <c r="F41" i="14" s="1"/>
  <c r="E4" i="48"/>
  <c r="F11" i="14"/>
  <c r="R11" s="1"/>
  <c r="K11"/>
  <c r="J4" i="48"/>
  <c r="E7"/>
  <c r="E25" s="1"/>
  <c r="F24" i="14"/>
  <c r="F26" s="1"/>
  <c r="P46"/>
  <c r="P61" s="1"/>
  <c r="J63"/>
  <c r="O15" i="48"/>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0" l="1"/>
  <c r="N22" s="1"/>
  <c r="N27" s="1"/>
  <c r="M9" i="48"/>
  <c r="J22"/>
  <c r="G27"/>
  <c r="G15"/>
  <c r="G28"/>
  <c r="Q10"/>
  <c r="K10" i="14"/>
  <c r="J5" i="48"/>
  <c r="J23" s="1"/>
  <c r="F10" i="14"/>
  <c r="E5" i="48"/>
  <c r="E23" s="1"/>
  <c r="H9"/>
  <c r="I20" i="14"/>
  <c r="I22" s="1"/>
  <c r="I27" s="1"/>
  <c r="E22" i="48"/>
  <c r="Q4"/>
  <c r="M18" i="22"/>
  <c r="N50" i="14" s="1"/>
  <c r="N52" s="1"/>
  <c r="N61" s="1"/>
  <c r="N63" s="1"/>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M27" i="48" l="1"/>
  <c r="M33" s="1"/>
  <c r="M15"/>
  <c r="J22" i="16"/>
  <c r="K43" i="14" s="1"/>
  <c r="K13"/>
  <c r="K16" s="1"/>
  <c r="K27" s="1"/>
  <c r="J8" i="48"/>
  <c r="J26" s="1"/>
  <c r="J33" s="1"/>
  <c r="F13" i="14"/>
  <c r="E8" i="48"/>
  <c r="H27"/>
  <c r="H33" s="1"/>
  <c r="H15"/>
  <c r="Q9"/>
  <c r="F46" i="14"/>
  <c r="F61" s="1"/>
  <c r="F63" s="1"/>
  <c r="F16"/>
  <c r="F27" s="1"/>
  <c r="R20"/>
  <c r="R22" s="1"/>
  <c r="K46"/>
  <c r="K61" s="1"/>
  <c r="G33" i="48"/>
  <c r="I63" i="14"/>
  <c r="O13"/>
  <c r="N8" i="48"/>
  <c r="N26" s="1"/>
  <c r="F8"/>
  <c r="G13" i="14"/>
  <c r="E26" i="48" l="1"/>
  <c r="E33" s="1"/>
  <c r="E15"/>
  <c r="K63" i="14"/>
  <c r="J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<sst xmlns="http://schemas.openxmlformats.org/spreadsheetml/2006/main" count="2419" uniqueCount="907">
  <si>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</si>
  <si>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</si>
  <si>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</si>
  <si>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</si>
  <si>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</si>
  <si>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</si>
  <si>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</si>
  <si>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</si>
  <si>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</si>
  <si>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</si>
  <si>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</si>
  <si>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</si>
  <si>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</si>
  <si>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</si>
  <si>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</si>
  <si>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</si>
  <si>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</si>
  <si>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</si>
  <si>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</si>
  <si>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</si>
  <si>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</si>
  <si>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</si>
  <si>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</si>
  <si>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</si>
  <si>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</si>
  <si>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</si>
  <si>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</si>
  <si>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</si>
  <si>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</si>
  <si>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</si>
  <si>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</si>
  <si>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</si>
  <si>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</si>
  <si>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</si>
  <si>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</si>
  <si>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</si>
  <si>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</si>
  <si>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</si>
  <si>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</si>
  <si>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</si>
  <si>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</si>
  <si>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</si>
  <si>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</si>
  <si>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</si>
  <si>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</si>
  <si>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</si>
  <si>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</si>
  <si>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</si>
  <si>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</si>
  <si>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</si>
  <si>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</si>
  <si>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</si>
  <si>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</si>
  <si>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</si>
  <si>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</si>
  <si>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</si>
  <si>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</si>
  <si>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</si>
  <si>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</si>
  <si>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</si>
  <si>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</si>
  <si>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</si>
  <si>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</si>
  <si>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</si>
  <si>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</si>
  <si>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</si>
  <si>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</si>
  <si>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</si>
  <si>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</si>
  <si>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</si>
  <si>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</si>
  <si>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</si>
  <si>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</si>
  <si>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</si>
  <si>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</si>
  <si>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</si>
  <si>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</si>
  <si>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</si>
  <si>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</si>
  <si>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</si>
  <si>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</si>
  <si>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</si>
  <si>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</si>
  <si>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</si>
  <si>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</si>
  <si>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</si>
  <si>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</si>
  <si>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</si>
  <si>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</si>
  <si>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</si>
  <si>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</si>
  <si>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</si>
  <si>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</si>
  <si>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</si>
  <si>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</si>
  <si>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</si>
  <si>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</si>
  <si>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</si>
  <si>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</si>
  <si>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</si>
  <si>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</si>
  <si>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</si>
  <si>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</si>
  <si>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</si>
  <si>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</si>
  <si>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</si>
  <si>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</si>
  <si>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</si>
  <si>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</si>
  <si>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</si>
  <si>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</si>
  <si>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</si>
  <si>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</si>
  <si>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</si>
  <si>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</si>
  <si>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</si>
  <si>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</si>
  <si>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</si>
  <si>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</si>
  <si>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</si>
  <si>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</si>
  <si>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</si>
  <si>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</si>
  <si>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</si>
  <si>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</si>
  <si>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</si>
  <si>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</si>
  <si>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</si>
  <si>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</si>
  <si>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</si>
  <si>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</si>
  <si>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</si>
  <si>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</si>
  <si>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</si>
  <si>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</si>
  <si>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</si>
  <si>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</si>
  <si>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</si>
  <si>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</si>
  <si>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</si>
  <si>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</si>
  <si>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</si>
  <si>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</si>
  <si>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</si>
  <si>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</si>
  <si>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</si>
  <si>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</si>
  <si>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</si>
  <si>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</si>
  <si>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</si>
  <si>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</si>
  <si>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</si>
  <si>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</si>
  <si>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</si>
  <si>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</si>
  <si>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</si>
  <si>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</si>
  <si>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</si>
  <si>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</si>
  <si>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</si>
  <si>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</si>
  <si>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</si>
  <si>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</si>
  <si>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</si>
  <si>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</si>
  <si>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</si>
  <si>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</si>
  <si>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</si>
  <si>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</si>
  <si>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</si>
  <si>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</si>
  <si>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</si>
  <si>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</si>
  <si>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</si>
  <si>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</si>
  <si>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</si>
  <si>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</si>
  <si>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</si>
  <si>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</si>
  <si>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</si>
  <si>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</si>
  <si>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</si>
  <si>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</si>
  <si>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</si>
  <si>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</si>
  <si>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</si>
  <si>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</si>
  <si>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</si>
  <si>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</si>
  <si>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</si>
  <si>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</si>
  <si>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</si>
  <si>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</si>
  <si>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</si>
  <si>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</si>
  <si>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</si>
  <si>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</si>
  <si>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</si>
  <si>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</si>
  <si>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</si>
  <si>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</si>
  <si>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</si>
  <si>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</si>
  <si>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</si>
  <si>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</si>
  <si>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</si>
  <si>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</si>
  <si>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</si>
  <si>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</si>
  <si>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</si>
  <si>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</si>
  <si>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</si>
  <si>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</si>
  <si>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</si>
  <si>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</si>
  <si>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</si>
  <si>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</si>
  <si>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</si>
  <si>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</si>
  <si>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</si>
  <si>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</si>
  <si>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</si>
  <si>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</si>
  <si>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</si>
  <si>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</si>
  <si>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</si>
  <si>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</si>
  <si>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</si>
  <si>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</si>
  <si>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</si>
  <si>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</si>
  <si>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</si>
  <si>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</si>
  <si>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</si>
  <si>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</si>
  <si>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</si>
  <si>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</si>
  <si>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</si>
  <si>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</si>
  <si>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</si>
  <si>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</si>
  <si>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</si>
  <si>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</si>
  <si>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</si>
  <si>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</si>
  <si>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</si>
  <si>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</si>
  <si>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</si>
  <si>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</si>
  <si>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</si>
  <si>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</si>
  <si>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</si>
  <si>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</si>
  <si>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</si>
  <si>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</si>
  <si>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</si>
  <si>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</si>
  <si>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</si>
  <si>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</si>
  <si>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</si>
  <si>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</si>
  <si>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</si>
  <si>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</si>
  <si>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</si>
  <si>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</si>
  <si>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</si>
  <si>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</si>
  <si>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</si>
  <si>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</si>
  <si>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</si>
  <si>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</si>
  <si>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</si>
  <si>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</si>
  <si>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</si>
  <si>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</si>
  <si>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</si>
  <si>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</si>
  <si>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</si>
  <si>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</si>
  <si>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</si>
  <si>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</si>
  <si>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</si>
  <si>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</si>
  <si>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</si>
  <si>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</si>
  <si>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</si>
  <si>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</si>
  <si>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</si>
  <si>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</si>
  <si>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</si>
  <si>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</si>
  <si>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</si>
  <si>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</si>
  <si>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</si>
  <si>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</si>
  <si>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</si>
  <si>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</si>
  <si>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</si>
  <si>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</si>
  <si>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</si>
  <si>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</si>
  <si>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</si>
  <si>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</si>
  <si>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</si>
  <si>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</si>
  <si>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</si>
  <si>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</si>
  <si>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</si>
  <si>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</si>
  <si>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</si>
  <si>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</si>
  <si>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</si>
  <si>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</si>
  <si>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</si>
  <si>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</si>
  <si>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</si>
  <si>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</si>
  <si>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</si>
  <si>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</si>
  <si>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</si>
  <si>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</si>
  <si>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</si>
  <si>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</si>
  <si>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</si>
  <si>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</si>
  <si>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</si>
  <si>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</si>
  <si>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</si>
  <si>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</si>
  <si>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</si>
  <si>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</si>
  <si>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</si>
  <si>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</si>
  <si>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</si>
  <si>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</si>
  <si>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</si>
  <si>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</si>
  <si>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</si>
  <si>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</si>
  <si>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</si>
  <si>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</si>
  <si>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</si>
  <si>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</si>
  <si>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</si>
  <si>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</si>
  <si>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</si>
  <si>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</si>
  <si>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</si>
  <si>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</si>
  <si>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</si>
  <si>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</si>
  <si>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</si>
  <si>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</si>
  <si>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</si>
  <si>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</si>
  <si>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</si>
  <si>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</si>
  <si>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</si>
  <si>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</si>
  <si>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</si>
  <si>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</si>
  <si>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</si>
  <si>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</si>
  <si>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</si>
  <si>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</si>
  <si>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</si>
  <si>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</si>
  <si>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</si>
  <si>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</si>
  <si>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</si>
  <si>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</si>
  <si>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</si>
  <si>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</si>
  <si>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</si>
  <si>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</si>
  <si>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</si>
  <si>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</si>
  <si>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</si>
  <si>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</si>
  <si>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</si>
  <si>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</si>
  <si>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</si>
  <si>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</si>
  <si>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</si>
  <si>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</si>
  <si>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</si>
  <si>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</si>
  <si>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</si>
  <si>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</si>
  <si>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</si>
  <si>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</si>
  <si>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</si>
  <si>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</si>
  <si>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</si>
  <si>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</si>
  <si>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</si>
  <si>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</si>
  <si>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</si>
  <si>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</si>
  <si>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</si>
  <si>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</si>
  <si>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</si>
  <si>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</si>
  <si>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</si>
  <si>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</si>
  <si>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</si>
  <si>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</si>
  <si>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</si>
  <si>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</si>
  <si>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</si>
  <si>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</si>
  <si>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</si>
  <si>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</si>
  <si>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</si>
  <si>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</si>
  <si>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</si>
  <si>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</si>
  <si>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</si>
  <si>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</si>
  <si>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</si>
  <si>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</si>
  <si>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</si>
  <si>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</si>
  <si>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</si>
  <si>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</si>
  <si>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</si>
  <si>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</si>
  <si>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</si>
  <si>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</si>
  <si>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</si>
  <si>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</si>
  <si>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</si>
  <si>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</si>
  <si>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</si>
  <si>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</si>
  <si>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</si>
  <si>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</si>
  <si>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</si>
  <si>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</si>
  <si>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</si>
  <si>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</si>
  <si>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</si>
  <si>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</si>
  <si>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</si>
  <si>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</si>
  <si>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</si>
  <si>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</si>
  <si>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</si>
  <si>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</si>
  <si>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</si>
  <si>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</si>
  <si>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</si>
  <si>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</si>
  <si>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</si>
  <si>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</si>
  <si>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</si>
  <si>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</si>
  <si>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</si>
  <si>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</si>
  <si>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</si>
  <si>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</si>
  <si>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</si>
  <si>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</si>
  <si>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</si>
  <si>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</si>
  <si>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</si>
  <si>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</si>
  <si>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</si>
  <si>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</si>
  <si>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</si>
  <si>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</si>
  <si>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</si>
  <si>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</si>
  <si>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</si>
  <si>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</si>
  <si>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</si>
  <si>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</si>
  <si>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</si>
  <si>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</si>
  <si>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</si>
  <si>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</si>
  <si>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</si>
  <si>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</si>
  <si>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</si>
  <si>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</si>
  <si>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</si>
  <si>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</si>
  <si>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</si>
  <si>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</si>
  <si>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</si>
  <si>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</si>
  <si>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</si>
  <si>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</si>
  <si>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</si>
  <si>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</si>
  <si>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</si>
  <si>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</si>
  <si>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</si>
  <si>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</si>
  <si>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</si>
  <si>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</si>
  <si>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</si>
  <si>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</si>
  <si>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</si>
  <si>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</si>
  <si>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</si>
  <si>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</si>
  <si>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</si>
  <si>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</si>
  <si>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</si>
  <si>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</si>
  <si>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</si>
  <si>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</si>
  <si>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</si>
  <si>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</si>
  <si>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</si>
  <si>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</si>
  <si>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</si>
  <si>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</si>
  <si>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</si>
  <si>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</si>
  <si>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</si>
  <si>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</si>
  <si>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</si>
  <si>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</si>
  <si>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</si>
  <si>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</si>
  <si>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</si>
  <si>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</si>
  <si>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</si>
  <si>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</si>
  <si>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</si>
  <si>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</si>
  <si>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</si>
  <si>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</si>
  <si>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</si>
  <si>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</si>
  <si>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</si>
  <si>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</si>
  <si>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</si>
  <si>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</si>
  <si>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</si>
  <si>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</si>
  <si>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</si>
  <si>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</si>
  <si>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</si>
  <si>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</si>
  <si>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</si>
  <si>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</si>
  <si>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</si>
  <si>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</si>
  <si>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</si>
  <si>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</si>
  <si>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</si>
  <si>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</si>
  <si>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</si>
  <si>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</si>
  <si>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</si>
  <si>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</si>
  <si>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</si>
  <si>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</si>
  <si>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</si>
  <si>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</si>
  <si>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</si>
  <si>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</si>
  <si>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</si>
  <si>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</si>
  <si>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</si>
  <si>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</si>
  <si>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</si>
  <si>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</si>
  <si>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</si>
  <si>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</si>
  <si>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</si>
  <si>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</si>
  <si>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</si>
  <si>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</si>
  <si>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</si>
  <si>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</si>
  <si>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</si>
  <si>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</si>
  <si>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</si>
  <si>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</si>
  <si>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</si>
  <si>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</si>
  <si>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</si>
  <si>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</si>
  <si>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</si>
  <si>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</si>
  <si>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</si>
  <si>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</si>
  <si>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</si>
  <si>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</si>
  <si>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</si>
  <si>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</si>
  <si>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</si>
  <si>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</si>
  <si>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</si>
  <si>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</si>
  <si>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</si>
  <si>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</si>
  <si>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</si>
  <si>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</si>
  <si>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</si>
  <si>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</si>
  <si>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</si>
  <si>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</si>
  <si>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</si>
  <si>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</si>
  <si>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</si>
  <si>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</si>
  <si>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</si>
  <si>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</si>
  <si>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</si>
  <si>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</si>
  <si>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</si>
  <si>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</si>
  <si>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</si>
  <si>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</si>
  <si>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</si>
  <si>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</si>
  <si>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</si>
  <si>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</si>
  <si>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</si>
  <si>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</si>
  <si>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</si>
  <si>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</si>
  <si>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</si>
  <si>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</si>
  <si>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</si>
  <si>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</si>
  <si>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</si>
  <si>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</si>
  <si>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</si>
  <si>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</si>
  <si>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</si>
  <si>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</si>
  <si>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</si>
  <si>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</si>
  <si>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</si>
  <si>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</si>
  <si>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</si>
  <si>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</si>
  <si>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</si>
  <si>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</si>
  <si>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</si>
  <si>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</si>
  <si>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</si>
  <si>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</si>
  <si>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</si>
  <si>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</si>
  <si>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</si>
  <si>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</si>
  <si>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</si>
  <si>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</si>
  <si>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</si>
  <si>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</si>
  <si>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</si>
  <si>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</si>
  <si>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</si>
  <si>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</si>
  <si>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</si>
  <si>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</si>
  <si>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</si>
  <si>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</si>
  <si>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</si>
  <si>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</si>
  <si>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</si>
  <si>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</si>
  <si>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</si>
  <si>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</si>
  <si>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</si>
  <si>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</si>
  <si>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</si>
  <si>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</si>
  <si>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</si>
  <si>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</si>
  <si>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</si>
  <si>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</si>
  <si>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</si>
  <si>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</si>
  <si>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</si>
  <si>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</si>
  <si>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</si>
  <si>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</si>
  <si>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</si>
  <si>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</si>
  <si>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</si>
  <si>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</si>
  <si>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</si>
  <si>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</si>
  <si>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</si>
  <si>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</si>
  <si>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</si>
  <si>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</si>
  <si>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</si>
  <si>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</si>
  <si>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</si>
  <si>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</si>
  <si>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</si>
  <si>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</si>
  <si>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</si>
  <si>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</si>
  <si>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</si>
  <si>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</si>
  <si>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</si>
  <si>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</si>
  <si>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</si>
  <si>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</si>
  <si>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</si>
  <si>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</si>
  <si>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</si>
  <si>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</si>
  <si>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</si>
  <si>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</si>
  <si>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</si>
  <si>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</si>
  <si>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</si>
  <si>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</si>
  <si>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</si>
  <si>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</si>
  <si>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</si>
  <si>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</si>
  <si>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</si>
  <si>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</si>
  <si>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</si>
  <si>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</si>
  <si>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</si>
  <si>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</si>
  <si>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</si>
  <si>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</si>
  <si>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</si>
  <si>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</si>
  <si>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</si>
  <si>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</si>
  <si>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</si>
  <si>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</si>
  <si>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</si>
  <si>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</si>
  <si>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</si>
  <si>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</si>
  <si>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</si>
  <si>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</si>
  <si>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</si>
  <si>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</si>
  <si>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</si>
  <si>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</si>
  <si>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</si>
  <si>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</si>
  <si>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</si>
  <si>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</si>
  <si>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</si>
  <si>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</si>
  <si>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</si>
  <si>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</si>
  <si>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</si>
  <si>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</si>
  <si>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</si>
  <si>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</si>
  <si>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</si>
  <si>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</si>
  <si>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</si>
  <si>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</si>
  <si>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</si>
  <si>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</si>
  <si>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</si>
  <si>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</si>
  <si>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</si>
  <si>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</si>
  <si>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</si>
  <si>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</si>
  <si>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</si>
  <si>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</si>
  <si>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</si>
  <si>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</si>
  <si>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</si>
  <si>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</si>
  <si>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</si>
  <si>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</si>
  <si>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</si>
  <si>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</si>
  <si>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</si>
  <si>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</si>
  <si>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</si>
  <si>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</si>
  <si>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</si>
  <si>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</si>
  <si>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</si>
  <si>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</si>
  <si>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</si>
  <si>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</si>
  <si>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</si>
  <si>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</si>
  <si>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</si>
  <si>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</si>
  <si>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</si>
  <si>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</si>
  <si>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</si>
  <si>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</si>
  <si>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</si>
  <si>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</si>
  <si>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</si>
  <si>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</si>
  <si>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</si>
  <si>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</si>
  <si>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</si>
  <si>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</si>
  <si>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</si>
  <si>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</si>
  <si>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</si>
  <si>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</si>
  <si>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</si>
  <si>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</si>
  <si>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</si>
  <si>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</si>
  <si>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</si>
  <si>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</si>
  <si>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</si>
  <si>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</si>
  <si>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</si>
  <si>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</si>
  <si>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</si>
  <si>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</si>
  <si>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</si>
  <si>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</si>
  <si>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</si>
  <si>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</si>
  <si>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</si>
  <si>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</si>
  <si>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</si>
  <si>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</si>
  <si>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</si>
  <si>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</si>
  <si>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</si>
  <si>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</si>
  <si>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</si>
  <si>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</si>
  <si>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</si>
  <si>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</si>
  <si>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</si>
  <si>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</si>
  <si>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</si>
  <si>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</si>
  <si>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</si>
  <si>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</si>
  <si>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</si>
  <si>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</si>
  <si>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</si>
  <si>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</si>
  <si>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</si>
  <si>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</si>
  <si>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</si>
  <si>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</si>
  <si>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</si>
  <si>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</si>
  <si>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</si>
  <si>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</si>
  <si>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</si>
  <si>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</si>
  <si>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</si>
  <si>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</si>
  <si>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</si>
  <si>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</si>
  <si>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</si>
  <si>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</si>
  <si>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</si>
  <si>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</si>
  <si>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</si>
  <si>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</si>
  <si>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</si>
  <si>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</si>
  <si>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</si>
  <si>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</si>
  <si>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</si>
  <si>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</si>
  <si>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</si>
  <si>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</si>
  <si>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</si>
  <si>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</si>
  <si>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</si>
  <si>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</si>
  <si>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</si>
  <si>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</si>
  <si>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</si>
  <si>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</si>
  <si>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</si>
  <si>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</si>
  <si>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</si>
  <si>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</si>
  <si>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</si>
  <si>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</si>
  <si>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</si>
  <si>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</si>
  <si>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</si>
  <si>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</si>
  <si>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</si>
  <si>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</si>
  <si>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</si>
  <si>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</si>
  <si>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12025</t>
  </si>
  <si>
    <t>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</si>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</sst>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501344.0003660497</c:v>
                </c:pt>
                <c:pt idx="1">
                  <c:v>441988.97540701949</c:v>
                </c:pt>
                <c:pt idx="2">
                  <c:v>4183.8370000000004</c:v>
                </c:pt>
                <c:pt idx="3">
                  <c:v>4428.0404534754825</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3264"/>
        <c:axId val="181884800"/>
      </c:barChart>
      <c:catAx>
        <c:axId val="181883264"/>
        <c:scaling>
          <c:orientation val="minMax"/>
        </c:scaling>
        <c:axPos val="b"/>
        <c:numFmt formatCode="General" sourceLinked="0"/>
        <c:tickLblPos val="nextTo"/>
        <c:crossAx val="181884800"/>
        <c:crosses val="autoZero"/>
        <c:auto val="1"/>
        <c:lblAlgn val="ctr"/>
        <c:lblOffset val="100"/>
      </c:catAx>
      <c:valAx>
        <c:axId val="181884800"/>
        <c:scaling>
          <c:orientation val="minMax"/>
        </c:scaling>
        <c:axPos val="l"/>
        <c:majorGridlines/>
        <c:numFmt formatCode="#,##0" sourceLinked="1"/>
        <c:tickLblPos val="nextTo"/>
        <c:crossAx val="181883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501344.0003660497</c:v>
                </c:pt>
                <c:pt idx="1">
                  <c:v>441988.97540701949</c:v>
                </c:pt>
                <c:pt idx="2">
                  <c:v>4183.8370000000004</c:v>
                </c:pt>
                <c:pt idx="3">
                  <c:v>4428.0404534754825</c:v>
                </c:pt>
                <c:pt idx="4">
                  <c:v>569708.40200158441</c:v>
                </c:pt>
                <c:pt idx="5">
                  <c:v>663817.43825352599</c:v>
                </c:pt>
                <c:pt idx="6">
                  <c:v>11352.293810668374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97065.897849402405</c:v>
                </c:pt>
                <c:pt idx="2">
                  <c:v>91487.186572871055</c:v>
                </c:pt>
                <c:pt idx="3">
                  <c:v>901.34681110224517</c:v>
                </c:pt>
                <c:pt idx="4">
                  <c:v>1084.4649973459098</c:v>
                </c:pt>
                <c:pt idx="5">
                  <c:v>113725.35891334555</c:v>
                </c:pt>
                <c:pt idx="6">
                  <c:v>166365.23172265297</c:v>
                </c:pt>
                <c:pt idx="7">
                  <c:v>2867.5352703001213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309632"/>
      </c:barChart>
      <c:catAx>
        <c:axId val="182250496"/>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97065.897849402405</c:v>
                </c:pt>
                <c:pt idx="2">
                  <c:v>91487.186572871055</c:v>
                </c:pt>
                <c:pt idx="3">
                  <c:v>901.34681110224517</c:v>
                </c:pt>
                <c:pt idx="4">
                  <c:v>1084.4649973459098</c:v>
                </c:pt>
                <c:pt idx="5">
                  <c:v>113725.35891334555</c:v>
                </c:pt>
                <c:pt idx="6">
                  <c:v>166365.23172265297</c:v>
                </c:pt>
                <c:pt idx="7">
                  <c:v>2867.5352703001213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12025</v>
      </c>
      <c r="B6" s="416"/>
      <c r="C6" s="417"/>
    </row>
    <row r="7" spans="1:7" s="414" customFormat="1" ht="15.75" customHeight="1">
      <c r="A7" s="418" t="str">
        <f>txtMunicipality</f>
        <v>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0.21543545102312664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0.21543545102312664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35078</v>
      </c>
      <c r="C9" s="342">
        <v>37570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1898</v>
      </c>
    </row>
    <row r="15" spans="1:6">
      <c r="A15" s="348" t="s">
        <v>184</v>
      </c>
      <c r="B15" s="334">
        <v>5</v>
      </c>
    </row>
    <row r="16" spans="1:6">
      <c r="A16" s="348" t="s">
        <v>6</v>
      </c>
      <c r="B16" s="334">
        <v>267</v>
      </c>
    </row>
    <row r="17" spans="1:6">
      <c r="A17" s="348" t="s">
        <v>7</v>
      </c>
      <c r="B17" s="334">
        <v>276</v>
      </c>
    </row>
    <row r="18" spans="1:6">
      <c r="A18" s="348" t="s">
        <v>8</v>
      </c>
      <c r="B18" s="334">
        <v>424</v>
      </c>
    </row>
    <row r="19" spans="1:6">
      <c r="A19" s="348" t="s">
        <v>9</v>
      </c>
      <c r="B19" s="334">
        <v>380</v>
      </c>
    </row>
    <row r="20" spans="1:6">
      <c r="A20" s="348" t="s">
        <v>10</v>
      </c>
      <c r="B20" s="334">
        <v>441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279</v>
      </c>
    </row>
    <row r="27" spans="1:6">
      <c r="A27" s="348" t="s">
        <v>17</v>
      </c>
      <c r="B27" s="334">
        <v>0</v>
      </c>
    </row>
    <row r="28" spans="1:6" s="356" customFormat="1">
      <c r="A28" s="355" t="s">
        <v>18</v>
      </c>
      <c r="B28" s="355">
        <v>5</v>
      </c>
    </row>
    <row r="29" spans="1:6">
      <c r="A29" s="355" t="s">
        <v>901</v>
      </c>
      <c r="B29" s="355">
        <v>306</v>
      </c>
      <c r="C29" s="356"/>
      <c r="D29" s="356"/>
      <c r="E29" s="356"/>
      <c r="F29" s="356"/>
    </row>
    <row r="30" spans="1:6">
      <c r="A30" s="341" t="s">
        <v>902</v>
      </c>
      <c r="B30" s="341">
        <v>116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3951819.8471329901</v>
      </c>
      <c r="E36" s="334">
        <v>8</v>
      </c>
      <c r="F36" s="334">
        <v>1470761</v>
      </c>
    </row>
    <row r="37" spans="1:6">
      <c r="A37" s="348" t="s">
        <v>25</v>
      </c>
      <c r="B37" s="348" t="s">
        <v>28</v>
      </c>
      <c r="C37" s="334">
        <v>0</v>
      </c>
      <c r="D37" s="334">
        <v>0</v>
      </c>
      <c r="E37" s="334">
        <v>0</v>
      </c>
      <c r="F37" s="334">
        <v>0</v>
      </c>
    </row>
    <row r="38" spans="1:6">
      <c r="A38" s="348" t="s">
        <v>25</v>
      </c>
      <c r="B38" s="348" t="s">
        <v>29</v>
      </c>
      <c r="C38" s="334">
        <v>0</v>
      </c>
      <c r="D38" s="334">
        <v>0</v>
      </c>
      <c r="E38" s="334">
        <v>6</v>
      </c>
      <c r="F38" s="334">
        <v>391718.5</v>
      </c>
    </row>
    <row r="39" spans="1:6">
      <c r="A39" s="348" t="s">
        <v>30</v>
      </c>
      <c r="B39" s="348" t="s">
        <v>31</v>
      </c>
      <c r="C39" s="334">
        <v>28870</v>
      </c>
      <c r="D39" s="334">
        <v>386606506.16054899</v>
      </c>
      <c r="E39" s="334">
        <v>35810</v>
      </c>
      <c r="F39" s="334">
        <v>111000000</v>
      </c>
    </row>
    <row r="40" spans="1:6">
      <c r="A40" s="348" t="s">
        <v>30</v>
      </c>
      <c r="B40" s="348" t="s">
        <v>29</v>
      </c>
      <c r="C40" s="334">
        <v>0</v>
      </c>
      <c r="D40" s="334">
        <v>0</v>
      </c>
      <c r="E40" s="334">
        <v>0</v>
      </c>
      <c r="F40" s="334">
        <v>0</v>
      </c>
    </row>
    <row r="41" spans="1:6">
      <c r="A41" s="348" t="s">
        <v>32</v>
      </c>
      <c r="B41" s="348" t="s">
        <v>33</v>
      </c>
      <c r="C41" s="334">
        <v>182</v>
      </c>
      <c r="D41" s="334">
        <v>7537643.5615900997</v>
      </c>
      <c r="E41" s="334">
        <v>404</v>
      </c>
      <c r="F41" s="334">
        <v>7457525</v>
      </c>
    </row>
    <row r="42" spans="1:6">
      <c r="A42" s="348" t="s">
        <v>32</v>
      </c>
      <c r="B42" s="348" t="s">
        <v>34</v>
      </c>
      <c r="C42" s="334">
        <v>3</v>
      </c>
      <c r="D42" s="334">
        <v>35584448.4449258</v>
      </c>
      <c r="E42" s="334">
        <v>0</v>
      </c>
      <c r="F42" s="334">
        <v>0</v>
      </c>
    </row>
    <row r="43" spans="1:6">
      <c r="A43" s="348" t="s">
        <v>32</v>
      </c>
      <c r="B43" s="348" t="s">
        <v>35</v>
      </c>
      <c r="C43" s="334">
        <v>0</v>
      </c>
      <c r="D43" s="334">
        <v>0</v>
      </c>
      <c r="E43" s="334">
        <v>0</v>
      </c>
      <c r="F43" s="334">
        <v>0</v>
      </c>
    </row>
    <row r="44" spans="1:6">
      <c r="A44" s="348" t="s">
        <v>32</v>
      </c>
      <c r="B44" s="348" t="s">
        <v>36</v>
      </c>
      <c r="C44" s="334">
        <v>8</v>
      </c>
      <c r="D44" s="334">
        <v>9597618.7373502608</v>
      </c>
      <c r="E44" s="334">
        <v>46</v>
      </c>
      <c r="F44" s="334">
        <v>8071102</v>
      </c>
    </row>
    <row r="45" spans="1:6">
      <c r="A45" s="348" t="s">
        <v>32</v>
      </c>
      <c r="B45" s="348" t="s">
        <v>37</v>
      </c>
      <c r="C45" s="334">
        <v>0</v>
      </c>
      <c r="D45" s="334">
        <v>0</v>
      </c>
      <c r="E45" s="334">
        <v>7</v>
      </c>
      <c r="F45" s="334">
        <v>139434.4</v>
      </c>
    </row>
    <row r="46" spans="1:6">
      <c r="A46" s="348" t="s">
        <v>32</v>
      </c>
      <c r="B46" s="348" t="s">
        <v>38</v>
      </c>
      <c r="C46" s="334">
        <v>0</v>
      </c>
      <c r="D46" s="334">
        <v>0</v>
      </c>
      <c r="E46" s="334">
        <v>0</v>
      </c>
      <c r="F46" s="334">
        <v>0</v>
      </c>
    </row>
    <row r="47" spans="1:6">
      <c r="A47" s="348" t="s">
        <v>32</v>
      </c>
      <c r="B47" s="348" t="s">
        <v>39</v>
      </c>
      <c r="C47" s="334">
        <v>17</v>
      </c>
      <c r="D47" s="334">
        <v>5943172.7588769402</v>
      </c>
      <c r="E47" s="334">
        <v>30</v>
      </c>
      <c r="F47" s="334">
        <v>4803961</v>
      </c>
    </row>
    <row r="48" spans="1:6">
      <c r="A48" s="348" t="s">
        <v>32</v>
      </c>
      <c r="B48" s="348" t="s">
        <v>29</v>
      </c>
      <c r="C48" s="334">
        <v>100</v>
      </c>
      <c r="D48" s="334">
        <v>231006764.002276</v>
      </c>
      <c r="E48" s="334">
        <v>121</v>
      </c>
      <c r="F48" s="334">
        <v>178000000</v>
      </c>
    </row>
    <row r="49" spans="1:6">
      <c r="A49" s="348" t="s">
        <v>32</v>
      </c>
      <c r="B49" s="348" t="s">
        <v>40</v>
      </c>
      <c r="C49" s="334">
        <v>4</v>
      </c>
      <c r="D49" s="334">
        <v>64929.951092314303</v>
      </c>
      <c r="E49" s="334">
        <v>5</v>
      </c>
      <c r="F49" s="334">
        <v>34346.080000000002</v>
      </c>
    </row>
    <row r="50" spans="1:6">
      <c r="A50" s="348" t="s">
        <v>32</v>
      </c>
      <c r="B50" s="348" t="s">
        <v>41</v>
      </c>
      <c r="C50" s="334">
        <v>28</v>
      </c>
      <c r="D50" s="334">
        <v>2177130.4656981602</v>
      </c>
      <c r="E50" s="334">
        <v>59</v>
      </c>
      <c r="F50" s="334">
        <v>2510501</v>
      </c>
    </row>
    <row r="51" spans="1:6">
      <c r="A51" s="348" t="s">
        <v>42</v>
      </c>
      <c r="B51" s="348" t="s">
        <v>43</v>
      </c>
      <c r="C51" s="334">
        <v>11</v>
      </c>
      <c r="D51" s="334">
        <v>265438.99545470602</v>
      </c>
      <c r="E51" s="334">
        <v>77</v>
      </c>
      <c r="F51" s="334">
        <v>709878.7</v>
      </c>
    </row>
    <row r="52" spans="1:6">
      <c r="A52" s="348" t="s">
        <v>42</v>
      </c>
      <c r="B52" s="348" t="s">
        <v>29</v>
      </c>
      <c r="C52" s="334">
        <v>12</v>
      </c>
      <c r="D52" s="334">
        <v>783467.10663244897</v>
      </c>
      <c r="E52" s="334">
        <v>17</v>
      </c>
      <c r="F52" s="334">
        <v>231242.7</v>
      </c>
    </row>
    <row r="53" spans="1:6">
      <c r="A53" s="348" t="s">
        <v>44</v>
      </c>
      <c r="B53" s="348" t="s">
        <v>45</v>
      </c>
      <c r="C53" s="334">
        <v>866</v>
      </c>
      <c r="D53" s="334">
        <v>24278273.5336239</v>
      </c>
      <c r="E53" s="334">
        <v>1485</v>
      </c>
      <c r="F53" s="334">
        <v>5033189</v>
      </c>
    </row>
    <row r="54" spans="1:6">
      <c r="A54" s="348" t="s">
        <v>46</v>
      </c>
      <c r="B54" s="348" t="s">
        <v>47</v>
      </c>
      <c r="C54" s="334">
        <v>0</v>
      </c>
      <c r="D54" s="334">
        <v>0</v>
      </c>
      <c r="E54" s="334">
        <v>1</v>
      </c>
      <c r="F54" s="334">
        <v>4183837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342</v>
      </c>
      <c r="D57" s="334">
        <v>32837436.618261199</v>
      </c>
      <c r="E57" s="334">
        <v>402</v>
      </c>
      <c r="F57" s="334">
        <v>12991211</v>
      </c>
    </row>
    <row r="58" spans="1:6">
      <c r="A58" s="348" t="s">
        <v>49</v>
      </c>
      <c r="B58" s="348" t="s">
        <v>51</v>
      </c>
      <c r="C58" s="334">
        <v>220</v>
      </c>
      <c r="D58" s="334">
        <v>21261558.005508099</v>
      </c>
      <c r="E58" s="334">
        <v>329</v>
      </c>
      <c r="F58" s="334">
        <v>10133159</v>
      </c>
    </row>
    <row r="59" spans="1:6">
      <c r="A59" s="348" t="s">
        <v>49</v>
      </c>
      <c r="B59" s="348" t="s">
        <v>52</v>
      </c>
      <c r="C59" s="334">
        <v>682</v>
      </c>
      <c r="D59" s="334">
        <v>35063963.565349199</v>
      </c>
      <c r="E59" s="334">
        <v>1091</v>
      </c>
      <c r="F59" s="334">
        <v>45744804</v>
      </c>
    </row>
    <row r="60" spans="1:6">
      <c r="A60" s="348" t="s">
        <v>49</v>
      </c>
      <c r="B60" s="348" t="s">
        <v>53</v>
      </c>
      <c r="C60" s="334">
        <v>345</v>
      </c>
      <c r="D60" s="334">
        <v>20272219.794309799</v>
      </c>
      <c r="E60" s="334">
        <v>413</v>
      </c>
      <c r="F60" s="334">
        <v>13138920</v>
      </c>
    </row>
    <row r="61" spans="1:6">
      <c r="A61" s="348" t="s">
        <v>49</v>
      </c>
      <c r="B61" s="348" t="s">
        <v>54</v>
      </c>
      <c r="C61" s="334">
        <v>1262</v>
      </c>
      <c r="D61" s="334">
        <v>78597472.891013503</v>
      </c>
      <c r="E61" s="334">
        <v>2590</v>
      </c>
      <c r="F61" s="334">
        <v>104000000</v>
      </c>
    </row>
    <row r="62" spans="1:6">
      <c r="A62" s="348" t="s">
        <v>49</v>
      </c>
      <c r="B62" s="348" t="s">
        <v>55</v>
      </c>
      <c r="C62" s="334">
        <v>62</v>
      </c>
      <c r="D62" s="334">
        <v>9930610.3300272897</v>
      </c>
      <c r="E62" s="334">
        <v>105</v>
      </c>
      <c r="F62" s="334">
        <v>5833686</v>
      </c>
    </row>
    <row r="63" spans="1:6">
      <c r="A63" s="348" t="s">
        <v>49</v>
      </c>
      <c r="B63" s="348" t="s">
        <v>29</v>
      </c>
      <c r="C63" s="334">
        <v>251</v>
      </c>
      <c r="D63" s="334">
        <v>19630926.022786502</v>
      </c>
      <c r="E63" s="334">
        <v>260</v>
      </c>
      <c r="F63" s="334">
        <v>12474683</v>
      </c>
    </row>
    <row r="64" spans="1:6">
      <c r="A64" s="348" t="s">
        <v>56</v>
      </c>
      <c r="B64" s="348" t="s">
        <v>57</v>
      </c>
      <c r="C64" s="334">
        <v>0</v>
      </c>
      <c r="D64" s="334">
        <v>0</v>
      </c>
      <c r="E64" s="334">
        <v>0</v>
      </c>
      <c r="F64" s="334">
        <v>0</v>
      </c>
    </row>
    <row r="65" spans="1:6">
      <c r="A65" s="348" t="s">
        <v>56</v>
      </c>
      <c r="B65" s="348" t="s">
        <v>29</v>
      </c>
      <c r="C65" s="334">
        <v>9</v>
      </c>
      <c r="D65" s="334">
        <v>2029727.68332011</v>
      </c>
      <c r="E65" s="334">
        <v>6</v>
      </c>
      <c r="F65" s="334">
        <v>51383.17</v>
      </c>
    </row>
    <row r="66" spans="1:6">
      <c r="A66" s="348" t="s">
        <v>56</v>
      </c>
      <c r="B66" s="348" t="s">
        <v>58</v>
      </c>
      <c r="C66" s="334">
        <v>0</v>
      </c>
      <c r="D66" s="334">
        <v>0</v>
      </c>
      <c r="E66" s="334">
        <v>54</v>
      </c>
      <c r="F66" s="334">
        <v>3074346</v>
      </c>
    </row>
    <row r="67" spans="1:6">
      <c r="A67" s="355" t="s">
        <v>56</v>
      </c>
      <c r="B67" s="355" t="s">
        <v>59</v>
      </c>
      <c r="C67" s="334">
        <v>0</v>
      </c>
      <c r="D67" s="334">
        <v>0</v>
      </c>
      <c r="E67" s="334">
        <v>0</v>
      </c>
      <c r="F67" s="334">
        <v>0</v>
      </c>
    </row>
    <row r="68" spans="1:6">
      <c r="A68" s="341" t="s">
        <v>56</v>
      </c>
      <c r="B68" s="341" t="s">
        <v>60</v>
      </c>
      <c r="C68" s="334">
        <v>14</v>
      </c>
      <c r="D68" s="334">
        <v>638175.02575870801</v>
      </c>
      <c r="E68" s="334">
        <v>33</v>
      </c>
      <c r="F68" s="334">
        <v>3320075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305044642</v>
      </c>
      <c r="E73" s="476">
        <v>315411944.11278754</v>
      </c>
    </row>
    <row r="74" spans="1:6">
      <c r="A74" s="348" t="s">
        <v>64</v>
      </c>
      <c r="B74" s="348" t="s">
        <v>714</v>
      </c>
      <c r="C74" s="1311" t="s">
        <v>716</v>
      </c>
      <c r="D74" s="476">
        <v>18827832.031455651</v>
      </c>
      <c r="E74" s="476">
        <v>18874600.839993291</v>
      </c>
    </row>
    <row r="75" spans="1:6">
      <c r="A75" s="348" t="s">
        <v>65</v>
      </c>
      <c r="B75" s="348" t="s">
        <v>713</v>
      </c>
      <c r="C75" s="1311" t="s">
        <v>717</v>
      </c>
      <c r="D75" s="476">
        <v>76805308</v>
      </c>
      <c r="E75" s="476">
        <v>78850456.318948179</v>
      </c>
    </row>
    <row r="76" spans="1:6">
      <c r="A76" s="348" t="s">
        <v>65</v>
      </c>
      <c r="B76" s="348" t="s">
        <v>714</v>
      </c>
      <c r="C76" s="1311" t="s">
        <v>718</v>
      </c>
      <c r="D76" s="476">
        <v>2222134.0314556495</v>
      </c>
      <c r="E76" s="476">
        <v>2287702.6279130764</v>
      </c>
    </row>
    <row r="77" spans="1:6">
      <c r="A77" s="348" t="s">
        <v>66</v>
      </c>
      <c r="B77" s="348" t="s">
        <v>713</v>
      </c>
      <c r="C77" s="1311" t="s">
        <v>719</v>
      </c>
      <c r="D77" s="476">
        <v>358235220</v>
      </c>
      <c r="E77" s="476">
        <v>378373977.23973745</v>
      </c>
    </row>
    <row r="78" spans="1:6">
      <c r="A78" s="341" t="s">
        <v>66</v>
      </c>
      <c r="B78" s="341" t="s">
        <v>714</v>
      </c>
      <c r="C78" s="341" t="s">
        <v>720</v>
      </c>
      <c r="D78" s="1307">
        <v>44398248</v>
      </c>
      <c r="E78" s="1307">
        <v>43450324.54790286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3033603.9370887009</v>
      </c>
      <c r="C83" s="476">
        <v>2999232.9511887203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480.76681614349775</v>
      </c>
    </row>
    <row r="90" spans="1:6">
      <c r="A90" s="348" t="s">
        <v>559</v>
      </c>
      <c r="B90" s="1308">
        <v>0</v>
      </c>
    </row>
    <row r="91" spans="1:6">
      <c r="A91" s="348" t="s">
        <v>68</v>
      </c>
      <c r="B91" s="334">
        <v>6448.0385646461364</v>
      </c>
    </row>
    <row r="92" spans="1:6">
      <c r="A92" s="341" t="s">
        <v>69</v>
      </c>
      <c r="B92" s="342">
        <v>6492.6085170081951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73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2</v>
      </c>
    </row>
    <row r="131" spans="1:6">
      <c r="A131" s="348" t="s">
        <v>296</v>
      </c>
      <c r="B131" s="334">
        <v>8</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533040.94972310506</v>
      </c>
      <c r="C3" s="43" t="s">
        <v>170</v>
      </c>
      <c r="D3" s="43"/>
      <c r="E3" s="154"/>
      <c r="F3" s="43"/>
      <c r="G3" s="43"/>
      <c r="H3" s="43"/>
      <c r="I3" s="43"/>
      <c r="J3" s="43"/>
      <c r="K3" s="96"/>
    </row>
    <row r="4" spans="1:11">
      <c r="A4" s="384" t="s">
        <v>171</v>
      </c>
      <c r="B4" s="49">
        <f>IF(ISERROR('SEAP template'!B78+'SEAP template'!C78),0,'SEAP template'!B78+'SEAP template'!C78)</f>
        <v>13421.413897797829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0.21543545102312664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4183.8370000000004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4183.8370000000004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0.21543545102312664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901.34681110224517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111000</v>
      </c>
      <c r="C5" s="17">
        <f>IF(ISERROR('Eigen informatie GS &amp; warmtenet'!B57),0,'Eigen informatie GS &amp; warmtenet'!B57)</f>
        <v>0</v>
      </c>
      <c r="D5" s="30">
        <f>(SUM(HH_hh_gas_kWh,HH_rest_gas_kWh)/1000)*0.902</f>
        <v>348719.06855681521</v>
      </c>
      <c r="E5" s="17">
        <f>B46*B57</f>
        <v>5303.4534206632507</v>
      </c>
      <c r="F5" s="17">
        <f>B51*B62</f>
        <v>0</v>
      </c>
      <c r="G5" s="18"/>
      <c r="H5" s="17"/>
      <c r="I5" s="17"/>
      <c r="J5" s="17">
        <f>B50*B61+C50*C61</f>
        <v>334.15512564707768</v>
      </c>
      <c r="K5" s="17"/>
      <c r="L5" s="17"/>
      <c r="M5" s="17"/>
      <c r="N5" s="17">
        <f>B48*B59+C48*C59</f>
        <v>27891.278031611295</v>
      </c>
      <c r="O5" s="17">
        <f>B69*B70*B71</f>
        <v>465.87333333333339</v>
      </c>
      <c r="P5" s="17">
        <f>B77*B78*B79/1000-B77*B78*B79/1000/B80</f>
        <v>1182.1333333333332</v>
      </c>
    </row>
    <row r="6" spans="1:16">
      <c r="A6" s="16" t="s">
        <v>631</v>
      </c>
      <c r="B6" s="789">
        <f>kWh_PV_kleiner_dan_10kW</f>
        <v>6448.0385646461364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117448.03856464614</v>
      </c>
      <c r="C8" s="21">
        <f>C5</f>
        <v>0</v>
      </c>
      <c r="D8" s="21">
        <f>D5</f>
        <v>348719.06855681521</v>
      </c>
      <c r="E8" s="21">
        <f>E5</f>
        <v>5303.4534206632507</v>
      </c>
      <c r="F8" s="21">
        <f>F5</f>
        <v>0</v>
      </c>
      <c r="G8" s="21"/>
      <c r="H8" s="21"/>
      <c r="I8" s="21"/>
      <c r="J8" s="21">
        <f>J5</f>
        <v>334.15512564707768</v>
      </c>
      <c r="K8" s="21"/>
      <c r="L8" s="21">
        <f>L5</f>
        <v>0</v>
      </c>
      <c r="M8" s="21">
        <f>M5</f>
        <v>0</v>
      </c>
      <c r="N8" s="21">
        <f>N5</f>
        <v>27891.278031611295</v>
      </c>
      <c r="O8" s="21">
        <f>O5</f>
        <v>465.87333333333339</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0.21543545102312664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25302.471159956112</v>
      </c>
      <c r="C12" s="23">
        <f ca="1">C10*C8</f>
        <v>0</v>
      </c>
      <c r="D12" s="23">
        <f>D8*D10</f>
        <v>70441.251848476677</v>
      </c>
      <c r="E12" s="23">
        <f>E10*E8</f>
        <v>1203.883926490558</v>
      </c>
      <c r="F12" s="23">
        <f>F10*F8</f>
        <v>0</v>
      </c>
      <c r="G12" s="23"/>
      <c r="H12" s="23"/>
      <c r="I12" s="23"/>
      <c r="J12" s="23">
        <f>J10*J8</f>
        <v>118.29091447906549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740</v>
      </c>
      <c r="B28" s="37">
        <f>aantalHuishoudens2011</f>
        <v>35078</v>
      </c>
      <c r="C28" s="36"/>
      <c r="D28" s="228"/>
    </row>
    <row r="29" spans="1:7" s="15" customFormat="1">
      <c r="A29" s="230" t="s">
        <v>741</v>
      </c>
      <c r="B29" s="37">
        <f>SUM(HH_hh_gas_aantal,HH_rest_gas_aantal)</f>
        <v>28870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28870</v>
      </c>
      <c r="C32" s="167">
        <f>IF(ISERROR(B32/SUM($B$32,$B$34,$B$35,$B$36,$B$38,$B$39)*100),0,B32/SUM($B$32,$B$34,$B$35,$B$36,$B$38,$B$39)*100)</f>
        <v>82.448023760566599</v>
      </c>
      <c r="D32" s="233"/>
      <c r="G32" s="15"/>
    </row>
    <row r="33" spans="1:7">
      <c r="A33" s="171" t="s">
        <v>72</v>
      </c>
      <c r="B33" s="34" t="s">
        <v>111</v>
      </c>
      <c r="C33" s="167"/>
      <c r="D33" s="233"/>
      <c r="G33" s="15"/>
    </row>
    <row r="34" spans="1:7">
      <c r="A34" s="171" t="s">
        <v>73</v>
      </c>
      <c r="B34" s="33">
        <f>IF((($B$28-$B$32-$B$39-$B$77-$B$38)*C20/100)&lt;0,0,($B$28-$B$32-$B$39-$B$77-$B$38)*C20/100)</f>
        <v>355.44754098360659</v>
      </c>
      <c r="C34" s="167">
        <f>IF(ISERROR(B34/SUM($B$32,$B$34,$B$35,$B$36,$B$38,$B$39)*100),0,B34/SUM($B$32,$B$34,$B$35,$B$36,$B$38,$B$39)*100)</f>
        <v>1.0151003569328494</v>
      </c>
      <c r="D34" s="233"/>
      <c r="G34" s="15"/>
    </row>
    <row r="35" spans="1:7">
      <c r="A35" s="171" t="s">
        <v>74</v>
      </c>
      <c r="B35" s="33">
        <f>IF((($B$28-$B$32-$B$39-$B$77-$B$38)*C21/100)&lt;0,0,($B$28-$B$32-$B$39-$B$77-$B$38)*C21/100)</f>
        <v>5288.1204918032781</v>
      </c>
      <c r="C35" s="167">
        <f>IF(ISERROR(B35/SUM($B$32,$B$34,$B$35,$B$36,$B$38,$B$39)*100),0,B35/SUM($B$32,$B$34,$B$35,$B$36,$B$38,$B$39)*100)</f>
        <v>15.102011913991543</v>
      </c>
      <c r="D35" s="233"/>
      <c r="G35" s="15"/>
    </row>
    <row r="36" spans="1:7">
      <c r="A36" s="171" t="s">
        <v>75</v>
      </c>
      <c r="B36" s="33">
        <f>IF((($B$28-$B$32-$B$39-$B$77-$B$38)*C22/100)&lt;0,0,($B$28-$B$32-$B$39-$B$77-$B$38)*C22/100)</f>
        <v>492.93196721311472</v>
      </c>
      <c r="C36" s="167">
        <f>IF(ISERROR(B36/SUM($B$32,$B$34,$B$35,$B$36,$B$38,$B$39)*100),0,B36/SUM($B$32,$B$34,$B$35,$B$36,$B$38,$B$39)*100)</f>
        <v>1.4077335138597062</v>
      </c>
      <c r="D36" s="233"/>
      <c r="G36" s="15"/>
    </row>
    <row r="37" spans="1:7">
      <c r="A37" s="171" t="s">
        <v>76</v>
      </c>
      <c r="B37" s="34" t="s">
        <v>111</v>
      </c>
      <c r="C37" s="167"/>
      <c r="D37" s="173"/>
      <c r="G37" s="15"/>
    </row>
    <row r="38" spans="1:7">
      <c r="A38" s="171" t="s">
        <v>77</v>
      </c>
      <c r="B38" s="33">
        <f>IF((B24-(B29-B18)*0.1)&lt;0,0,B24-(B29-B18)*0.1)</f>
        <v>9.5</v>
      </c>
      <c r="C38" s="167">
        <f>IF(ISERROR(B38/SUM($B$32,$B$34,$B$35,$B$36,$B$38,$B$39)*100),0,B38/SUM($B$32,$B$34,$B$35,$B$36,$B$38,$B$39)*100)</f>
        <v>2.7130454649303175E-2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28870</v>
      </c>
      <c r="C44" s="34" t="s">
        <v>111</v>
      </c>
      <c r="D44" s="174"/>
    </row>
    <row r="45" spans="1:7">
      <c r="A45" s="171" t="s">
        <v>72</v>
      </c>
      <c r="B45" s="33" t="str">
        <f t="shared" si="0"/>
        <v>-</v>
      </c>
      <c r="C45" s="34" t="s">
        <v>111</v>
      </c>
      <c r="D45" s="174"/>
    </row>
    <row r="46" spans="1:7">
      <c r="A46" s="171" t="s">
        <v>73</v>
      </c>
      <c r="B46" s="33">
        <f t="shared" si="0"/>
        <v>355.44754098360659</v>
      </c>
      <c r="C46" s="34" t="s">
        <v>111</v>
      </c>
      <c r="D46" s="174"/>
    </row>
    <row r="47" spans="1:7">
      <c r="A47" s="171" t="s">
        <v>74</v>
      </c>
      <c r="B47" s="33">
        <f t="shared" si="0"/>
        <v>5288.1204918032781</v>
      </c>
      <c r="C47" s="34" t="s">
        <v>111</v>
      </c>
      <c r="D47" s="174"/>
    </row>
    <row r="48" spans="1:7">
      <c r="A48" s="171" t="s">
        <v>75</v>
      </c>
      <c r="B48" s="33">
        <f t="shared" si="0"/>
        <v>492.93196721311472</v>
      </c>
      <c r="C48" s="33">
        <f>B48*10</f>
        <v>4929.3196721311469</v>
      </c>
      <c r="D48" s="234"/>
    </row>
    <row r="49" spans="1:6">
      <c r="A49" s="171" t="s">
        <v>76</v>
      </c>
      <c r="B49" s="33" t="str">
        <f t="shared" si="0"/>
        <v>-</v>
      </c>
      <c r="C49" s="34" t="s">
        <v>111</v>
      </c>
      <c r="D49" s="234"/>
    </row>
    <row r="50" spans="1:6">
      <c r="A50" s="171" t="s">
        <v>77</v>
      </c>
      <c r="B50" s="33">
        <f t="shared" si="0"/>
        <v>9.5</v>
      </c>
      <c r="C50" s="33">
        <f>B50*2</f>
        <v>19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204316.46299999996</v>
      </c>
      <c r="C5" s="17">
        <f>IF(ISERROR('Eigen informatie GS &amp; warmtenet'!B58),0,'Eigen informatie GS &amp; warmtenet'!B58)</f>
        <v>0</v>
      </c>
      <c r="D5" s="30">
        <f>SUM(D6:D12)</f>
        <v>196269.95687898452</v>
      </c>
      <c r="E5" s="17">
        <f>SUM(E6:E12)</f>
        <v>1513.5820228594298</v>
      </c>
      <c r="F5" s="17">
        <f>SUM(F6:F12)</f>
        <v>28015.216502891893</v>
      </c>
      <c r="G5" s="18"/>
      <c r="H5" s="17"/>
      <c r="I5" s="17"/>
      <c r="J5" s="17">
        <f>SUM(J6:J12)</f>
        <v>0</v>
      </c>
      <c r="K5" s="17"/>
      <c r="L5" s="17"/>
      <c r="M5" s="17"/>
      <c r="N5" s="17">
        <f>SUM(N6:N12)</f>
        <v>11718.09700228375</v>
      </c>
      <c r="O5" s="17">
        <f>B38*B39*B40</f>
        <v>3.1266666666666669</v>
      </c>
      <c r="P5" s="17">
        <f>B46*B47*B48/1000-B46*B47*B48/1000/B49</f>
        <v>152.53333333333333</v>
      </c>
      <c r="R5" s="32"/>
    </row>
    <row r="6" spans="1:18">
      <c r="A6" s="32" t="s">
        <v>54</v>
      </c>
      <c r="B6" s="37">
        <f>B26</f>
        <v>104000</v>
      </c>
      <c r="C6" s="33"/>
      <c r="D6" s="37">
        <f>IF(ISERROR(TER_kantoor_gas_kWh/1000),0,TER_kantoor_gas_kWh/1000)*0.902</f>
        <v>70894.920547694186</v>
      </c>
      <c r="E6" s="33">
        <f>$C$26*'E Balans VL '!I12/100/3.6*1000000</f>
        <v>301.30325896360802</v>
      </c>
      <c r="F6" s="33">
        <f>$C$26*('E Balans VL '!L12+'E Balans VL '!N12)/100/3.6*1000000</f>
        <v>11770.50870235032</v>
      </c>
      <c r="G6" s="34"/>
      <c r="H6" s="33"/>
      <c r="I6" s="33"/>
      <c r="J6" s="33">
        <f>$C$26*('E Balans VL '!D12+'E Balans VL '!E12)/100/3.6*1000000</f>
        <v>0</v>
      </c>
      <c r="K6" s="33"/>
      <c r="L6" s="33"/>
      <c r="M6" s="33"/>
      <c r="N6" s="33">
        <f>$C$26*'E Balans VL '!Y12/100/3.6*1000000</f>
        <v>1040.963369378537</v>
      </c>
      <c r="O6" s="33"/>
      <c r="P6" s="33"/>
      <c r="R6" s="32"/>
    </row>
    <row r="7" spans="1:18">
      <c r="A7" s="32" t="s">
        <v>53</v>
      </c>
      <c r="B7" s="37">
        <f t="shared" ref="B7:B12" si="0">B27</f>
        <v>13138.92</v>
      </c>
      <c r="C7" s="33"/>
      <c r="D7" s="37">
        <f>IF(ISERROR(TER_horeca_gas_kWh/1000),0,TER_horeca_gas_kWh/1000)*0.902</f>
        <v>18285.54225446744</v>
      </c>
      <c r="E7" s="33">
        <f>$C$27*'E Balans VL '!I9/100/3.6*1000000</f>
        <v>551.5351521830388</v>
      </c>
      <c r="F7" s="33">
        <f>$C$27*('E Balans VL '!L9+'E Balans VL '!N9)/100/3.6*1000000</f>
        <v>2823.1664009311526</v>
      </c>
      <c r="G7" s="34"/>
      <c r="H7" s="33"/>
      <c r="I7" s="33"/>
      <c r="J7" s="33">
        <f>$C$27*('E Balans VL '!D9+'E Balans VL '!E9)/100/3.6*1000000</f>
        <v>0</v>
      </c>
      <c r="K7" s="33"/>
      <c r="L7" s="33"/>
      <c r="M7" s="33"/>
      <c r="N7" s="33">
        <f>$C$27*'E Balans VL '!Y9/100/3.6*1000000</f>
        <v>3.3857847799761909</v>
      </c>
      <c r="O7" s="33"/>
      <c r="P7" s="33"/>
      <c r="R7" s="32"/>
    </row>
    <row r="8" spans="1:18">
      <c r="A8" s="6" t="s">
        <v>52</v>
      </c>
      <c r="B8" s="37">
        <f t="shared" si="0"/>
        <v>45744.803999999996</v>
      </c>
      <c r="C8" s="33"/>
      <c r="D8" s="37">
        <f>IF(ISERROR(TER_handel_gas_kWh/1000),0,TER_handel_gas_kWh/1000)*0.902</f>
        <v>31627.695135944981</v>
      </c>
      <c r="E8" s="33">
        <f>$C$28*'E Balans VL '!I13/100/3.6*1000000</f>
        <v>491.33726727810284</v>
      </c>
      <c r="F8" s="33">
        <f>$C$28*('E Balans VL '!L13+'E Balans VL '!N13)/100/3.6*1000000</f>
        <v>5922.0426306041354</v>
      </c>
      <c r="G8" s="34"/>
      <c r="H8" s="33"/>
      <c r="I8" s="33"/>
      <c r="J8" s="33">
        <f>$C$28*('E Balans VL '!D13+'E Balans VL '!E13)/100/3.6*1000000</f>
        <v>0</v>
      </c>
      <c r="K8" s="33"/>
      <c r="L8" s="33"/>
      <c r="M8" s="33"/>
      <c r="N8" s="33">
        <f>$C$28*'E Balans VL '!Y13/100/3.6*1000000</f>
        <v>371.08434782290038</v>
      </c>
      <c r="O8" s="33"/>
      <c r="P8" s="33"/>
      <c r="R8" s="32"/>
    </row>
    <row r="9" spans="1:18">
      <c r="A9" s="32" t="s">
        <v>51</v>
      </c>
      <c r="B9" s="37">
        <f t="shared" si="0"/>
        <v>10133.159</v>
      </c>
      <c r="C9" s="33"/>
      <c r="D9" s="37">
        <f>IF(ISERROR(TER_gezond_gas_kWh/1000),0,TER_gezond_gas_kWh/1000)*0.902</f>
        <v>19177.925320968305</v>
      </c>
      <c r="E9" s="33">
        <f>$C$29*'E Balans VL '!I10/100/3.6*1000000</f>
        <v>8.0666499591655647</v>
      </c>
      <c r="F9" s="33">
        <f>$C$29*('E Balans VL '!L10+'E Balans VL '!N10)/100/3.6*1000000</f>
        <v>1231.8319137872202</v>
      </c>
      <c r="G9" s="34"/>
      <c r="H9" s="33"/>
      <c r="I9" s="33"/>
      <c r="J9" s="33">
        <f>$C$29*('E Balans VL '!D10+'E Balans VL '!E10)/100/3.6*1000000</f>
        <v>0</v>
      </c>
      <c r="K9" s="33"/>
      <c r="L9" s="33"/>
      <c r="M9" s="33"/>
      <c r="N9" s="33">
        <f>$C$29*'E Balans VL '!Y10/100/3.6*1000000</f>
        <v>81.852973797911389</v>
      </c>
      <c r="O9" s="33"/>
      <c r="P9" s="33"/>
      <c r="R9" s="32"/>
    </row>
    <row r="10" spans="1:18">
      <c r="A10" s="32" t="s">
        <v>50</v>
      </c>
      <c r="B10" s="37">
        <f t="shared" si="0"/>
        <v>12991.210999999999</v>
      </c>
      <c r="C10" s="33"/>
      <c r="D10" s="37">
        <f>IF(ISERROR(TER_ander_gas_kWh/1000),0,TER_ander_gas_kWh/1000)*0.902</f>
        <v>29619.367829671603</v>
      </c>
      <c r="E10" s="33">
        <f>$C$30*'E Balans VL '!I14/100/3.6*1000000</f>
        <v>44.52156256774277</v>
      </c>
      <c r="F10" s="33">
        <f>$C$30*('E Balans VL '!L14+'E Balans VL '!N14)/100/3.6*1000000</f>
        <v>2901.7086367698075</v>
      </c>
      <c r="G10" s="34"/>
      <c r="H10" s="33"/>
      <c r="I10" s="33"/>
      <c r="J10" s="33">
        <f>$C$30*('E Balans VL '!D14+'E Balans VL '!E14)/100/3.6*1000000</f>
        <v>0</v>
      </c>
      <c r="K10" s="33"/>
      <c r="L10" s="33"/>
      <c r="M10" s="33"/>
      <c r="N10" s="33">
        <f>$C$30*'E Balans VL '!Y14/100/3.6*1000000</f>
        <v>9151.0799979984276</v>
      </c>
      <c r="O10" s="33"/>
      <c r="P10" s="33"/>
      <c r="R10" s="32"/>
    </row>
    <row r="11" spans="1:18">
      <c r="A11" s="32" t="s">
        <v>55</v>
      </c>
      <c r="B11" s="37">
        <f t="shared" si="0"/>
        <v>5833.6859999999997</v>
      </c>
      <c r="C11" s="33"/>
      <c r="D11" s="37">
        <f>IF(ISERROR(TER_onderwijs_gas_kWh/1000),0,TER_onderwijs_gas_kWh/1000)*0.902</f>
        <v>8957.4105176846151</v>
      </c>
      <c r="E11" s="33">
        <f>$C$31*'E Balans VL '!I11/100/3.6*1000000</f>
        <v>4.0326474684109312</v>
      </c>
      <c r="F11" s="33">
        <f>$C$31*('E Balans VL '!L11+'E Balans VL '!N11)/100/3.6*1000000</f>
        <v>1527.0895377196389</v>
      </c>
      <c r="G11" s="34"/>
      <c r="H11" s="33"/>
      <c r="I11" s="33"/>
      <c r="J11" s="33">
        <f>$C$31*('E Balans VL '!D11+'E Balans VL '!E11)/100/3.6*1000000</f>
        <v>0</v>
      </c>
      <c r="K11" s="33"/>
      <c r="L11" s="33"/>
      <c r="M11" s="33"/>
      <c r="N11" s="33">
        <f>$C$31*'E Balans VL '!Y11/100/3.6*1000000</f>
        <v>5.806937538386844</v>
      </c>
      <c r="O11" s="33"/>
      <c r="P11" s="33"/>
      <c r="R11" s="32"/>
    </row>
    <row r="12" spans="1:18">
      <c r="A12" s="32" t="s">
        <v>260</v>
      </c>
      <c r="B12" s="37">
        <f t="shared" si="0"/>
        <v>12474.683000000001</v>
      </c>
      <c r="C12" s="33"/>
      <c r="D12" s="37">
        <f>IF(ISERROR(TER_rest_gas_kWh/1000),0,TER_rest_gas_kWh/1000)*0.902</f>
        <v>17707.095272553426</v>
      </c>
      <c r="E12" s="33">
        <f>$C$32*'E Balans VL '!I8/100/3.6*1000000</f>
        <v>112.78548443936076</v>
      </c>
      <c r="F12" s="33">
        <f>$C$32*('E Balans VL '!L8+'E Balans VL '!N8)/100/3.6*1000000</f>
        <v>1838.8686807296231</v>
      </c>
      <c r="G12" s="34"/>
      <c r="H12" s="33"/>
      <c r="I12" s="33"/>
      <c r="J12" s="33">
        <f>$C$32*('E Balans VL '!D8+'E Balans VL '!E8)/100/3.6*1000000</f>
        <v>0</v>
      </c>
      <c r="K12" s="33"/>
      <c r="L12" s="33"/>
      <c r="M12" s="33"/>
      <c r="N12" s="33">
        <f>$C$32*'E Balans VL '!Y8/100/3.6*1000000</f>
        <v>1063.9235909676095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204316.46299999996</v>
      </c>
      <c r="C16" s="21">
        <f t="shared" ca="1" si="1"/>
        <v>0</v>
      </c>
      <c r="D16" s="21">
        <f t="shared" ca="1" si="1"/>
        <v>196269.95687898452</v>
      </c>
      <c r="E16" s="21">
        <f t="shared" si="1"/>
        <v>1513.5820228594298</v>
      </c>
      <c r="F16" s="21">
        <f t="shared" ca="1" si="1"/>
        <v>28015.216502891893</v>
      </c>
      <c r="G16" s="21">
        <f t="shared" si="1"/>
        <v>0</v>
      </c>
      <c r="H16" s="21">
        <f t="shared" si="1"/>
        <v>0</v>
      </c>
      <c r="I16" s="21">
        <f t="shared" si="1"/>
        <v>0</v>
      </c>
      <c r="J16" s="21">
        <f t="shared" si="1"/>
        <v>0</v>
      </c>
      <c r="K16" s="21">
        <f t="shared" si="1"/>
        <v>0</v>
      </c>
      <c r="L16" s="21">
        <f t="shared" ca="1" si="1"/>
        <v>0</v>
      </c>
      <c r="M16" s="21">
        <f t="shared" si="1"/>
        <v>0</v>
      </c>
      <c r="N16" s="21">
        <f t="shared" ca="1" si="1"/>
        <v>11718.09700228375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0.21543545102312664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44017.009357854957</v>
      </c>
      <c r="C20" s="23">
        <f t="shared" ref="C20:P20" ca="1" si="2">C16*C18</f>
        <v>0</v>
      </c>
      <c r="D20" s="23">
        <f t="shared" ca="1" si="2"/>
        <v>39646.531289554878</v>
      </c>
      <c r="E20" s="23">
        <f t="shared" si="2"/>
        <v>343.58311918909055</v>
      </c>
      <c r="F20" s="23">
        <f t="shared" ca="1" si="2"/>
        <v>7480.0628062721362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104000</v>
      </c>
      <c r="C26" s="39">
        <f>IF(ISERROR(B26*3.6/1000000/'E Balans VL '!Z12*100),0,B26*3.6/1000000/'E Balans VL '!Z12*100)</f>
        <v>2.2844802360401055</v>
      </c>
      <c r="D26" s="237" t="s">
        <v>692</v>
      </c>
      <c r="F26" s="6"/>
    </row>
    <row r="27" spans="1:18">
      <c r="A27" s="231" t="s">
        <v>53</v>
      </c>
      <c r="B27" s="33">
        <f>IF(ISERROR(TER_horeca_ele_kWh/1000),0,TER_horeca_ele_kWh/1000)</f>
        <v>13138.92</v>
      </c>
      <c r="C27" s="39">
        <f>IF(ISERROR(B27*3.6/1000000/'E Balans VL '!Z9*100),0,B27*3.6/1000000/'E Balans VL '!Z9*100)</f>
        <v>1.0558431923014606</v>
      </c>
      <c r="D27" s="237" t="s">
        <v>692</v>
      </c>
      <c r="F27" s="6"/>
    </row>
    <row r="28" spans="1:18">
      <c r="A28" s="171" t="s">
        <v>52</v>
      </c>
      <c r="B28" s="33">
        <f>IF(ISERROR(TER_handel_ele_kWh/1000),0,TER_handel_ele_kWh/1000)</f>
        <v>45744.803999999996</v>
      </c>
      <c r="C28" s="39">
        <f>IF(ISERROR(B28*3.6/1000000/'E Balans VL '!Z13*100),0,B28*3.6/1000000/'E Balans VL '!Z13*100)</f>
        <v>1.3526418962889171</v>
      </c>
      <c r="D28" s="237" t="s">
        <v>692</v>
      </c>
      <c r="F28" s="6"/>
    </row>
    <row r="29" spans="1:18">
      <c r="A29" s="231" t="s">
        <v>51</v>
      </c>
      <c r="B29" s="33">
        <f>IF(ISERROR(TER_gezond_ele_kWh/1000),0,TER_gezond_ele_kWh/1000)</f>
        <v>10133.159</v>
      </c>
      <c r="C29" s="39">
        <f>IF(ISERROR(B29*3.6/1000000/'E Balans VL '!Z10*100),0,B29*3.6/1000000/'E Balans VL '!Z10*100)</f>
        <v>1.1417454041960498</v>
      </c>
      <c r="D29" s="237" t="s">
        <v>692</v>
      </c>
      <c r="F29" s="6"/>
    </row>
    <row r="30" spans="1:18">
      <c r="A30" s="231" t="s">
        <v>50</v>
      </c>
      <c r="B30" s="33">
        <f>IF(ISERROR(TER_ander_ele_kWh/1000),0,TER_ander_ele_kWh/1000)</f>
        <v>12991.210999999999</v>
      </c>
      <c r="C30" s="39">
        <f>IF(ISERROR(B30*3.6/1000000/'E Balans VL '!Z14*100),0,B30*3.6/1000000/'E Balans VL '!Z14*100)</f>
        <v>0.98250308045790846</v>
      </c>
      <c r="D30" s="237" t="s">
        <v>692</v>
      </c>
      <c r="F30" s="6"/>
    </row>
    <row r="31" spans="1:18">
      <c r="A31" s="231" t="s">
        <v>55</v>
      </c>
      <c r="B31" s="33">
        <f>IF(ISERROR(TER_onderwijs_ele_kWh/1000),0,TER_onderwijs_ele_kWh/1000)</f>
        <v>5833.6859999999997</v>
      </c>
      <c r="C31" s="39">
        <f>IF(ISERROR(B31*3.6/1000000/'E Balans VL '!Z11*100),0,B31*3.6/1000000/'E Balans VL '!Z11*100)</f>
        <v>1.2109377903932856</v>
      </c>
      <c r="D31" s="237" t="s">
        <v>692</v>
      </c>
    </row>
    <row r="32" spans="1:18">
      <c r="A32" s="231" t="s">
        <v>260</v>
      </c>
      <c r="B32" s="33">
        <f>IF(ISERROR(TER_rest_ele_kWh/1000),0,TER_rest_ele_kWh/1000)</f>
        <v>12474.683000000001</v>
      </c>
      <c r="C32" s="39">
        <f>IF(ISERROR(B32*3.6/1000000/'E Balans VL '!Z8*100),0,B32*3.6/1000000/'E Balans VL '!Z8*100)</f>
        <v>0.10509186566751043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201016.86947999999</v>
      </c>
      <c r="C5" s="17">
        <f>IF(ISERROR('Eigen informatie GS &amp; warmtenet'!B59),0,'Eigen informatie GS &amp; warmtenet'!B59)</f>
        <v>0</v>
      </c>
      <c r="D5" s="30">
        <f>SUM(D6:D15)</f>
        <v>263304.36054547224</v>
      </c>
      <c r="E5" s="17">
        <f>SUM(E6:E15)</f>
        <v>11343.974400833382</v>
      </c>
      <c r="F5" s="17">
        <f>SUM(F6:F15)</f>
        <v>53823.732936409288</v>
      </c>
      <c r="G5" s="18"/>
      <c r="H5" s="17"/>
      <c r="I5" s="17"/>
      <c r="J5" s="17">
        <f>SUM(J6:J15)</f>
        <v>807.06005782179898</v>
      </c>
      <c r="K5" s="17"/>
      <c r="L5" s="17"/>
      <c r="M5" s="17"/>
      <c r="N5" s="17">
        <f>SUM(N6:N15)</f>
        <v>39412.404581047747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8071.1019999999999</v>
      </c>
      <c r="C8" s="33"/>
      <c r="D8" s="37">
        <f>IF( ISERROR(IND_metaal_Gas_kWH/1000),0,IND_metaal_Gas_kWH/1000)*0.902</f>
        <v>8657.0521010899356</v>
      </c>
      <c r="E8" s="33">
        <f>C30*'E Balans VL '!I18/100/3.6*1000000</f>
        <v>201.99143480817932</v>
      </c>
      <c r="F8" s="33">
        <f>C30*'E Balans VL '!L18/100/3.6*1000000+C30*'E Balans VL '!N18/100/3.6*1000000</f>
        <v>2529.5235145260635</v>
      </c>
      <c r="G8" s="34"/>
      <c r="H8" s="33"/>
      <c r="I8" s="33"/>
      <c r="J8" s="40">
        <f>C30*'E Balans VL '!D18/100/3.6*1000000+C30*'E Balans VL '!E18/100/3.6*1000000</f>
        <v>0</v>
      </c>
      <c r="K8" s="33"/>
      <c r="L8" s="33"/>
      <c r="M8" s="33"/>
      <c r="N8" s="33">
        <f>C30*'E Balans VL '!Y18/100/3.6*1000000</f>
        <v>202.76702857622462</v>
      </c>
      <c r="O8" s="33"/>
      <c r="P8" s="33"/>
      <c r="R8" s="32"/>
    </row>
    <row r="9" spans="1:18">
      <c r="A9" s="6" t="s">
        <v>33</v>
      </c>
      <c r="B9" s="37">
        <f t="shared" si="0"/>
        <v>7457.5249999999996</v>
      </c>
      <c r="C9" s="33"/>
      <c r="D9" s="37">
        <f>IF( ISERROR(IND_andere_gas_kWh/1000),0,IND_andere_gas_kWh/1000)*0.902</f>
        <v>6798.9544925542705</v>
      </c>
      <c r="E9" s="33">
        <f>C31*'E Balans VL '!I19/100/3.6*1000000</f>
        <v>2050.51350419753</v>
      </c>
      <c r="F9" s="33">
        <f>C31*'E Balans VL '!L19/100/3.6*1000000+C31*'E Balans VL '!N19/100/3.6*1000000</f>
        <v>5877.8274025223946</v>
      </c>
      <c r="G9" s="34"/>
      <c r="H9" s="33"/>
      <c r="I9" s="33"/>
      <c r="J9" s="40">
        <f>C31*'E Balans VL '!D19/100/3.6*1000000+C31*'E Balans VL '!E19/100/3.6*1000000</f>
        <v>0</v>
      </c>
      <c r="K9" s="33"/>
      <c r="L9" s="33"/>
      <c r="M9" s="33"/>
      <c r="N9" s="33">
        <f>C31*'E Balans VL '!Y19/100/3.6*1000000</f>
        <v>2414.1976882200056</v>
      </c>
      <c r="O9" s="33"/>
      <c r="P9" s="33"/>
      <c r="R9" s="32"/>
    </row>
    <row r="10" spans="1:18">
      <c r="A10" s="6" t="s">
        <v>41</v>
      </c>
      <c r="B10" s="37">
        <f t="shared" si="0"/>
        <v>2510.5010000000002</v>
      </c>
      <c r="C10" s="33"/>
      <c r="D10" s="37">
        <f>IF( ISERROR(IND_voed_gas_kWh/1000),0,IND_voed_gas_kWh/1000)*0.902</f>
        <v>1963.7716800597404</v>
      </c>
      <c r="E10" s="33">
        <f>C32*'E Balans VL '!I20/100/3.6*1000000</f>
        <v>25.593174652107429</v>
      </c>
      <c r="F10" s="33">
        <f>C32*'E Balans VL '!L20/100/3.6*1000000+C32*'E Balans VL '!N20/100/3.6*1000000</f>
        <v>4742.3206873319423</v>
      </c>
      <c r="G10" s="34"/>
      <c r="H10" s="33"/>
      <c r="I10" s="33"/>
      <c r="J10" s="40">
        <f>C32*'E Balans VL '!D20/100/3.6*1000000+C32*'E Balans VL '!E20/100/3.6*1000000</f>
        <v>60.084503326461842</v>
      </c>
      <c r="K10" s="33"/>
      <c r="L10" s="33"/>
      <c r="M10" s="33"/>
      <c r="N10" s="33">
        <f>C32*'E Balans VL '!Y20/100/3.6*1000000</f>
        <v>1323.3232012556218</v>
      </c>
      <c r="O10" s="33"/>
      <c r="P10" s="33"/>
      <c r="R10" s="32"/>
    </row>
    <row r="11" spans="1:18">
      <c r="A11" s="6" t="s">
        <v>40</v>
      </c>
      <c r="B11" s="37">
        <f t="shared" si="0"/>
        <v>34.346080000000001</v>
      </c>
      <c r="C11" s="33"/>
      <c r="D11" s="37">
        <f>IF( ISERROR(IND_textiel_gas_kWh/1000),0,IND_textiel_gas_kWh/1000)*0.902</f>
        <v>58.566815885267495</v>
      </c>
      <c r="E11" s="33">
        <f>C33*'E Balans VL '!I21/100/3.6*1000000</f>
        <v>9.1033914703476146E-2</v>
      </c>
      <c r="F11" s="33">
        <f>C33*'E Balans VL '!L21/100/3.6*1000000+C33*'E Balans VL '!N21/100/3.6*1000000</f>
        <v>1.5339313634197538</v>
      </c>
      <c r="G11" s="34"/>
      <c r="H11" s="33"/>
      <c r="I11" s="33"/>
      <c r="J11" s="40">
        <f>C33*'E Balans VL '!D21/100/3.6*1000000+C33*'E Balans VL '!E21/100/3.6*1000000</f>
        <v>0</v>
      </c>
      <c r="K11" s="33"/>
      <c r="L11" s="33"/>
      <c r="M11" s="33"/>
      <c r="N11" s="33">
        <f>C33*'E Balans VL '!Y21/100/3.6*1000000</f>
        <v>0.32368725197567966</v>
      </c>
      <c r="O11" s="33"/>
      <c r="P11" s="33"/>
      <c r="R11" s="32"/>
    </row>
    <row r="12" spans="1:18">
      <c r="A12" s="6" t="s">
        <v>37</v>
      </c>
      <c r="B12" s="37">
        <f t="shared" si="0"/>
        <v>139.43439999999998</v>
      </c>
      <c r="C12" s="33"/>
      <c r="D12" s="37">
        <f>IF( ISERROR(IND_min_gas_kWh/1000),0,IND_min_gas_kWh/1000)*0.902</f>
        <v>0</v>
      </c>
      <c r="E12" s="33">
        <f>C34*'E Balans VL '!I22/100/3.6*1000000</f>
        <v>0.42228372404021697</v>
      </c>
      <c r="F12" s="33">
        <f>C34*'E Balans VL '!L22/100/3.6*1000000+C34*'E Balans VL '!N22/100/3.6*1000000</f>
        <v>4.3574448767879588</v>
      </c>
      <c r="G12" s="34"/>
      <c r="H12" s="33"/>
      <c r="I12" s="33"/>
      <c r="J12" s="40">
        <f>C34*'E Balans VL '!D22/100/3.6*1000000+C34*'E Balans VL '!E22/100/3.6*1000000</f>
        <v>0.20675026235817001</v>
      </c>
      <c r="K12" s="33"/>
      <c r="L12" s="33"/>
      <c r="M12" s="33"/>
      <c r="N12" s="33">
        <f>C34*'E Balans VL '!Y22/100/3.6*1000000</f>
        <v>0</v>
      </c>
      <c r="O12" s="33"/>
      <c r="P12" s="33"/>
      <c r="R12" s="32"/>
    </row>
    <row r="13" spans="1:18">
      <c r="A13" s="6" t="s">
        <v>39</v>
      </c>
      <c r="B13" s="37">
        <f t="shared" si="0"/>
        <v>4803.9610000000002</v>
      </c>
      <c r="C13" s="33"/>
      <c r="D13" s="37">
        <f>IF( ISERROR(IND_papier_gas_kWh/1000),0,IND_papier_gas_kWh/1000)*0.902</f>
        <v>5360.7418285069998</v>
      </c>
      <c r="E13" s="33">
        <f>C35*'E Balans VL '!I23/100/3.6*1000000</f>
        <v>9.9493274905594689</v>
      </c>
      <c r="F13" s="33">
        <f>C35*'E Balans VL '!L23/100/3.6*1000000+C35*'E Balans VL '!N23/100/3.6*1000000</f>
        <v>95.272845503821472</v>
      </c>
      <c r="G13" s="34"/>
      <c r="H13" s="33"/>
      <c r="I13" s="33"/>
      <c r="J13" s="40">
        <f>C35*'E Balans VL '!D23/100/3.6*1000000+C35*'E Balans VL '!E23/100/3.6*1000000</f>
        <v>0</v>
      </c>
      <c r="K13" s="33"/>
      <c r="L13" s="33"/>
      <c r="M13" s="33"/>
      <c r="N13" s="33">
        <f>C35*'E Balans VL '!Y23/100/3.6*1000000</f>
        <v>2028.4622939534602</v>
      </c>
      <c r="O13" s="33"/>
      <c r="P13" s="33"/>
      <c r="R13" s="32"/>
    </row>
    <row r="14" spans="1:18">
      <c r="A14" s="6" t="s">
        <v>34</v>
      </c>
      <c r="B14" s="37">
        <f t="shared" si="0"/>
        <v>0</v>
      </c>
      <c r="C14" s="33"/>
      <c r="D14" s="37">
        <f>IF( ISERROR(IND_chemie_gas_kWh/1000),0,IND_chemie_gas_kWh/1000)*0.902</f>
        <v>32097.172497323074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178000</v>
      </c>
      <c r="C15" s="33"/>
      <c r="D15" s="37">
        <f>IF( ISERROR(IND_rest_gas_kWh/1000),0,IND_rest_gas_kWh/1000)*0.902</f>
        <v>208368.10113005296</v>
      </c>
      <c r="E15" s="33">
        <f>C37*'E Balans VL '!I15/100/3.6*1000000</f>
        <v>9055.4136420462619</v>
      </c>
      <c r="F15" s="33">
        <f>C37*'E Balans VL '!L15/100/3.6*1000000+C37*'E Balans VL '!N15/100/3.6*1000000</f>
        <v>40572.897110284859</v>
      </c>
      <c r="G15" s="34"/>
      <c r="H15" s="33"/>
      <c r="I15" s="33"/>
      <c r="J15" s="40">
        <f>C37*'E Balans VL '!D15/100/3.6*1000000+C37*'E Balans VL '!E15/100/3.6*1000000</f>
        <v>746.76880423297894</v>
      </c>
      <c r="K15" s="33"/>
      <c r="L15" s="33"/>
      <c r="M15" s="33"/>
      <c r="N15" s="33">
        <f>C37*'E Balans VL '!Y15/100/3.6*1000000</f>
        <v>33443.330681790459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201016.86947999999</v>
      </c>
      <c r="C18" s="21">
        <f>C5+C16</f>
        <v>0</v>
      </c>
      <c r="D18" s="21">
        <f>MAX((D5+D16),0)</f>
        <v>263304.36054547224</v>
      </c>
      <c r="E18" s="21">
        <f>MAX((E5+E16),0)</f>
        <v>11343.974400833382</v>
      </c>
      <c r="F18" s="21">
        <f>MAX((F5+F16),0)</f>
        <v>53823.732936409288</v>
      </c>
      <c r="G18" s="21"/>
      <c r="H18" s="21"/>
      <c r="I18" s="21"/>
      <c r="J18" s="21">
        <f>MAX((J5+J16),0)</f>
        <v>807.06005782179898</v>
      </c>
      <c r="K18" s="21"/>
      <c r="L18" s="21">
        <f>MAX((L5+L16),0)</f>
        <v>0</v>
      </c>
      <c r="M18" s="21"/>
      <c r="N18" s="21">
        <f>MAX((N5+N16),0)</f>
        <v>39412.404581047747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0.21543545102312664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43306.15993968078</v>
      </c>
      <c r="C22" s="23">
        <f ca="1">C18*C20</f>
        <v>0</v>
      </c>
      <c r="D22" s="23">
        <f>D18*D20</f>
        <v>53187.480830185399</v>
      </c>
      <c r="E22" s="23">
        <f>E18*E20</f>
        <v>2575.0821889891777</v>
      </c>
      <c r="F22" s="23">
        <f>F18*F20</f>
        <v>14370.93669402128</v>
      </c>
      <c r="G22" s="23"/>
      <c r="H22" s="23"/>
      <c r="I22" s="23"/>
      <c r="J22" s="23">
        <f>J18*J20</f>
        <v>285.6992604689168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8071.1019999999999</v>
      </c>
      <c r="C30" s="39">
        <f>IF(ISERROR(B30*3.6/1000000/'E Balans VL '!Z18*100),0,B30*3.6/1000000/'E Balans VL '!Z18*100)</f>
        <v>1.1296853075544293</v>
      </c>
      <c r="D30" s="237" t="s">
        <v>692</v>
      </c>
    </row>
    <row r="31" spans="1:18">
      <c r="A31" s="6" t="s">
        <v>33</v>
      </c>
      <c r="B31" s="37">
        <f>IF( ISERROR(IND_ander_ele_kWh/1000),0,IND_ander_ele_kWh/1000)</f>
        <v>7457.5249999999996</v>
      </c>
      <c r="C31" s="39">
        <f>IF(ISERROR(B31*3.6/1000000/'E Balans VL '!Z19*100),0,B31*3.6/1000000/'E Balans VL '!Z19*100)</f>
        <v>0.32641465946756598</v>
      </c>
      <c r="D31" s="237" t="s">
        <v>692</v>
      </c>
    </row>
    <row r="32" spans="1:18">
      <c r="A32" s="171" t="s">
        <v>41</v>
      </c>
      <c r="B32" s="37">
        <f>IF( ISERROR(IND_voed_ele_kWh/1000),0,IND_voed_ele_kWh/1000)</f>
        <v>2510.5010000000002</v>
      </c>
      <c r="C32" s="39">
        <f>IF(ISERROR(B32*3.6/1000000/'E Balans VL '!Z20*100),0,B32*3.6/1000000/'E Balans VL '!Z20*100)</f>
        <v>0.62151667797403698</v>
      </c>
      <c r="D32" s="237" t="s">
        <v>692</v>
      </c>
    </row>
    <row r="33" spans="1:5">
      <c r="A33" s="171" t="s">
        <v>40</v>
      </c>
      <c r="B33" s="37">
        <f>IF( ISERROR(IND_textiel_ele_kWh/1000),0,IND_textiel_ele_kWh/1000)</f>
        <v>34.346080000000001</v>
      </c>
      <c r="C33" s="39">
        <f>IF(ISERROR(B33*3.6/1000000/'E Balans VL '!Z21*100),0,B33*3.6/1000000/'E Balans VL '!Z21*100)</f>
        <v>3.870198204226813E-3</v>
      </c>
      <c r="D33" s="237" t="s">
        <v>692</v>
      </c>
    </row>
    <row r="34" spans="1:5">
      <c r="A34" s="171" t="s">
        <v>37</v>
      </c>
      <c r="B34" s="37">
        <f>IF( ISERROR(IND_min_ele_kWh/1000),0,IND_min_ele_kWh/1000)</f>
        <v>139.43439999999998</v>
      </c>
      <c r="C34" s="39">
        <f>IF(ISERROR(B34*3.6/1000000/'E Balans VL '!Z22*100),0,B34*3.6/1000000/'E Balans VL '!Z22*100)</f>
        <v>3.9565794102211661E-3</v>
      </c>
      <c r="D34" s="237" t="s">
        <v>692</v>
      </c>
    </row>
    <row r="35" spans="1:5">
      <c r="A35" s="171" t="s">
        <v>39</v>
      </c>
      <c r="B35" s="37">
        <f>IF( ISERROR(IND_papier_ele_kWh/1000),0,IND_papier_ele_kWh/1000)</f>
        <v>4803.9610000000002</v>
      </c>
      <c r="C35" s="39">
        <f>IF(ISERROR(B35*3.6/1000000/'E Balans VL '!Z22*100),0,B35*3.6/1000000/'E Balans VL '!Z22*100)</f>
        <v>0.13631681407246338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178000</v>
      </c>
      <c r="C37" s="39">
        <f>IF(ISERROR(B37*3.6/1000000/'E Balans VL '!Z15*100),0,B37*3.6/1000000/'E Balans VL '!Z15*100)</f>
        <v>1.3198395251104111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941.12139999999988</v>
      </c>
      <c r="C5" s="17">
        <f>'Eigen informatie GS &amp; warmtenet'!B60</f>
        <v>0</v>
      </c>
      <c r="D5" s="30">
        <f>IF(ISERROR(SUM(LB_lb_gas_kWh,LB_rest_gas_kWh)/1000),0,SUM(LB_lb_gas_kWh,LB_rest_gas_kWh)/1000)*0.902</f>
        <v>946.11330408261381</v>
      </c>
      <c r="E5" s="17">
        <f>B17*'E Balans VL '!I25/3.6*1000000/100</f>
        <v>8.7170605846759059</v>
      </c>
      <c r="F5" s="17">
        <f>B17*('E Balans VL '!L25/3.6*1000000+'E Balans VL '!N25/3.6*1000000)/100</f>
        <v>2387.804275242715</v>
      </c>
      <c r="G5" s="18"/>
      <c r="H5" s="17"/>
      <c r="I5" s="17"/>
      <c r="J5" s="17">
        <f>('E Balans VL '!D25+'E Balans VL '!E25)/3.6*1000000*landbouw!B17/100</f>
        <v>144.28441356547782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941.12139999999988</v>
      </c>
      <c r="C8" s="21">
        <f>C5+C6</f>
        <v>0</v>
      </c>
      <c r="D8" s="21">
        <f>MAX((D5+D6),0)</f>
        <v>946.11330408261381</v>
      </c>
      <c r="E8" s="21">
        <f>MAX((E5+E6),0)</f>
        <v>8.7170605846759059</v>
      </c>
      <c r="F8" s="21">
        <f>MAX((F5+F6),0)</f>
        <v>2387.804275242715</v>
      </c>
      <c r="G8" s="21"/>
      <c r="H8" s="21"/>
      <c r="I8" s="21"/>
      <c r="J8" s="21">
        <f>MAX((J5+J6),0)</f>
        <v>144.28441356547782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0.21543545102312664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202.75091327651634</v>
      </c>
      <c r="C12" s="23">
        <f ca="1">C8*C10</f>
        <v>0</v>
      </c>
      <c r="D12" s="23">
        <f>D8*D10</f>
        <v>191.11488742468799</v>
      </c>
      <c r="E12" s="23">
        <f>E8*E10</f>
        <v>1.9787727527214307</v>
      </c>
      <c r="F12" s="23">
        <f>F8*F10</f>
        <v>637.54374148980492</v>
      </c>
      <c r="G12" s="23"/>
      <c r="H12" s="23"/>
      <c r="I12" s="23"/>
      <c r="J12" s="23">
        <f>J8*J10</f>
        <v>51.076682402179145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0.13380750785707823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125.25690158649496</v>
      </c>
      <c r="C26" s="247">
        <f>B26*'GWP N2O_CH4'!B5</f>
        <v>2630.3949333163941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16.992508311954499</v>
      </c>
      <c r="C27" s="247">
        <f>B27*'GWP N2O_CH4'!B5</f>
        <v>356.84267455104447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1.6682570671796597</v>
      </c>
      <c r="C28" s="247">
        <f>B28*'GWP N2O_CH4'!B4</f>
        <v>517.1596908256945</v>
      </c>
      <c r="D28" s="50"/>
    </row>
    <row r="29" spans="1:4">
      <c r="A29" s="41" t="s">
        <v>277</v>
      </c>
      <c r="B29" s="247">
        <f>B34*'ha_N2O bodem landbouw'!B4</f>
        <v>12.56435600612464</v>
      </c>
      <c r="C29" s="247">
        <f>B29*'GWP N2O_CH4'!B4</f>
        <v>3894.9503618986387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2.8179637020144433E-3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3.6515260245234977E-4</v>
      </c>
      <c r="C5" s="464" t="s">
        <v>211</v>
      </c>
      <c r="D5" s="449">
        <f>SUM(D6:D11)</f>
        <v>9.3185013090935228E-4</v>
      </c>
      <c r="E5" s="449">
        <f>SUM(E6:E11)</f>
        <v>6.6785381572987985E-3</v>
      </c>
      <c r="F5" s="462" t="s">
        <v>211</v>
      </c>
      <c r="G5" s="449">
        <f>SUM(G6:G11)</f>
        <v>1.9003305121110312</v>
      </c>
      <c r="H5" s="449">
        <f>SUM(H6:H11)</f>
        <v>0.36041630025764326</v>
      </c>
      <c r="I5" s="464" t="s">
        <v>211</v>
      </c>
      <c r="J5" s="464" t="s">
        <v>211</v>
      </c>
      <c r="K5" s="464" t="s">
        <v>211</v>
      </c>
      <c r="L5" s="464" t="s">
        <v>211</v>
      </c>
      <c r="M5" s="449">
        <f>SUM(M6:M11)</f>
        <v>0.12102042445335853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1.5050679219858623E-4</v>
      </c>
      <c r="C6" s="450"/>
      <c r="D6" s="893">
        <f>vkm_2011_GW_PW*SUMIFS(TableVerdeelsleutelVkm[CNG],TableVerdeelsleutelVkm[Voertuigtype],"Lichte voertuigen")*SUMIFS(TableECFTransport[EnergieConsumptieFactor (PJ per km)],TableECFTransport[Index],CONCATENATE($A6,"_CNG_CNG"))</f>
        <v>3.4813878046673926E-4</v>
      </c>
      <c r="E6" s="893">
        <f>vkm_2011_GW_PW*SUMIFS(TableVerdeelsleutelVkm[LPG],TableVerdeelsleutelVkm[Voertuigtype],"Lichte voertuigen")*SUMIFS(TableECFTransport[EnergieConsumptieFactor (PJ per km)],TableECFTransport[Index],CONCATENATE($A6,"_LPG_LPG"))</f>
        <v>2.2668695032787129E-3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0.4709253683937128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0.13274412938668489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3.1327317553294369E-2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0.17564191672459853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6.0066345714016534E-5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1.0161880466082934E-2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3.7895176440779483E-5</v>
      </c>
      <c r="C8" s="450"/>
      <c r="D8" s="452">
        <f>vkm_2011_NGW_PW*SUMIFS(TableVerdeelsleutelVkm[CNG],TableVerdeelsleutelVkm[Voertuigtype],"Lichte voertuigen")*SUMIFS(TableECFTransport[EnergieConsumptieFactor (PJ per km)],TableECFTransport[Index],CONCATENATE($A8,"_CNG_CNG"))</f>
        <v>1.5503734332547267E-4</v>
      </c>
      <c r="E8" s="452">
        <f>vkm_2011_NGW_PW*SUMIFS(TableVerdeelsleutelVkm[LPG],TableVerdeelsleutelVkm[Voertuigtype],"Lichte voertuigen")*SUMIFS(TableECFTransport[EnergieConsumptieFactor (PJ per km)],TableECFTransport[Index],CONCATENATE($A8,"_LPG_LPG"))</f>
        <v>9.3167229225563357E-4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0.18092939046933146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5.7160236180442976E-2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1.2225583451546554E-2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2.6445957321807035E-2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8.5576037287176749E-6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1.5300335585364216E-3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1.7675063381298407E-4</v>
      </c>
      <c r="C10" s="450"/>
      <c r="D10" s="452">
        <f>vkm_2011_SW_PW*SUMIFS(TableVerdeelsleutelVkm[CNG],TableVerdeelsleutelVkm[Voertuigtype],"Lichte voertuigen")*SUMIFS(TableECFTransport[EnergieConsumptieFactor (PJ per km)],TableECFTransport[Index],CONCATENATE($A10,"_CNG_CNG"))</f>
        <v>4.2867400711714041E-4</v>
      </c>
      <c r="E10" s="452">
        <f>vkm_2011_SW_PW*SUMIFS(TableVerdeelsleutelVkm[LPG],TableVerdeelsleutelVkm[Voertuigtype],"Lichte voertuigen")*SUMIFS(TableECFTransport[EnergieConsumptieFactor (PJ per km)],TableECFTransport[Index],CONCATENATE($A10,"_LPG_LPG"))</f>
        <v>3.4799963617644521E-3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0.6508592389929706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0.1702975338104861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4.2891711973627823E-2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0.395528640208611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1.4577693058660915E-4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2.2883897450270432E-2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101.43127845898606</v>
      </c>
      <c r="C14" s="21"/>
      <c r="D14" s="21">
        <f t="shared" ref="D14:M14" si="0">((D5)*10^9/3600)+D12</f>
        <v>258.84725858593123</v>
      </c>
      <c r="E14" s="21">
        <f t="shared" si="0"/>
        <v>1855.1494881385552</v>
      </c>
      <c r="F14" s="21"/>
      <c r="G14" s="21">
        <f t="shared" si="0"/>
        <v>527869.5866975087</v>
      </c>
      <c r="H14" s="21">
        <f t="shared" si="0"/>
        <v>100115.63896045646</v>
      </c>
      <c r="I14" s="21"/>
      <c r="J14" s="21"/>
      <c r="K14" s="21"/>
      <c r="L14" s="21"/>
      <c r="M14" s="21">
        <f t="shared" si="0"/>
        <v>33616.784570377371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0.21543545102312664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21.85189322266401</v>
      </c>
      <c r="C18" s="23"/>
      <c r="D18" s="23">
        <f t="shared" ref="D18:M18" si="1">D14*D16</f>
        <v>52.287146234358111</v>
      </c>
      <c r="E18" s="23">
        <f t="shared" si="1"/>
        <v>421.11893380745204</v>
      </c>
      <c r="F18" s="23"/>
      <c r="G18" s="23">
        <f t="shared" si="1"/>
        <v>140941.17964823483</v>
      </c>
      <c r="H18" s="23">
        <f t="shared" si="1"/>
        <v>24928.79410115366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3.8663396902922982E-2</v>
      </c>
      <c r="H50" s="321">
        <f t="shared" si="2"/>
        <v>0</v>
      </c>
      <c r="I50" s="321">
        <f t="shared" si="2"/>
        <v>0</v>
      </c>
      <c r="J50" s="321">
        <f t="shared" si="2"/>
        <v>0</v>
      </c>
      <c r="K50" s="321">
        <f t="shared" si="2"/>
        <v>0</v>
      </c>
      <c r="L50" s="321">
        <f t="shared" si="2"/>
        <v>0</v>
      </c>
      <c r="M50" s="321">
        <f t="shared" si="2"/>
        <v>2.2048608154831657E-3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3.8663396902922982E-2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2.2048608154831657E-3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10739.832473034161</v>
      </c>
      <c r="H54" s="21">
        <f t="shared" si="3"/>
        <v>0</v>
      </c>
      <c r="I54" s="21">
        <f t="shared" si="3"/>
        <v>0</v>
      </c>
      <c r="J54" s="21">
        <f t="shared" si="3"/>
        <v>0</v>
      </c>
      <c r="K54" s="21">
        <f t="shared" si="3"/>
        <v>0</v>
      </c>
      <c r="L54" s="21">
        <f t="shared" si="3"/>
        <v>0</v>
      </c>
      <c r="M54" s="21">
        <f t="shared" si="3"/>
        <v>612.46133763421278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0.21543545102312664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2867.5352703001213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208500.29999999996</v>
      </c>
      <c r="D10" s="1025">
        <f ca="1">tertiair!C16</f>
        <v>0</v>
      </c>
      <c r="E10" s="1025">
        <f ca="1">tertiair!D16</f>
        <v>196269.95687898452</v>
      </c>
      <c r="F10" s="1025">
        <f>tertiair!E16</f>
        <v>1513.5820228594298</v>
      </c>
      <c r="G10" s="1025">
        <f ca="1">tertiair!F16</f>
        <v>28015.216502891893</v>
      </c>
      <c r="H10" s="1025">
        <f>tertiair!G16</f>
        <v>0</v>
      </c>
      <c r="I10" s="1025">
        <f>tertiair!H16</f>
        <v>0</v>
      </c>
      <c r="J10" s="1025">
        <f>tertiair!I16</f>
        <v>0</v>
      </c>
      <c r="K10" s="1025">
        <f>tertiair!J16</f>
        <v>0</v>
      </c>
      <c r="L10" s="1025">
        <f>tertiair!K16</f>
        <v>0</v>
      </c>
      <c r="M10" s="1025">
        <f ca="1">tertiair!L16</f>
        <v>0</v>
      </c>
      <c r="N10" s="1025">
        <f>tertiair!M16</f>
        <v>0</v>
      </c>
      <c r="O10" s="1025">
        <f ca="1">tertiair!N16</f>
        <v>11718.09700228375</v>
      </c>
      <c r="P10" s="1025">
        <f>tertiair!O16</f>
        <v>3.1266666666666669</v>
      </c>
      <c r="Q10" s="1026">
        <f>tertiair!P16</f>
        <v>152.53333333333333</v>
      </c>
      <c r="R10" s="701">
        <f ca="1">SUM(C10:Q10)</f>
        <v>446172.81240701955</v>
      </c>
      <c r="S10" s="67"/>
    </row>
    <row r="11" spans="1:19" s="474" customFormat="1">
      <c r="A11" s="810" t="s">
        <v>225</v>
      </c>
      <c r="B11" s="815"/>
      <c r="C11" s="1025">
        <f>huishoudens!B8</f>
        <v>117448.03856464614</v>
      </c>
      <c r="D11" s="1025">
        <f>huishoudens!C8</f>
        <v>0</v>
      </c>
      <c r="E11" s="1025">
        <f>huishoudens!D8</f>
        <v>348719.06855681521</v>
      </c>
      <c r="F11" s="1025">
        <f>huishoudens!E8</f>
        <v>5303.4534206632507</v>
      </c>
      <c r="G11" s="1025">
        <f>huishoudens!F8</f>
        <v>0</v>
      </c>
      <c r="H11" s="1025">
        <f>huishoudens!G8</f>
        <v>0</v>
      </c>
      <c r="I11" s="1025">
        <f>huishoudens!H8</f>
        <v>0</v>
      </c>
      <c r="J11" s="1025">
        <f>huishoudens!I8</f>
        <v>0</v>
      </c>
      <c r="K11" s="1025">
        <f>huishoudens!J8</f>
        <v>334.15512564707768</v>
      </c>
      <c r="L11" s="1025">
        <f>huishoudens!K8</f>
        <v>0</v>
      </c>
      <c r="M11" s="1025">
        <f>huishoudens!L8</f>
        <v>0</v>
      </c>
      <c r="N11" s="1025">
        <f>huishoudens!M8</f>
        <v>0</v>
      </c>
      <c r="O11" s="1025">
        <f>huishoudens!N8</f>
        <v>27891.278031611295</v>
      </c>
      <c r="P11" s="1025">
        <f>huishoudens!O8</f>
        <v>465.87333333333339</v>
      </c>
      <c r="Q11" s="1026">
        <f>huishoudens!P8</f>
        <v>1182.1333333333332</v>
      </c>
      <c r="R11" s="701">
        <f>SUM(C11:Q11)</f>
        <v>501344.0003660497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201016.86947999999</v>
      </c>
      <c r="D13" s="1025">
        <f>industrie!C18</f>
        <v>0</v>
      </c>
      <c r="E13" s="1025">
        <f>industrie!D18</f>
        <v>263304.36054547224</v>
      </c>
      <c r="F13" s="1025">
        <f>industrie!E18</f>
        <v>11343.974400833382</v>
      </c>
      <c r="G13" s="1025">
        <f>industrie!F18</f>
        <v>53823.732936409288</v>
      </c>
      <c r="H13" s="1025">
        <f>industrie!G18</f>
        <v>0</v>
      </c>
      <c r="I13" s="1025">
        <f>industrie!H18</f>
        <v>0</v>
      </c>
      <c r="J13" s="1025">
        <f>industrie!I18</f>
        <v>0</v>
      </c>
      <c r="K13" s="1025">
        <f>industrie!J18</f>
        <v>807.06005782179898</v>
      </c>
      <c r="L13" s="1025">
        <f>industrie!K18</f>
        <v>0</v>
      </c>
      <c r="M13" s="1025">
        <f>industrie!L18</f>
        <v>0</v>
      </c>
      <c r="N13" s="1025">
        <f>industrie!M18</f>
        <v>0</v>
      </c>
      <c r="O13" s="1025">
        <f>industrie!N18</f>
        <v>39412.404581047747</v>
      </c>
      <c r="P13" s="1025">
        <f>industrie!O18</f>
        <v>0</v>
      </c>
      <c r="Q13" s="1026">
        <f>industrie!P18</f>
        <v>0</v>
      </c>
      <c r="R13" s="701">
        <f>SUM(C13:Q13)</f>
        <v>569708.40200158441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526965.20804464607</v>
      </c>
      <c r="D16" s="733">
        <f t="shared" ref="D16:R16" ca="1" si="0">SUM(D9:D15)</f>
        <v>0</v>
      </c>
      <c r="E16" s="733">
        <f t="shared" ca="1" si="0"/>
        <v>808293.38598127197</v>
      </c>
      <c r="F16" s="733">
        <f t="shared" si="0"/>
        <v>18161.009844356064</v>
      </c>
      <c r="G16" s="733">
        <f t="shared" ca="1" si="0"/>
        <v>81838.949439301185</v>
      </c>
      <c r="H16" s="733">
        <f t="shared" si="0"/>
        <v>0</v>
      </c>
      <c r="I16" s="733">
        <f t="shared" si="0"/>
        <v>0</v>
      </c>
      <c r="J16" s="733">
        <f t="shared" si="0"/>
        <v>0</v>
      </c>
      <c r="K16" s="733">
        <f t="shared" si="0"/>
        <v>1141.2151834688766</v>
      </c>
      <c r="L16" s="733">
        <f t="shared" si="0"/>
        <v>0</v>
      </c>
      <c r="M16" s="733">
        <f t="shared" ca="1" si="0"/>
        <v>0</v>
      </c>
      <c r="N16" s="733">
        <f t="shared" si="0"/>
        <v>0</v>
      </c>
      <c r="O16" s="733">
        <f t="shared" ca="1" si="0"/>
        <v>79021.779614942789</v>
      </c>
      <c r="P16" s="733">
        <f t="shared" si="0"/>
        <v>469.00000000000006</v>
      </c>
      <c r="Q16" s="733">
        <f t="shared" si="0"/>
        <v>1334.6666666666665</v>
      </c>
      <c r="R16" s="733">
        <f t="shared" ca="1" si="0"/>
        <v>1517225.2147746538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10739.832473034161</v>
      </c>
      <c r="I19" s="1025">
        <f>transport!H54</f>
        <v>0</v>
      </c>
      <c r="J19" s="1025">
        <f>transport!I54</f>
        <v>0</v>
      </c>
      <c r="K19" s="1025">
        <f>transport!J54</f>
        <v>0</v>
      </c>
      <c r="L19" s="1025">
        <f>transport!K54</f>
        <v>0</v>
      </c>
      <c r="M19" s="1025">
        <f>transport!L54</f>
        <v>0</v>
      </c>
      <c r="N19" s="1025">
        <f>transport!M54</f>
        <v>612.46133763421278</v>
      </c>
      <c r="O19" s="1025">
        <f>transport!N54</f>
        <v>0</v>
      </c>
      <c r="P19" s="1025">
        <f>transport!O54</f>
        <v>0</v>
      </c>
      <c r="Q19" s="1026">
        <f>transport!P54</f>
        <v>0</v>
      </c>
      <c r="R19" s="701">
        <f>SUM(C19:Q19)</f>
        <v>11352.293810668374</v>
      </c>
      <c r="S19" s="67"/>
    </row>
    <row r="20" spans="1:19" s="474" customFormat="1">
      <c r="A20" s="810" t="s">
        <v>307</v>
      </c>
      <c r="B20" s="815"/>
      <c r="C20" s="1025">
        <f>transport!B14</f>
        <v>101.43127845898606</v>
      </c>
      <c r="D20" s="1025">
        <f>transport!C14</f>
        <v>0</v>
      </c>
      <c r="E20" s="1025">
        <f>transport!D14</f>
        <v>258.84725858593123</v>
      </c>
      <c r="F20" s="1025">
        <f>transport!E14</f>
        <v>1855.1494881385552</v>
      </c>
      <c r="G20" s="1025">
        <f>transport!F14</f>
        <v>0</v>
      </c>
      <c r="H20" s="1025">
        <f>transport!G14</f>
        <v>527869.5866975087</v>
      </c>
      <c r="I20" s="1025">
        <f>transport!H14</f>
        <v>100115.63896045646</v>
      </c>
      <c r="J20" s="1025">
        <f>transport!I14</f>
        <v>0</v>
      </c>
      <c r="K20" s="1025">
        <f>transport!J14</f>
        <v>0</v>
      </c>
      <c r="L20" s="1025">
        <f>transport!K14</f>
        <v>0</v>
      </c>
      <c r="M20" s="1025">
        <f>transport!L14</f>
        <v>0</v>
      </c>
      <c r="N20" s="1025">
        <f>transport!M14</f>
        <v>33616.784570377371</v>
      </c>
      <c r="O20" s="1025">
        <f>transport!N14</f>
        <v>0</v>
      </c>
      <c r="P20" s="1025">
        <f>transport!O14</f>
        <v>0</v>
      </c>
      <c r="Q20" s="1026">
        <f>transport!P14</f>
        <v>0</v>
      </c>
      <c r="R20" s="701">
        <f>SUM(C20:Q20)</f>
        <v>663817.43825352599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101.43127845898606</v>
      </c>
      <c r="D22" s="813">
        <f t="shared" ref="D22:R22" si="1">SUM(D18:D21)</f>
        <v>0</v>
      </c>
      <c r="E22" s="813">
        <f t="shared" si="1"/>
        <v>258.84725858593123</v>
      </c>
      <c r="F22" s="813">
        <f t="shared" si="1"/>
        <v>1855.1494881385552</v>
      </c>
      <c r="G22" s="813">
        <f t="shared" si="1"/>
        <v>0</v>
      </c>
      <c r="H22" s="813">
        <f t="shared" si="1"/>
        <v>538609.41917054285</v>
      </c>
      <c r="I22" s="813">
        <f t="shared" si="1"/>
        <v>100115.63896045646</v>
      </c>
      <c r="J22" s="813">
        <f t="shared" si="1"/>
        <v>0</v>
      </c>
      <c r="K22" s="813">
        <f t="shared" si="1"/>
        <v>0</v>
      </c>
      <c r="L22" s="813">
        <f t="shared" si="1"/>
        <v>0</v>
      </c>
      <c r="M22" s="813">
        <f t="shared" si="1"/>
        <v>0</v>
      </c>
      <c r="N22" s="813">
        <f t="shared" si="1"/>
        <v>34229.24590801158</v>
      </c>
      <c r="O22" s="813">
        <f t="shared" si="1"/>
        <v>0</v>
      </c>
      <c r="P22" s="813">
        <f t="shared" si="1"/>
        <v>0</v>
      </c>
      <c r="Q22" s="813">
        <f t="shared" si="1"/>
        <v>0</v>
      </c>
      <c r="R22" s="813">
        <f t="shared" si="1"/>
        <v>675169.7320641944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941.12139999999988</v>
      </c>
      <c r="D24" s="1025">
        <f>+landbouw!C8</f>
        <v>0</v>
      </c>
      <c r="E24" s="1025">
        <f>+landbouw!D8</f>
        <v>946.11330408261381</v>
      </c>
      <c r="F24" s="1025">
        <f>+landbouw!E8</f>
        <v>8.7170605846759059</v>
      </c>
      <c r="G24" s="1025">
        <f>+landbouw!F8</f>
        <v>2387.804275242715</v>
      </c>
      <c r="H24" s="1025">
        <f>+landbouw!G8</f>
        <v>0</v>
      </c>
      <c r="I24" s="1025">
        <f>+landbouw!H8</f>
        <v>0</v>
      </c>
      <c r="J24" s="1025">
        <f>+landbouw!I8</f>
        <v>0</v>
      </c>
      <c r="K24" s="1025">
        <f>+landbouw!J8</f>
        <v>144.28441356547782</v>
      </c>
      <c r="L24" s="1025">
        <f>+landbouw!K8</f>
        <v>0</v>
      </c>
      <c r="M24" s="1025">
        <f>+landbouw!L8</f>
        <v>0</v>
      </c>
      <c r="N24" s="1025">
        <f>+landbouw!M8</f>
        <v>0</v>
      </c>
      <c r="O24" s="1025">
        <f>+landbouw!N8</f>
        <v>0</v>
      </c>
      <c r="P24" s="1025">
        <f>+landbouw!O8</f>
        <v>0</v>
      </c>
      <c r="Q24" s="1026">
        <f>+landbouw!P8</f>
        <v>0</v>
      </c>
      <c r="R24" s="701">
        <f>SUM(C24:Q24)</f>
        <v>4428.0404534754825</v>
      </c>
      <c r="S24" s="67"/>
    </row>
    <row r="25" spans="1:19" s="474" customFormat="1" ht="15" thickBot="1">
      <c r="A25" s="832" t="s">
        <v>864</v>
      </c>
      <c r="B25" s="1028"/>
      <c r="C25" s="1029">
        <f>IF(Onbekend_ele_kWh="---",0,Onbekend_ele_kWh)/1000+IF(REST_rest_ele_kWh="---",0,REST_rest_ele_kWh)/1000</f>
        <v>5033.1890000000003</v>
      </c>
      <c r="D25" s="1029"/>
      <c r="E25" s="1029">
        <f>IF(onbekend_gas_kWh="---",0,onbekend_gas_kWh)/1000+IF(REST_rest_gas_kWh="---",0,REST_rest_gas_kWh)/1000</f>
        <v>24278.273533623902</v>
      </c>
      <c r="F25" s="1029"/>
      <c r="G25" s="1029"/>
      <c r="H25" s="1029"/>
      <c r="I25" s="1029"/>
      <c r="J25" s="1029"/>
      <c r="K25" s="1029"/>
      <c r="L25" s="1029"/>
      <c r="M25" s="1029"/>
      <c r="N25" s="1029"/>
      <c r="O25" s="1029"/>
      <c r="P25" s="1029"/>
      <c r="Q25" s="1030"/>
      <c r="R25" s="701">
        <f>SUM(C25:Q25)</f>
        <v>29311.462533623904</v>
      </c>
      <c r="S25" s="67"/>
    </row>
    <row r="26" spans="1:19" s="474" customFormat="1" ht="15.75" thickBot="1">
      <c r="A26" s="706" t="s">
        <v>865</v>
      </c>
      <c r="B26" s="818"/>
      <c r="C26" s="813">
        <f>SUM(C24:C25)</f>
        <v>5974.3104000000003</v>
      </c>
      <c r="D26" s="813">
        <f t="shared" ref="D26:R26" si="2">SUM(D24:D25)</f>
        <v>0</v>
      </c>
      <c r="E26" s="813">
        <f t="shared" si="2"/>
        <v>25224.386837706516</v>
      </c>
      <c r="F26" s="813">
        <f t="shared" si="2"/>
        <v>8.7170605846759059</v>
      </c>
      <c r="G26" s="813">
        <f t="shared" si="2"/>
        <v>2387.804275242715</v>
      </c>
      <c r="H26" s="813">
        <f t="shared" si="2"/>
        <v>0</v>
      </c>
      <c r="I26" s="813">
        <f t="shared" si="2"/>
        <v>0</v>
      </c>
      <c r="J26" s="813">
        <f t="shared" si="2"/>
        <v>0</v>
      </c>
      <c r="K26" s="813">
        <f t="shared" si="2"/>
        <v>144.28441356547782</v>
      </c>
      <c r="L26" s="813">
        <f t="shared" si="2"/>
        <v>0</v>
      </c>
      <c r="M26" s="813">
        <f t="shared" si="2"/>
        <v>0</v>
      </c>
      <c r="N26" s="813">
        <f t="shared" si="2"/>
        <v>0</v>
      </c>
      <c r="O26" s="813">
        <f t="shared" si="2"/>
        <v>0</v>
      </c>
      <c r="P26" s="813">
        <f t="shared" si="2"/>
        <v>0</v>
      </c>
      <c r="Q26" s="813">
        <f t="shared" si="2"/>
        <v>0</v>
      </c>
      <c r="R26" s="813">
        <f t="shared" si="2"/>
        <v>33739.502987099389</v>
      </c>
      <c r="S26" s="67"/>
    </row>
    <row r="27" spans="1:19" s="474" customFormat="1" ht="17.25" thickTop="1" thickBot="1">
      <c r="A27" s="707" t="s">
        <v>116</v>
      </c>
      <c r="B27" s="806"/>
      <c r="C27" s="708">
        <f ca="1">C22+C16+C26</f>
        <v>533040.94972310506</v>
      </c>
      <c r="D27" s="708">
        <f t="shared" ref="D27:R27" ca="1" si="3">D22+D16+D26</f>
        <v>0</v>
      </c>
      <c r="E27" s="708">
        <f t="shared" ca="1" si="3"/>
        <v>833776.6200775645</v>
      </c>
      <c r="F27" s="708">
        <f t="shared" si="3"/>
        <v>20024.876393079296</v>
      </c>
      <c r="G27" s="708">
        <f t="shared" ca="1" si="3"/>
        <v>84226.753714543898</v>
      </c>
      <c r="H27" s="708">
        <f t="shared" si="3"/>
        <v>538609.41917054285</v>
      </c>
      <c r="I27" s="708">
        <f t="shared" si="3"/>
        <v>100115.63896045646</v>
      </c>
      <c r="J27" s="708">
        <f t="shared" si="3"/>
        <v>0</v>
      </c>
      <c r="K27" s="708">
        <f t="shared" si="3"/>
        <v>1285.4995970343543</v>
      </c>
      <c r="L27" s="708">
        <f t="shared" si="3"/>
        <v>0</v>
      </c>
      <c r="M27" s="708">
        <f t="shared" ca="1" si="3"/>
        <v>0</v>
      </c>
      <c r="N27" s="708">
        <f t="shared" si="3"/>
        <v>34229.24590801158</v>
      </c>
      <c r="O27" s="708">
        <f t="shared" ca="1" si="3"/>
        <v>79021.779614942789</v>
      </c>
      <c r="P27" s="708">
        <f t="shared" si="3"/>
        <v>469.00000000000006</v>
      </c>
      <c r="Q27" s="708">
        <f t="shared" si="3"/>
        <v>1334.6666666666665</v>
      </c>
      <c r="R27" s="708">
        <f t="shared" ca="1" si="3"/>
        <v>2226134.4498259476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44918.356168957202</v>
      </c>
      <c r="D40" s="1025">
        <f ca="1">tertiair!C20</f>
        <v>0</v>
      </c>
      <c r="E40" s="1025">
        <f ca="1">tertiair!D20</f>
        <v>39646.531289554878</v>
      </c>
      <c r="F40" s="1025">
        <f>tertiair!E20</f>
        <v>343.58311918909055</v>
      </c>
      <c r="G40" s="1025">
        <f ca="1">tertiair!F20</f>
        <v>7480.0628062721362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92388.533383973307</v>
      </c>
    </row>
    <row r="41" spans="1:18">
      <c r="A41" s="823" t="s">
        <v>225</v>
      </c>
      <c r="B41" s="830"/>
      <c r="C41" s="1025">
        <f ca="1">huishoudens!B12</f>
        <v>25302.471159956112</v>
      </c>
      <c r="D41" s="1025">
        <f ca="1">huishoudens!C12</f>
        <v>0</v>
      </c>
      <c r="E41" s="1025">
        <f>huishoudens!D12</f>
        <v>70441.251848476677</v>
      </c>
      <c r="F41" s="1025">
        <f>huishoudens!E12</f>
        <v>1203.883926490558</v>
      </c>
      <c r="G41" s="1025">
        <f>huishoudens!F12</f>
        <v>0</v>
      </c>
      <c r="H41" s="1025">
        <f>huishoudens!G12</f>
        <v>0</v>
      </c>
      <c r="I41" s="1025">
        <f>huishoudens!H12</f>
        <v>0</v>
      </c>
      <c r="J41" s="1025">
        <f>huishoudens!I12</f>
        <v>0</v>
      </c>
      <c r="K41" s="1025">
        <f>huishoudens!J12</f>
        <v>118.29091447906549</v>
      </c>
      <c r="L41" s="1025">
        <f>huishoudens!K12</f>
        <v>0</v>
      </c>
      <c r="M41" s="1025">
        <f>huishoudens!L12</f>
        <v>0</v>
      </c>
      <c r="N41" s="1025">
        <f>huishoudens!M12</f>
        <v>0</v>
      </c>
      <c r="O41" s="1025">
        <f>huishoudens!N12</f>
        <v>0</v>
      </c>
      <c r="P41" s="1025">
        <f>huishoudens!O12</f>
        <v>0</v>
      </c>
      <c r="Q41" s="775">
        <f>huishoudens!P12</f>
        <v>0</v>
      </c>
      <c r="R41" s="851">
        <f t="shared" ca="1" si="4"/>
        <v>97065.897849402405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43306.15993968078</v>
      </c>
      <c r="D43" s="1025">
        <f ca="1">industrie!C22</f>
        <v>0</v>
      </c>
      <c r="E43" s="1025">
        <f>industrie!D22</f>
        <v>53187.480830185399</v>
      </c>
      <c r="F43" s="1025">
        <f>industrie!E22</f>
        <v>2575.0821889891777</v>
      </c>
      <c r="G43" s="1025">
        <f>industrie!F22</f>
        <v>14370.93669402128</v>
      </c>
      <c r="H43" s="1025">
        <f>industrie!G22</f>
        <v>0</v>
      </c>
      <c r="I43" s="1025">
        <f>industrie!H22</f>
        <v>0</v>
      </c>
      <c r="J43" s="1025">
        <f>industrie!I22</f>
        <v>0</v>
      </c>
      <c r="K43" s="1025">
        <f>industrie!J22</f>
        <v>285.6992604689168</v>
      </c>
      <c r="L43" s="1025">
        <f>industrie!K22</f>
        <v>0</v>
      </c>
      <c r="M43" s="1025">
        <f>industrie!L22</f>
        <v>0</v>
      </c>
      <c r="N43" s="1025">
        <f>industrie!M22</f>
        <v>0</v>
      </c>
      <c r="O43" s="1025">
        <f>industrie!N22</f>
        <v>0</v>
      </c>
      <c r="P43" s="1025">
        <f>industrie!O22</f>
        <v>0</v>
      </c>
      <c r="Q43" s="775">
        <f>industrie!P22</f>
        <v>0</v>
      </c>
      <c r="R43" s="850">
        <f t="shared" ca="1" si="4"/>
        <v>113725.35891334555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113526.98726859409</v>
      </c>
      <c r="D46" s="733">
        <f t="shared" ref="D46:Q46" ca="1" si="5">SUM(D39:D45)</f>
        <v>0</v>
      </c>
      <c r="E46" s="733">
        <f t="shared" ca="1" si="5"/>
        <v>163275.26396821695</v>
      </c>
      <c r="F46" s="733">
        <f t="shared" si="5"/>
        <v>4122.5492346688261</v>
      </c>
      <c r="G46" s="733">
        <f t="shared" ca="1" si="5"/>
        <v>21850.999500293416</v>
      </c>
      <c r="H46" s="733">
        <f t="shared" si="5"/>
        <v>0</v>
      </c>
      <c r="I46" s="733">
        <f t="shared" si="5"/>
        <v>0</v>
      </c>
      <c r="J46" s="733">
        <f t="shared" si="5"/>
        <v>0</v>
      </c>
      <c r="K46" s="733">
        <f t="shared" si="5"/>
        <v>403.99017494798227</v>
      </c>
      <c r="L46" s="733">
        <f t="shared" si="5"/>
        <v>0</v>
      </c>
      <c r="M46" s="733">
        <f t="shared" ca="1" si="5"/>
        <v>0</v>
      </c>
      <c r="N46" s="733">
        <f t="shared" si="5"/>
        <v>0</v>
      </c>
      <c r="O46" s="733">
        <f t="shared" ca="1" si="5"/>
        <v>0</v>
      </c>
      <c r="P46" s="733">
        <f t="shared" si="5"/>
        <v>0</v>
      </c>
      <c r="Q46" s="733">
        <f t="shared" si="5"/>
        <v>0</v>
      </c>
      <c r="R46" s="733">
        <f ca="1">SUM(R39:R45)</f>
        <v>303179.79014672129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2867.5352703001213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2867.5352703001213</v>
      </c>
    </row>
    <row r="50" spans="1:18">
      <c r="A50" s="826" t="s">
        <v>307</v>
      </c>
      <c r="B50" s="836"/>
      <c r="C50" s="704">
        <f ca="1">transport!B18</f>
        <v>21.85189322266401</v>
      </c>
      <c r="D50" s="704">
        <f>transport!C18</f>
        <v>0</v>
      </c>
      <c r="E50" s="704">
        <f>transport!D18</f>
        <v>52.287146234358111</v>
      </c>
      <c r="F50" s="704">
        <f>transport!E18</f>
        <v>421.11893380745204</v>
      </c>
      <c r="G50" s="704">
        <f>transport!F18</f>
        <v>0</v>
      </c>
      <c r="H50" s="704">
        <f>transport!G18</f>
        <v>140941.17964823483</v>
      </c>
      <c r="I50" s="704">
        <f>transport!H18</f>
        <v>24928.79410115366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166365.23172265297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21.85189322266401</v>
      </c>
      <c r="D52" s="733">
        <f t="shared" ref="D52:Q52" ca="1" si="6">SUM(D48:D51)</f>
        <v>0</v>
      </c>
      <c r="E52" s="733">
        <f t="shared" si="6"/>
        <v>52.287146234358111</v>
      </c>
      <c r="F52" s="733">
        <f t="shared" si="6"/>
        <v>421.11893380745204</v>
      </c>
      <c r="G52" s="733">
        <f t="shared" si="6"/>
        <v>0</v>
      </c>
      <c r="H52" s="733">
        <f t="shared" si="6"/>
        <v>143808.71491853494</v>
      </c>
      <c r="I52" s="733">
        <f t="shared" si="6"/>
        <v>24928.79410115366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169232.76699295308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202.75091327651634</v>
      </c>
      <c r="D54" s="704">
        <f ca="1">+landbouw!C12</f>
        <v>0</v>
      </c>
      <c r="E54" s="704">
        <f>+landbouw!D12</f>
        <v>191.11488742468799</v>
      </c>
      <c r="F54" s="704">
        <f>+landbouw!E12</f>
        <v>1.9787727527214307</v>
      </c>
      <c r="G54" s="704">
        <f>+landbouw!F12</f>
        <v>637.54374148980492</v>
      </c>
      <c r="H54" s="704">
        <f>+landbouw!G12</f>
        <v>0</v>
      </c>
      <c r="I54" s="704">
        <f>+landbouw!H12</f>
        <v>0</v>
      </c>
      <c r="J54" s="704">
        <f>+landbouw!I12</f>
        <v>0</v>
      </c>
      <c r="K54" s="704">
        <f>+landbouw!J12</f>
        <v>51.076682402179145</v>
      </c>
      <c r="L54" s="704">
        <f>+landbouw!K12</f>
        <v>0</v>
      </c>
      <c r="M54" s="704">
        <f>+landbouw!L12</f>
        <v>0</v>
      </c>
      <c r="N54" s="704">
        <f>+landbouw!M12</f>
        <v>0</v>
      </c>
      <c r="O54" s="704">
        <f>+landbouw!N12</f>
        <v>0</v>
      </c>
      <c r="P54" s="704">
        <f>+landbouw!O12</f>
        <v>0</v>
      </c>
      <c r="Q54" s="705">
        <f>+landbouw!P12</f>
        <v>0</v>
      </c>
      <c r="R54" s="732">
        <f ca="1">SUM(C54:Q54)</f>
        <v>1084.4649973459098</v>
      </c>
    </row>
    <row r="55" spans="1:18" ht="15" thickBot="1">
      <c r="A55" s="826" t="s">
        <v>864</v>
      </c>
      <c r="B55" s="836"/>
      <c r="C55" s="704">
        <f ca="1">C25*'EF ele_warmte'!B12</f>
        <v>1084.3273422996399</v>
      </c>
      <c r="D55" s="704"/>
      <c r="E55" s="704">
        <f>E25*EF_CO2_aardgas</f>
        <v>4904.2112537920284</v>
      </c>
      <c r="F55" s="704"/>
      <c r="G55" s="704"/>
      <c r="H55" s="704"/>
      <c r="I55" s="704"/>
      <c r="J55" s="704"/>
      <c r="K55" s="704"/>
      <c r="L55" s="704"/>
      <c r="M55" s="704"/>
      <c r="N55" s="704"/>
      <c r="O55" s="704"/>
      <c r="P55" s="704"/>
      <c r="Q55" s="705"/>
      <c r="R55" s="732">
        <f ca="1">SUM(C55:Q55)</f>
        <v>5988.5385960916683</v>
      </c>
    </row>
    <row r="56" spans="1:18" ht="15.75" thickBot="1">
      <c r="A56" s="824" t="s">
        <v>865</v>
      </c>
      <c r="B56" s="837"/>
      <c r="C56" s="733">
        <f ca="1">SUM(C54:C55)</f>
        <v>1287.0782555761562</v>
      </c>
      <c r="D56" s="733">
        <f t="shared" ref="D56:Q56" ca="1" si="7">SUM(D54:D55)</f>
        <v>0</v>
      </c>
      <c r="E56" s="733">
        <f t="shared" si="7"/>
        <v>5095.3261412167167</v>
      </c>
      <c r="F56" s="733">
        <f t="shared" si="7"/>
        <v>1.9787727527214307</v>
      </c>
      <c r="G56" s="733">
        <f t="shared" si="7"/>
        <v>637.54374148980492</v>
      </c>
      <c r="H56" s="733">
        <f t="shared" si="7"/>
        <v>0</v>
      </c>
      <c r="I56" s="733">
        <f t="shared" si="7"/>
        <v>0</v>
      </c>
      <c r="J56" s="733">
        <f t="shared" si="7"/>
        <v>0</v>
      </c>
      <c r="K56" s="733">
        <f t="shared" si="7"/>
        <v>51.076682402179145</v>
      </c>
      <c r="L56" s="733">
        <f t="shared" si="7"/>
        <v>0</v>
      </c>
      <c r="M56" s="733">
        <f t="shared" si="7"/>
        <v>0</v>
      </c>
      <c r="N56" s="733">
        <f t="shared" si="7"/>
        <v>0</v>
      </c>
      <c r="O56" s="733">
        <f t="shared" si="7"/>
        <v>0</v>
      </c>
      <c r="P56" s="733">
        <f t="shared" si="7"/>
        <v>0</v>
      </c>
      <c r="Q56" s="734">
        <f t="shared" si="7"/>
        <v>0</v>
      </c>
      <c r="R56" s="735">
        <f ca="1">SUM(R54:R55)</f>
        <v>7073.0035934375783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114835.91741739291</v>
      </c>
      <c r="D61" s="741">
        <f t="shared" ref="D61:Q61" ca="1" si="8">D46+D52+D56</f>
        <v>0</v>
      </c>
      <c r="E61" s="741">
        <f t="shared" ca="1" si="8"/>
        <v>168422.87725566802</v>
      </c>
      <c r="F61" s="741">
        <f t="shared" si="8"/>
        <v>4545.6469412289998</v>
      </c>
      <c r="G61" s="741">
        <f t="shared" ca="1" si="8"/>
        <v>22488.54324178322</v>
      </c>
      <c r="H61" s="741">
        <f t="shared" si="8"/>
        <v>143808.71491853494</v>
      </c>
      <c r="I61" s="741">
        <f t="shared" si="8"/>
        <v>24928.79410115366</v>
      </c>
      <c r="J61" s="741">
        <f t="shared" si="8"/>
        <v>0</v>
      </c>
      <c r="K61" s="741">
        <f t="shared" si="8"/>
        <v>455.0668573501614</v>
      </c>
      <c r="L61" s="741">
        <f t="shared" si="8"/>
        <v>0</v>
      </c>
      <c r="M61" s="741">
        <f t="shared" ca="1" si="8"/>
        <v>0</v>
      </c>
      <c r="N61" s="741">
        <f t="shared" si="8"/>
        <v>0</v>
      </c>
      <c r="O61" s="741">
        <f t="shared" ca="1" si="8"/>
        <v>0</v>
      </c>
      <c r="P61" s="741">
        <f t="shared" si="8"/>
        <v>0</v>
      </c>
      <c r="Q61" s="741">
        <f t="shared" si="8"/>
        <v>0</v>
      </c>
      <c r="R61" s="741">
        <f ca="1">R46+R52+R56</f>
        <v>479485.56073311198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0.21543545102312664</v>
      </c>
      <c r="D63" s="782">
        <f t="shared" ca="1" si="9"/>
        <v>0</v>
      </c>
      <c r="E63" s="1036">
        <f t="shared" ca="1" si="9"/>
        <v>0.20199999999999999</v>
      </c>
      <c r="F63" s="782">
        <f t="shared" si="9"/>
        <v>0.22699999999999998</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480.76681614349775</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12940.647081654331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13421.413897797829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480.76681614349775</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12940.647081654331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13421.413897797829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117448.03856464614</v>
      </c>
      <c r="C4" s="478">
        <f>huishoudens!C8</f>
        <v>0</v>
      </c>
      <c r="D4" s="478">
        <f>huishoudens!D8</f>
        <v>348719.06855681521</v>
      </c>
      <c r="E4" s="478">
        <f>huishoudens!E8</f>
        <v>5303.4534206632507</v>
      </c>
      <c r="F4" s="478">
        <f>huishoudens!F8</f>
        <v>0</v>
      </c>
      <c r="G4" s="478">
        <f>huishoudens!G8</f>
        <v>0</v>
      </c>
      <c r="H4" s="478">
        <f>huishoudens!H8</f>
        <v>0</v>
      </c>
      <c r="I4" s="478">
        <f>huishoudens!I8</f>
        <v>0</v>
      </c>
      <c r="J4" s="478">
        <f>huishoudens!J8</f>
        <v>334.15512564707768</v>
      </c>
      <c r="K4" s="478">
        <f>huishoudens!K8</f>
        <v>0</v>
      </c>
      <c r="L4" s="478">
        <f>huishoudens!L8</f>
        <v>0</v>
      </c>
      <c r="M4" s="478">
        <f>huishoudens!M8</f>
        <v>0</v>
      </c>
      <c r="N4" s="478">
        <f>huishoudens!N8</f>
        <v>27891.278031611295</v>
      </c>
      <c r="O4" s="478">
        <f>huishoudens!O8</f>
        <v>465.87333333333339</v>
      </c>
      <c r="P4" s="479">
        <f>huishoudens!P8</f>
        <v>1182.1333333333332</v>
      </c>
      <c r="Q4" s="480">
        <f>SUM(B4:P4)</f>
        <v>501344.0003660497</v>
      </c>
    </row>
    <row r="5" spans="1:17">
      <c r="A5" s="477" t="s">
        <v>156</v>
      </c>
      <c r="B5" s="478">
        <f ca="1">tertiair!B16</f>
        <v>204316.46299999996</v>
      </c>
      <c r="C5" s="478">
        <f ca="1">tertiair!C16</f>
        <v>0</v>
      </c>
      <c r="D5" s="478">
        <f ca="1">tertiair!D16</f>
        <v>196269.95687898452</v>
      </c>
      <c r="E5" s="478">
        <f>tertiair!E16</f>
        <v>1513.5820228594298</v>
      </c>
      <c r="F5" s="478">
        <f ca="1">tertiair!F16</f>
        <v>28015.216502891893</v>
      </c>
      <c r="G5" s="478">
        <f>tertiair!G16</f>
        <v>0</v>
      </c>
      <c r="H5" s="478">
        <f>tertiair!H16</f>
        <v>0</v>
      </c>
      <c r="I5" s="478">
        <f>tertiair!I16</f>
        <v>0</v>
      </c>
      <c r="J5" s="478">
        <f>tertiair!J16</f>
        <v>0</v>
      </c>
      <c r="K5" s="478">
        <f>tertiair!K16</f>
        <v>0</v>
      </c>
      <c r="L5" s="478">
        <f ca="1">tertiair!L16</f>
        <v>0</v>
      </c>
      <c r="M5" s="478">
        <f>tertiair!M16</f>
        <v>0</v>
      </c>
      <c r="N5" s="478">
        <f ca="1">tertiair!N16</f>
        <v>11718.09700228375</v>
      </c>
      <c r="O5" s="478">
        <f>tertiair!O16</f>
        <v>3.1266666666666669</v>
      </c>
      <c r="P5" s="479">
        <f>tertiair!P16</f>
        <v>152.53333333333333</v>
      </c>
      <c r="Q5" s="477">
        <f t="shared" ref="Q5:Q14" ca="1" si="0">SUM(B5:P5)</f>
        <v>441988.97540701949</v>
      </c>
    </row>
    <row r="6" spans="1:17">
      <c r="A6" s="477" t="s">
        <v>194</v>
      </c>
      <c r="B6" s="478">
        <f>'openbare verlichting'!B8</f>
        <v>4183.8370000000004</v>
      </c>
      <c r="C6" s="478"/>
      <c r="D6" s="478"/>
      <c r="E6" s="478"/>
      <c r="F6" s="478"/>
      <c r="G6" s="478"/>
      <c r="H6" s="478"/>
      <c r="I6" s="478"/>
      <c r="J6" s="478"/>
      <c r="K6" s="478"/>
      <c r="L6" s="478"/>
      <c r="M6" s="478"/>
      <c r="N6" s="478"/>
      <c r="O6" s="478"/>
      <c r="P6" s="479"/>
      <c r="Q6" s="477">
        <f t="shared" si="0"/>
        <v>4183.8370000000004</v>
      </c>
    </row>
    <row r="7" spans="1:17">
      <c r="A7" s="477" t="s">
        <v>112</v>
      </c>
      <c r="B7" s="478">
        <f>landbouw!B8</f>
        <v>941.12139999999988</v>
      </c>
      <c r="C7" s="478">
        <f>landbouw!C8</f>
        <v>0</v>
      </c>
      <c r="D7" s="478">
        <f>landbouw!D8</f>
        <v>946.11330408261381</v>
      </c>
      <c r="E7" s="478">
        <f>landbouw!E8</f>
        <v>8.7170605846759059</v>
      </c>
      <c r="F7" s="478">
        <f>landbouw!F8</f>
        <v>2387.804275242715</v>
      </c>
      <c r="G7" s="478">
        <f>landbouw!G8</f>
        <v>0</v>
      </c>
      <c r="H7" s="478">
        <f>landbouw!H8</f>
        <v>0</v>
      </c>
      <c r="I7" s="478">
        <f>landbouw!I8</f>
        <v>0</v>
      </c>
      <c r="J7" s="478">
        <f>landbouw!J8</f>
        <v>144.28441356547782</v>
      </c>
      <c r="K7" s="478">
        <f>landbouw!K8</f>
        <v>0</v>
      </c>
      <c r="L7" s="478">
        <f>landbouw!L8</f>
        <v>0</v>
      </c>
      <c r="M7" s="478">
        <f>landbouw!M8</f>
        <v>0</v>
      </c>
      <c r="N7" s="478">
        <f>landbouw!N8</f>
        <v>0</v>
      </c>
      <c r="O7" s="478">
        <f>landbouw!O8</f>
        <v>0</v>
      </c>
      <c r="P7" s="479">
        <f>landbouw!P8</f>
        <v>0</v>
      </c>
      <c r="Q7" s="477">
        <f t="shared" si="0"/>
        <v>4428.0404534754825</v>
      </c>
    </row>
    <row r="8" spans="1:17">
      <c r="A8" s="477" t="s">
        <v>650</v>
      </c>
      <c r="B8" s="478">
        <f>industrie!B18</f>
        <v>201016.86947999999</v>
      </c>
      <c r="C8" s="478">
        <f>industrie!C18</f>
        <v>0</v>
      </c>
      <c r="D8" s="478">
        <f>industrie!D18</f>
        <v>263304.36054547224</v>
      </c>
      <c r="E8" s="478">
        <f>industrie!E18</f>
        <v>11343.974400833382</v>
      </c>
      <c r="F8" s="478">
        <f>industrie!F18</f>
        <v>53823.732936409288</v>
      </c>
      <c r="G8" s="478">
        <f>industrie!G18</f>
        <v>0</v>
      </c>
      <c r="H8" s="478">
        <f>industrie!H18</f>
        <v>0</v>
      </c>
      <c r="I8" s="478">
        <f>industrie!I18</f>
        <v>0</v>
      </c>
      <c r="J8" s="478">
        <f>industrie!J18</f>
        <v>807.06005782179898</v>
      </c>
      <c r="K8" s="478">
        <f>industrie!K18</f>
        <v>0</v>
      </c>
      <c r="L8" s="478">
        <f>industrie!L18</f>
        <v>0</v>
      </c>
      <c r="M8" s="478">
        <f>industrie!M18</f>
        <v>0</v>
      </c>
      <c r="N8" s="478">
        <f>industrie!N18</f>
        <v>39412.404581047747</v>
      </c>
      <c r="O8" s="478">
        <f>industrie!O18</f>
        <v>0</v>
      </c>
      <c r="P8" s="479">
        <f>industrie!P18</f>
        <v>0</v>
      </c>
      <c r="Q8" s="477">
        <f t="shared" si="0"/>
        <v>569708.40200158441</v>
      </c>
    </row>
    <row r="9" spans="1:17" s="483" customFormat="1">
      <c r="A9" s="481" t="s">
        <v>571</v>
      </c>
      <c r="B9" s="482">
        <f>transport!B14</f>
        <v>101.43127845898606</v>
      </c>
      <c r="C9" s="482">
        <f>transport!C14</f>
        <v>0</v>
      </c>
      <c r="D9" s="482">
        <f>transport!D14</f>
        <v>258.84725858593123</v>
      </c>
      <c r="E9" s="482">
        <f>transport!E14</f>
        <v>1855.1494881385552</v>
      </c>
      <c r="F9" s="482">
        <f>transport!F14</f>
        <v>0</v>
      </c>
      <c r="G9" s="482">
        <f>transport!G14</f>
        <v>527869.5866975087</v>
      </c>
      <c r="H9" s="482">
        <f>transport!H14</f>
        <v>100115.63896045646</v>
      </c>
      <c r="I9" s="482">
        <f>transport!I14</f>
        <v>0</v>
      </c>
      <c r="J9" s="482">
        <f>transport!J14</f>
        <v>0</v>
      </c>
      <c r="K9" s="482">
        <f>transport!K14</f>
        <v>0</v>
      </c>
      <c r="L9" s="482">
        <f>transport!L14</f>
        <v>0</v>
      </c>
      <c r="M9" s="482">
        <f>transport!M14</f>
        <v>33616.784570377371</v>
      </c>
      <c r="N9" s="482">
        <f>transport!N14</f>
        <v>0</v>
      </c>
      <c r="O9" s="482">
        <f>transport!O14</f>
        <v>0</v>
      </c>
      <c r="P9" s="482">
        <f>transport!P14</f>
        <v>0</v>
      </c>
      <c r="Q9" s="481">
        <f>SUM(B9:P9)</f>
        <v>663817.43825352599</v>
      </c>
    </row>
    <row r="10" spans="1:17">
      <c r="A10" s="477" t="s">
        <v>561</v>
      </c>
      <c r="B10" s="478">
        <f>transport!B54</f>
        <v>0</v>
      </c>
      <c r="C10" s="478">
        <f>transport!C54</f>
        <v>0</v>
      </c>
      <c r="D10" s="478">
        <f>transport!D54</f>
        <v>0</v>
      </c>
      <c r="E10" s="478">
        <f>transport!E54</f>
        <v>0</v>
      </c>
      <c r="F10" s="478">
        <f>transport!F54</f>
        <v>0</v>
      </c>
      <c r="G10" s="478">
        <f>transport!G54</f>
        <v>10739.832473034161</v>
      </c>
      <c r="H10" s="478">
        <f>transport!H54</f>
        <v>0</v>
      </c>
      <c r="I10" s="478">
        <f>transport!I54</f>
        <v>0</v>
      </c>
      <c r="J10" s="478">
        <f>transport!J54</f>
        <v>0</v>
      </c>
      <c r="K10" s="478">
        <f>transport!K54</f>
        <v>0</v>
      </c>
      <c r="L10" s="478">
        <f>transport!L54</f>
        <v>0</v>
      </c>
      <c r="M10" s="478">
        <f>transport!M54</f>
        <v>612.46133763421278</v>
      </c>
      <c r="N10" s="478">
        <f>transport!N54</f>
        <v>0</v>
      </c>
      <c r="O10" s="478">
        <f>transport!O54</f>
        <v>0</v>
      </c>
      <c r="P10" s="479">
        <f>transport!P54</f>
        <v>0</v>
      </c>
      <c r="Q10" s="477">
        <f t="shared" si="0"/>
        <v>11352.293810668374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5033.1890000000003</v>
      </c>
      <c r="C14" s="485"/>
      <c r="D14" s="485">
        <f>'SEAP template'!E25</f>
        <v>24278.273533623902</v>
      </c>
      <c r="E14" s="485"/>
      <c r="F14" s="485"/>
      <c r="G14" s="485"/>
      <c r="H14" s="485"/>
      <c r="I14" s="485"/>
      <c r="J14" s="485"/>
      <c r="K14" s="485"/>
      <c r="L14" s="485"/>
      <c r="M14" s="485"/>
      <c r="N14" s="485"/>
      <c r="O14" s="485"/>
      <c r="P14" s="486"/>
      <c r="Q14" s="477">
        <f t="shared" si="0"/>
        <v>29311.462533623904</v>
      </c>
    </row>
    <row r="15" spans="1:17" s="487" customFormat="1">
      <c r="A15" s="1051" t="s">
        <v>565</v>
      </c>
      <c r="B15" s="991">
        <f ca="1">SUM(B4:B14)</f>
        <v>533040.94972310518</v>
      </c>
      <c r="C15" s="991">
        <f t="shared" ref="C15:Q15" ca="1" si="1">SUM(C4:C14)</f>
        <v>0</v>
      </c>
      <c r="D15" s="991">
        <f t="shared" ca="1" si="1"/>
        <v>833776.6200775645</v>
      </c>
      <c r="E15" s="991">
        <f t="shared" si="1"/>
        <v>20024.876393079292</v>
      </c>
      <c r="F15" s="991">
        <f t="shared" ca="1" si="1"/>
        <v>84226.753714543898</v>
      </c>
      <c r="G15" s="991">
        <f t="shared" si="1"/>
        <v>538609.41917054285</v>
      </c>
      <c r="H15" s="991">
        <f t="shared" si="1"/>
        <v>100115.63896045646</v>
      </c>
      <c r="I15" s="991">
        <f t="shared" si="1"/>
        <v>0</v>
      </c>
      <c r="J15" s="991">
        <f t="shared" si="1"/>
        <v>1285.4995970343543</v>
      </c>
      <c r="K15" s="991">
        <f t="shared" si="1"/>
        <v>0</v>
      </c>
      <c r="L15" s="991">
        <f t="shared" ca="1" si="1"/>
        <v>0</v>
      </c>
      <c r="M15" s="991">
        <f t="shared" si="1"/>
        <v>34229.24590801158</v>
      </c>
      <c r="N15" s="991">
        <f t="shared" ca="1" si="1"/>
        <v>79021.779614942789</v>
      </c>
      <c r="O15" s="991">
        <f t="shared" si="1"/>
        <v>469.00000000000006</v>
      </c>
      <c r="P15" s="991">
        <f t="shared" si="1"/>
        <v>1334.6666666666665</v>
      </c>
      <c r="Q15" s="991">
        <f t="shared" ca="1" si="1"/>
        <v>2226134.4498259476</v>
      </c>
    </row>
    <row r="17" spans="1:17">
      <c r="A17" s="488" t="s">
        <v>566</v>
      </c>
      <c r="B17" s="787">
        <f ca="1">huishoudens!B10</f>
        <v>0.21543545102312664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25302.471159956112</v>
      </c>
      <c r="C22" s="478">
        <f t="shared" ref="C22:C32" ca="1" si="3">C4*$C$17</f>
        <v>0</v>
      </c>
      <c r="D22" s="478">
        <f t="shared" ref="D22:D32" si="4">D4*$D$17</f>
        <v>70441.251848476677</v>
      </c>
      <c r="E22" s="478">
        <f t="shared" ref="E22:E32" si="5">E4*$E$17</f>
        <v>1203.883926490558</v>
      </c>
      <c r="F22" s="478">
        <f t="shared" ref="F22:F32" si="6">F4*$F$17</f>
        <v>0</v>
      </c>
      <c r="G22" s="478">
        <f t="shared" ref="G22:G32" si="7">G4*$G$17</f>
        <v>0</v>
      </c>
      <c r="H22" s="478">
        <f t="shared" ref="H22:H32" si="8">H4*$H$17</f>
        <v>0</v>
      </c>
      <c r="I22" s="478">
        <f t="shared" ref="I22:I32" si="9">I4*$I$17</f>
        <v>0</v>
      </c>
      <c r="J22" s="478">
        <f t="shared" ref="J22:J32" si="10">J4*$J$17</f>
        <v>118.29091447906549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97065.897849402405</v>
      </c>
    </row>
    <row r="23" spans="1:17">
      <c r="A23" s="477" t="s">
        <v>156</v>
      </c>
      <c r="B23" s="478">
        <f t="shared" ca="1" si="2"/>
        <v>44017.009357854957</v>
      </c>
      <c r="C23" s="478">
        <f t="shared" ca="1" si="3"/>
        <v>0</v>
      </c>
      <c r="D23" s="478">
        <f t="shared" ca="1" si="4"/>
        <v>39646.531289554878</v>
      </c>
      <c r="E23" s="478">
        <f t="shared" si="5"/>
        <v>343.58311918909055</v>
      </c>
      <c r="F23" s="478">
        <f t="shared" ca="1" si="6"/>
        <v>7480.0628062721362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91487.186572871055</v>
      </c>
    </row>
    <row r="24" spans="1:17">
      <c r="A24" s="477" t="s">
        <v>194</v>
      </c>
      <c r="B24" s="478">
        <f t="shared" ca="1" si="2"/>
        <v>901.34681110224517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901.34681110224517</v>
      </c>
    </row>
    <row r="25" spans="1:17">
      <c r="A25" s="477" t="s">
        <v>112</v>
      </c>
      <c r="B25" s="478">
        <f t="shared" ca="1" si="2"/>
        <v>202.75091327651634</v>
      </c>
      <c r="C25" s="478">
        <f t="shared" ca="1" si="3"/>
        <v>0</v>
      </c>
      <c r="D25" s="478">
        <f t="shared" si="4"/>
        <v>191.11488742468799</v>
      </c>
      <c r="E25" s="478">
        <f t="shared" si="5"/>
        <v>1.9787727527214307</v>
      </c>
      <c r="F25" s="478">
        <f t="shared" si="6"/>
        <v>637.54374148980492</v>
      </c>
      <c r="G25" s="478">
        <f t="shared" si="7"/>
        <v>0</v>
      </c>
      <c r="H25" s="478">
        <f t="shared" si="8"/>
        <v>0</v>
      </c>
      <c r="I25" s="478">
        <f t="shared" si="9"/>
        <v>0</v>
      </c>
      <c r="J25" s="478">
        <f t="shared" si="10"/>
        <v>51.076682402179145</v>
      </c>
      <c r="K25" s="478">
        <f t="shared" si="11"/>
        <v>0</v>
      </c>
      <c r="L25" s="478">
        <f t="shared" si="12"/>
        <v>0</v>
      </c>
      <c r="M25" s="478">
        <f t="shared" si="13"/>
        <v>0</v>
      </c>
      <c r="N25" s="478">
        <f t="shared" si="14"/>
        <v>0</v>
      </c>
      <c r="O25" s="478">
        <f t="shared" si="15"/>
        <v>0</v>
      </c>
      <c r="P25" s="479">
        <f t="shared" si="16"/>
        <v>0</v>
      </c>
      <c r="Q25" s="477">
        <f t="shared" ca="1" si="17"/>
        <v>1084.4649973459098</v>
      </c>
    </row>
    <row r="26" spans="1:17">
      <c r="A26" s="477" t="s">
        <v>650</v>
      </c>
      <c r="B26" s="478">
        <f t="shared" ca="1" si="2"/>
        <v>43306.15993968078</v>
      </c>
      <c r="C26" s="478">
        <f t="shared" ca="1" si="3"/>
        <v>0</v>
      </c>
      <c r="D26" s="478">
        <f t="shared" si="4"/>
        <v>53187.480830185399</v>
      </c>
      <c r="E26" s="478">
        <f t="shared" si="5"/>
        <v>2575.0821889891777</v>
      </c>
      <c r="F26" s="478">
        <f t="shared" si="6"/>
        <v>14370.93669402128</v>
      </c>
      <c r="G26" s="478">
        <f t="shared" si="7"/>
        <v>0</v>
      </c>
      <c r="H26" s="478">
        <f t="shared" si="8"/>
        <v>0</v>
      </c>
      <c r="I26" s="478">
        <f t="shared" si="9"/>
        <v>0</v>
      </c>
      <c r="J26" s="478">
        <f t="shared" si="10"/>
        <v>285.6992604689168</v>
      </c>
      <c r="K26" s="478">
        <f t="shared" si="11"/>
        <v>0</v>
      </c>
      <c r="L26" s="478">
        <f t="shared" si="12"/>
        <v>0</v>
      </c>
      <c r="M26" s="478">
        <f t="shared" si="13"/>
        <v>0</v>
      </c>
      <c r="N26" s="478">
        <f t="shared" si="14"/>
        <v>0</v>
      </c>
      <c r="O26" s="478">
        <f t="shared" si="15"/>
        <v>0</v>
      </c>
      <c r="P26" s="479">
        <f t="shared" si="16"/>
        <v>0</v>
      </c>
      <c r="Q26" s="477">
        <f t="shared" ca="1" si="17"/>
        <v>113725.35891334555</v>
      </c>
    </row>
    <row r="27" spans="1:17" s="483" customFormat="1">
      <c r="A27" s="481" t="s">
        <v>571</v>
      </c>
      <c r="B27" s="781">
        <f t="shared" ca="1" si="2"/>
        <v>21.85189322266401</v>
      </c>
      <c r="C27" s="482">
        <f t="shared" ca="1" si="3"/>
        <v>0</v>
      </c>
      <c r="D27" s="482">
        <f t="shared" si="4"/>
        <v>52.287146234358111</v>
      </c>
      <c r="E27" s="482">
        <f t="shared" si="5"/>
        <v>421.11893380745204</v>
      </c>
      <c r="F27" s="482">
        <f t="shared" si="6"/>
        <v>0</v>
      </c>
      <c r="G27" s="482">
        <f t="shared" si="7"/>
        <v>140941.17964823483</v>
      </c>
      <c r="H27" s="482">
        <f t="shared" si="8"/>
        <v>24928.79410115366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166365.23172265297</v>
      </c>
    </row>
    <row r="28" spans="1:17">
      <c r="A28" s="477" t="s">
        <v>561</v>
      </c>
      <c r="B28" s="478">
        <f t="shared" ca="1" si="2"/>
        <v>0</v>
      </c>
      <c r="C28" s="478">
        <f t="shared" ca="1" si="3"/>
        <v>0</v>
      </c>
      <c r="D28" s="478">
        <f t="shared" si="4"/>
        <v>0</v>
      </c>
      <c r="E28" s="478">
        <f t="shared" si="5"/>
        <v>0</v>
      </c>
      <c r="F28" s="478">
        <f t="shared" si="6"/>
        <v>0</v>
      </c>
      <c r="G28" s="478">
        <f t="shared" si="7"/>
        <v>2867.5352703001213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2867.5352703001213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1084.3273422996399</v>
      </c>
      <c r="C32" s="478">
        <f t="shared" ca="1" si="3"/>
        <v>0</v>
      </c>
      <c r="D32" s="478">
        <f t="shared" si="4"/>
        <v>4904.2112537920284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5988.5385960916683</v>
      </c>
    </row>
    <row r="33" spans="1:17" s="487" customFormat="1">
      <c r="A33" s="1051" t="s">
        <v>565</v>
      </c>
      <c r="B33" s="991">
        <f ca="1">SUM(B22:B32)</f>
        <v>114835.91741739291</v>
      </c>
      <c r="C33" s="991">
        <f t="shared" ref="C33:Q33" ca="1" si="18">SUM(C22:C32)</f>
        <v>0</v>
      </c>
      <c r="D33" s="991">
        <f t="shared" ca="1" si="18"/>
        <v>168422.87725566802</v>
      </c>
      <c r="E33" s="991">
        <f t="shared" si="18"/>
        <v>4545.6469412289998</v>
      </c>
      <c r="F33" s="991">
        <f t="shared" ca="1" si="18"/>
        <v>22488.54324178322</v>
      </c>
      <c r="G33" s="991">
        <f t="shared" si="18"/>
        <v>143808.71491853494</v>
      </c>
      <c r="H33" s="991">
        <f t="shared" si="18"/>
        <v>24928.79410115366</v>
      </c>
      <c r="I33" s="991">
        <f t="shared" si="18"/>
        <v>0</v>
      </c>
      <c r="J33" s="991">
        <f t="shared" si="18"/>
        <v>455.06685735016146</v>
      </c>
      <c r="K33" s="991">
        <f t="shared" si="18"/>
        <v>0</v>
      </c>
      <c r="L33" s="991">
        <f t="shared" ca="1" si="18"/>
        <v>0</v>
      </c>
      <c r="M33" s="991">
        <f t="shared" si="18"/>
        <v>0</v>
      </c>
      <c r="N33" s="991">
        <f t="shared" ca="1" si="18"/>
        <v>0</v>
      </c>
      <c r="O33" s="991">
        <f t="shared" si="18"/>
        <v>0</v>
      </c>
      <c r="P33" s="991">
        <f t="shared" si="18"/>
        <v>0</v>
      </c>
      <c r="Q33" s="991">
        <f t="shared" ca="1" si="18"/>
        <v>479485.56073311187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480.76681614349775</v>
      </c>
      <c r="C5" s="1068"/>
      <c r="D5" s="1068"/>
      <c r="E5" s="1068"/>
      <c r="F5" s="1068"/>
      <c r="G5" s="1068"/>
      <c r="H5" s="1068"/>
      <c r="I5" s="1068"/>
      <c r="J5" s="1068"/>
      <c r="K5" s="1068"/>
      <c r="L5" s="1068"/>
      <c r="M5" s="1068"/>
      <c r="N5" s="1068"/>
      <c r="O5" s="1068"/>
      <c r="P5" s="1069">
        <f>'SEAP template'!Q73</f>
        <v>0</v>
      </c>
    </row>
    <row r="6" spans="1:16">
      <c r="A6" s="1070" t="s">
        <v>251</v>
      </c>
      <c r="B6" s="1068">
        <f>'SEAP template'!B74</f>
        <v>12940.647081654331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13421.413897797829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0.21543545102312664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0.21543545102312664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2019-08-12T08:06:46Z</dcterms:modified>
</cp:coreProperties>
</file>