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G19"/>
  <c r="H89" i="14" s="1"/>
  <c r="H19" i="59" s="1"/>
  <c r="F19" i="18"/>
  <c r="E19"/>
  <c r="F89" i="14" s="1"/>
  <c r="F19" i="59" s="1"/>
  <c r="D19" i="18"/>
  <c r="C19"/>
  <c r="B19"/>
  <c r="N18"/>
  <c r="L88" i="14" s="1"/>
  <c r="M18" i="18"/>
  <c r="L18"/>
  <c r="K18"/>
  <c r="J18"/>
  <c r="J88" i="14" s="1"/>
  <c r="J18" i="59" s="1"/>
  <c r="I18" i="18"/>
  <c r="H18"/>
  <c r="G18"/>
  <c r="H88" i="14" s="1"/>
  <c r="F18" i="18"/>
  <c r="F20" s="1"/>
  <c r="E18"/>
  <c r="F88" i="14" s="1"/>
  <c r="F18" i="59" s="1"/>
  <c r="D18" i="18"/>
  <c r="D20" s="1"/>
  <c r="C18"/>
  <c r="B18"/>
  <c r="L9"/>
  <c r="L10" s="1"/>
  <c r="K9"/>
  <c r="G9"/>
  <c r="F9"/>
  <c r="F10" s="1"/>
  <c r="E9"/>
  <c r="D9"/>
  <c r="E77" i="14" s="1"/>
  <c r="E9" i="59" s="1"/>
  <c r="K22" i="18"/>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J9" s="1"/>
  <c r="J77" i="14" s="1"/>
  <c r="J9" i="59" s="1"/>
  <c r="U89" i="18"/>
  <c r="T89"/>
  <c r="S89"/>
  <c r="R89"/>
  <c r="Q89"/>
  <c r="P89"/>
  <c r="C9" s="1"/>
  <c r="O89"/>
  <c r="N89"/>
  <c r="B9" s="1"/>
  <c r="M89"/>
  <c r="W61"/>
  <c r="V61"/>
  <c r="N6" i="17" s="1"/>
  <c r="U61" i="18"/>
  <c r="T61"/>
  <c r="S61"/>
  <c r="F6" i="17" s="1"/>
  <c r="R61" i="18"/>
  <c r="Q61"/>
  <c r="P61"/>
  <c r="O61"/>
  <c r="N61"/>
  <c r="M61"/>
  <c r="W60"/>
  <c r="V60"/>
  <c r="U60"/>
  <c r="T60"/>
  <c r="S60"/>
  <c r="F13" i="15" s="1"/>
  <c r="R60" i="18"/>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K10"/>
  <c r="G10"/>
  <c r="B6"/>
  <c r="B74" i="14" s="1"/>
  <c r="B6" i="59" s="1"/>
  <c r="B5" i="18"/>
  <c r="B73" i="14" s="1"/>
  <c r="B5" i="59" s="1"/>
  <c r="B4" i="18"/>
  <c r="B72" i="14" s="1"/>
  <c r="B4" i="59" s="1"/>
  <c r="L6" i="17"/>
  <c r="D6"/>
  <c r="D5"/>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O11"/>
  <c r="N11"/>
  <c r="M11"/>
  <c r="L11"/>
  <c r="K11"/>
  <c r="J11"/>
  <c r="I11"/>
  <c r="H11"/>
  <c r="G11"/>
  <c r="F11"/>
  <c r="E11"/>
  <c r="D11"/>
  <c r="C11"/>
  <c r="B11"/>
  <c r="P32"/>
  <c r="P29"/>
  <c r="P28"/>
  <c r="P27"/>
  <c r="P25"/>
  <c r="M89" i="14"/>
  <c r="M19" i="59" s="1"/>
  <c r="L89" i="14"/>
  <c r="L19" i="59" s="1"/>
  <c r="K89" i="14"/>
  <c r="K19" i="59" s="1"/>
  <c r="E89" i="14"/>
  <c r="E19" i="59" s="1"/>
  <c r="D89" i="14"/>
  <c r="D19" i="59" s="1"/>
  <c r="M88" i="14"/>
  <c r="M18" i="59" s="1"/>
  <c r="K88" i="14"/>
  <c r="K18" i="59" s="1"/>
  <c r="I88" i="14"/>
  <c r="I18" i="59" s="1"/>
  <c r="E88" i="14"/>
  <c r="E18" i="59" s="1"/>
  <c r="O87" i="14"/>
  <c r="O17" i="59" s="1"/>
  <c r="N87" i="14"/>
  <c r="N17" i="59" s="1"/>
  <c r="L87" i="14"/>
  <c r="L17" i="59" s="1"/>
  <c r="K87" i="14"/>
  <c r="K17" i="59" s="1"/>
  <c r="H87" i="14"/>
  <c r="H17" i="59" s="1"/>
  <c r="G87" i="14"/>
  <c r="G17" i="59" s="1"/>
  <c r="E87" i="14"/>
  <c r="E17" i="59" s="1"/>
  <c r="O77" i="14"/>
  <c r="O9" i="59" s="1"/>
  <c r="N77" i="14"/>
  <c r="L77"/>
  <c r="L9" i="59" s="1"/>
  <c r="L10" s="1"/>
  <c r="K77" i="14"/>
  <c r="K9" i="59" s="1"/>
  <c r="G77" i="14"/>
  <c r="G9" i="59" s="1"/>
  <c r="O76" i="14"/>
  <c r="O8" i="59" s="1"/>
  <c r="N76" i="14"/>
  <c r="N8" i="59" s="1"/>
  <c r="L76" i="14"/>
  <c r="L8" i="59" s="1"/>
  <c r="K76" i="14"/>
  <c r="K8" i="59" s="1"/>
  <c r="K10" s="1"/>
  <c r="H76" i="14"/>
  <c r="H8" i="59" s="1"/>
  <c r="G76" i="14"/>
  <c r="G8" i="59" s="1"/>
  <c r="E76" i="14"/>
  <c r="E8" i="59" s="1"/>
  <c r="B75" i="14"/>
  <c r="B7" i="59" s="1"/>
  <c r="Q54" i="14"/>
  <c r="Q56" s="1"/>
  <c r="P54"/>
  <c r="P56" s="1"/>
  <c r="L54"/>
  <c r="L56" s="1"/>
  <c r="J54"/>
  <c r="J56" s="1"/>
  <c r="I54"/>
  <c r="I56" s="1"/>
  <c r="H54"/>
  <c r="H56" s="1"/>
  <c r="Q24"/>
  <c r="Q26" s="1"/>
  <c r="P24"/>
  <c r="P26" s="1"/>
  <c r="N24"/>
  <c r="L24"/>
  <c r="L26" s="1"/>
  <c r="J24"/>
  <c r="I24"/>
  <c r="H24"/>
  <c r="Q50"/>
  <c r="P50"/>
  <c r="O50"/>
  <c r="M50"/>
  <c r="L50"/>
  <c r="K50"/>
  <c r="J50"/>
  <c r="G50"/>
  <c r="D50"/>
  <c r="Q49"/>
  <c r="P49"/>
  <c r="Q20"/>
  <c r="P20"/>
  <c r="O20"/>
  <c r="M20"/>
  <c r="L20"/>
  <c r="K20"/>
  <c r="J20"/>
  <c r="G20"/>
  <c r="D20"/>
  <c r="Q19"/>
  <c r="P19"/>
  <c r="O19"/>
  <c r="M19"/>
  <c r="L19"/>
  <c r="K19"/>
  <c r="J19"/>
  <c r="I19"/>
  <c r="G19"/>
  <c r="F19"/>
  <c r="E19"/>
  <c r="D19"/>
  <c r="Q48"/>
  <c r="Q52" s="1"/>
  <c r="P48"/>
  <c r="P52" s="1"/>
  <c r="O48"/>
  <c r="M48"/>
  <c r="L48"/>
  <c r="K48"/>
  <c r="J48"/>
  <c r="G48"/>
  <c r="D48"/>
  <c r="Q18"/>
  <c r="P18"/>
  <c r="O18"/>
  <c r="O22" s="1"/>
  <c r="M18"/>
  <c r="L18"/>
  <c r="K18"/>
  <c r="K22" s="1"/>
  <c r="J18"/>
  <c r="J22" s="1"/>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78"/>
  <c r="R44"/>
  <c r="E25"/>
  <c r="E55" s="1"/>
  <c r="C25"/>
  <c r="B14" i="48" s="1"/>
  <c r="N26" i="14"/>
  <c r="J26"/>
  <c r="I26"/>
  <c r="H26"/>
  <c r="R12"/>
  <c r="Q14" i="48" l="1"/>
  <c r="L90" i="14"/>
  <c r="L18" i="59"/>
  <c r="L20" s="1"/>
  <c r="H90" i="14"/>
  <c r="H18" i="59"/>
  <c r="H20" s="1"/>
  <c r="O10"/>
  <c r="M22" i="14"/>
  <c r="G88"/>
  <c r="G18" i="59" s="1"/>
  <c r="K20"/>
  <c r="C98" i="18"/>
  <c r="C101" s="1"/>
  <c r="C16" i="16"/>
  <c r="P22" i="14"/>
  <c r="E20" i="59"/>
  <c r="B16" i="16"/>
  <c r="N78" i="14"/>
  <c r="N9" i="59"/>
  <c r="N10" s="1"/>
  <c r="O31" i="48"/>
  <c r="D14"/>
  <c r="I9" i="18"/>
  <c r="I77" i="14" s="1"/>
  <c r="I9" i="59" s="1"/>
  <c r="K78" i="14"/>
  <c r="B17" i="18"/>
  <c r="B20" s="1"/>
  <c r="M77" i="14"/>
  <c r="M9" i="59" s="1"/>
  <c r="H9" i="18"/>
  <c r="Q22" i="14"/>
  <c r="G10" i="59"/>
  <c r="D22" i="14"/>
  <c r="L22"/>
  <c r="E10" i="59"/>
  <c r="B8" i="18"/>
  <c r="B13" i="15"/>
  <c r="B10" i="18"/>
  <c r="N13" i="15"/>
  <c r="L13"/>
  <c r="F77" i="14"/>
  <c r="F9" i="59" s="1"/>
  <c r="I101" i="18"/>
  <c r="H8" s="1"/>
  <c r="E101"/>
  <c r="E8" s="1"/>
  <c r="F101"/>
  <c r="H101"/>
  <c r="D101"/>
  <c r="G101"/>
  <c r="I8" s="1"/>
  <c r="B101"/>
  <c r="C8" s="1"/>
  <c r="I102"/>
  <c r="H17" s="1"/>
  <c r="E102"/>
  <c r="E17" s="1"/>
  <c r="C102"/>
  <c r="F102"/>
  <c r="H102"/>
  <c r="D102"/>
  <c r="G102"/>
  <c r="B102"/>
  <c r="C17" s="1"/>
  <c r="O19"/>
  <c r="O78" i="14"/>
  <c r="N88"/>
  <c r="D10" i="18"/>
  <c r="E78" i="14"/>
  <c r="D77"/>
  <c r="D9" i="59" s="1"/>
  <c r="H77" i="14"/>
  <c r="O88"/>
  <c r="G89"/>
  <c r="G19" i="59" s="1"/>
  <c r="G20" s="1"/>
  <c r="G20" i="18"/>
  <c r="O18"/>
  <c r="G78" i="14"/>
  <c r="O25" i="48"/>
  <c r="O27"/>
  <c r="Q11"/>
  <c r="O29"/>
  <c r="P31"/>
  <c r="O28"/>
  <c r="Q12"/>
  <c r="O24"/>
  <c r="O30"/>
  <c r="P24"/>
  <c r="P30"/>
  <c r="E90" i="14"/>
  <c r="R9"/>
  <c r="R25"/>
  <c r="K90"/>
  <c r="H78" l="1"/>
  <c r="H9" i="59"/>
  <c r="H10" s="1"/>
  <c r="O90" i="14"/>
  <c r="O18" i="59"/>
  <c r="O20" s="1"/>
  <c r="D10"/>
  <c r="Q89" i="14"/>
  <c r="P19" i="59" s="1"/>
  <c r="O9" i="18"/>
  <c r="G90" i="14"/>
  <c r="C89"/>
  <c r="C19" i="59" s="1"/>
  <c r="Q77" i="14"/>
  <c r="P9" i="59" s="1"/>
  <c r="N90" i="14"/>
  <c r="N18" i="59"/>
  <c r="N20" s="1"/>
  <c r="B89" i="14"/>
  <c r="B19" i="59" s="1"/>
  <c r="J17" i="18"/>
  <c r="C77" i="14"/>
  <c r="C9" i="59" s="1"/>
  <c r="J87" i="14"/>
  <c r="J20" i="18"/>
  <c r="H20"/>
  <c r="M87" i="14"/>
  <c r="F76"/>
  <c r="E10" i="18"/>
  <c r="C20"/>
  <c r="O17"/>
  <c r="O20" s="1"/>
  <c r="D87" i="14"/>
  <c r="D17" i="59" s="1"/>
  <c r="D20" s="1"/>
  <c r="H10" i="18"/>
  <c r="M76" i="14"/>
  <c r="B88"/>
  <c r="B18" i="59" s="1"/>
  <c r="I17" i="18"/>
  <c r="D76" i="14"/>
  <c r="D8" i="59" s="1"/>
  <c r="C10" i="18"/>
  <c r="J8"/>
  <c r="O8" s="1"/>
  <c r="O10" s="1"/>
  <c r="C88" i="14"/>
  <c r="C18" i="59" s="1"/>
  <c r="I10" i="18"/>
  <c r="I76" i="14"/>
  <c r="I8" i="59" s="1"/>
  <c r="I10" s="1"/>
  <c r="B77" i="14"/>
  <c r="B9" i="59" s="1"/>
  <c r="E20" i="18"/>
  <c r="F87" i="14"/>
  <c r="Q88"/>
  <c r="P18" i="59" s="1"/>
  <c r="H14" i="15"/>
  <c r="H16" s="1"/>
  <c r="G14"/>
  <c r="G16" s="1"/>
  <c r="J90" i="14" l="1"/>
  <c r="J17" i="59"/>
  <c r="J20" s="1"/>
  <c r="M78" i="14"/>
  <c r="M8" i="59"/>
  <c r="M10" s="1"/>
  <c r="M90" i="14"/>
  <c r="M17" i="59"/>
  <c r="M20" s="1"/>
  <c r="F78" i="14"/>
  <c r="F8" i="59"/>
  <c r="F10" s="1"/>
  <c r="I10" i="14"/>
  <c r="I16" s="1"/>
  <c r="H5" i="48"/>
  <c r="F90" i="14"/>
  <c r="F17" i="59"/>
  <c r="F20" s="1"/>
  <c r="H10" i="14"/>
  <c r="H16" s="1"/>
  <c r="G5" i="48"/>
  <c r="Q76" i="14"/>
  <c r="D78"/>
  <c r="I78"/>
  <c r="B76"/>
  <c r="J10" i="18"/>
  <c r="J76" i="14"/>
  <c r="I87"/>
  <c r="I17" i="59" s="1"/>
  <c r="I20" s="1"/>
  <c r="I20" i="18"/>
  <c r="Q87" i="14"/>
  <c r="D90"/>
  <c r="C87"/>
  <c r="A31" i="23"/>
  <c r="A32"/>
  <c r="A33"/>
  <c r="Q78" i="14" l="1"/>
  <c r="B9" i="6" s="1"/>
  <c r="P8" i="59"/>
  <c r="P10" s="1"/>
  <c r="Q90" i="14"/>
  <c r="B17" i="6" s="1"/>
  <c r="P17" i="59"/>
  <c r="P20" s="1"/>
  <c r="C90" i="14"/>
  <c r="C17" i="59"/>
  <c r="C20" s="1"/>
  <c r="B78" i="14"/>
  <c r="B8" i="59"/>
  <c r="B10" s="1"/>
  <c r="J78" i="14"/>
  <c r="J8" i="59"/>
  <c r="J10" s="1"/>
  <c r="B87" i="14"/>
  <c r="I90"/>
  <c r="C76"/>
  <c r="B11" i="44"/>
  <c r="B25"/>
  <c r="B24"/>
  <c r="C78" i="14" l="1"/>
  <c r="B4" i="6" s="1"/>
  <c r="C8" i="59"/>
  <c r="C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27"/>
  <c r="K30"/>
  <c r="K31"/>
  <c r="K24"/>
  <c r="K26"/>
  <c r="K29"/>
  <c r="K22"/>
  <c r="K25"/>
  <c r="P11" i="14"/>
  <c r="O4" i="48"/>
  <c r="D4"/>
  <c r="D22" s="1"/>
  <c r="E11" i="14"/>
  <c r="H32" i="48"/>
  <c r="H29"/>
  <c r="H25"/>
  <c r="H26"/>
  <c r="H28"/>
  <c r="H24"/>
  <c r="H22"/>
  <c r="H30"/>
  <c r="H23"/>
  <c r="D11" i="14"/>
  <c r="C4" i="48"/>
  <c r="G26"/>
  <c r="G30"/>
  <c r="G22"/>
  <c r="G25"/>
  <c r="G24"/>
  <c r="G29"/>
  <c r="G32"/>
  <c r="G23"/>
  <c r="J24"/>
  <c r="J32"/>
  <c r="J29"/>
  <c r="J31"/>
  <c r="J30"/>
  <c r="J28"/>
  <c r="J27"/>
  <c r="C11" i="14"/>
  <c r="B4" i="48"/>
  <c r="F24"/>
  <c r="F32"/>
  <c r="F29"/>
  <c r="F30"/>
  <c r="F27"/>
  <c r="F31"/>
  <c r="F28"/>
  <c r="C19" i="14"/>
  <c r="B10" i="48"/>
  <c r="E32"/>
  <c r="E28"/>
  <c r="E30"/>
  <c r="E24"/>
  <c r="E31"/>
  <c r="E29"/>
  <c r="M26"/>
  <c r="M32"/>
  <c r="M22"/>
  <c r="M24"/>
  <c r="M25"/>
  <c r="M29"/>
  <c r="M30"/>
  <c r="M23"/>
  <c r="B8" i="9"/>
  <c r="B6" i="48" s="1"/>
  <c r="Q6" s="1"/>
  <c r="B7"/>
  <c r="C24" i="14"/>
  <c r="C26" s="1"/>
  <c r="Q11"/>
  <c r="P4" i="48"/>
  <c r="I25"/>
  <c r="I32"/>
  <c r="I28"/>
  <c r="I22"/>
  <c r="I26"/>
  <c r="I29"/>
  <c r="I24"/>
  <c r="I30"/>
  <c r="I31"/>
  <c r="I27"/>
  <c r="N24"/>
  <c r="N32"/>
  <c r="N27"/>
  <c r="N30"/>
  <c r="N29"/>
  <c r="N31"/>
  <c r="N28"/>
  <c r="K5"/>
  <c r="L10" i="14"/>
  <c r="L16" s="1"/>
  <c r="L27" s="1"/>
  <c r="D30" i="48"/>
  <c r="D31"/>
  <c r="D29"/>
  <c r="D24"/>
  <c r="D28"/>
  <c r="D32"/>
  <c r="L32"/>
  <c r="L27"/>
  <c r="L24"/>
  <c r="L28"/>
  <c r="L22"/>
  <c r="L30"/>
  <c r="L29"/>
  <c r="L31"/>
  <c r="Q10" i="14"/>
  <c r="P5" i="48"/>
  <c r="P23" s="1"/>
  <c r="G24" i="14"/>
  <c r="G26" s="1"/>
  <c r="F7" i="48"/>
  <c r="F25" s="1"/>
  <c r="L8"/>
  <c r="L26" s="1"/>
  <c r="M13" i="14"/>
  <c r="C16" i="15"/>
  <c r="C5" i="48" s="1"/>
  <c r="C18" i="16"/>
  <c r="D7" i="48"/>
  <c r="E24" i="14"/>
  <c r="D10"/>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P22" i="16"/>
  <c r="Q43" i="14" s="1"/>
  <c r="Q13"/>
  <c r="P8" i="48"/>
  <c r="P26" s="1"/>
  <c r="K23"/>
  <c r="K15"/>
  <c r="Q16" i="14"/>
  <c r="Q27" s="1"/>
  <c r="P22" i="48"/>
  <c r="P33" s="1"/>
  <c r="P15"/>
  <c r="G13"/>
  <c r="H18" i="14"/>
  <c r="R18" s="1"/>
  <c r="H13" i="48"/>
  <c r="H31" s="1"/>
  <c r="I18" i="14"/>
  <c r="J10"/>
  <c r="J16" s="1"/>
  <c r="J27" s="1"/>
  <c r="J63" s="1"/>
  <c r="I5" i="48"/>
  <c r="O22"/>
  <c r="F20" i="14"/>
  <c r="F22" s="1"/>
  <c r="E9" i="48"/>
  <c r="E27" s="1"/>
  <c r="K33"/>
  <c r="E20" i="14"/>
  <c r="E22" s="1"/>
  <c r="D9" i="48"/>
  <c r="D27" s="1"/>
  <c r="P10" i="14"/>
  <c r="O5" i="48"/>
  <c r="O23" s="1"/>
  <c r="J7"/>
  <c r="J25" s="1"/>
  <c r="K24" i="14"/>
  <c r="K26" s="1"/>
  <c r="B9" i="48"/>
  <c r="C20" i="14"/>
  <c r="C22" s="1"/>
  <c r="G11"/>
  <c r="F4" i="48"/>
  <c r="F22" s="1"/>
  <c r="J12" i="17"/>
  <c r="K54" i="14" s="1"/>
  <c r="K56" s="1"/>
  <c r="L46"/>
  <c r="L61" s="1"/>
  <c r="L63" s="1"/>
  <c r="C7" i="48"/>
  <c r="D24" i="14"/>
  <c r="D26" s="1"/>
  <c r="C8" i="48"/>
  <c r="D13" i="14"/>
  <c r="E26"/>
  <c r="D25" i="48"/>
  <c r="M10" i="14"/>
  <c r="L5" i="48"/>
  <c r="E10" i="14"/>
  <c r="D5" i="48"/>
  <c r="B34" i="13"/>
  <c r="N8" i="17"/>
  <c r="B35" i="13"/>
  <c r="B47" s="1"/>
  <c r="O18" i="16"/>
  <c r="B36" i="13"/>
  <c r="G31" i="20"/>
  <c r="H48" i="14" s="1"/>
  <c r="G12" i="22"/>
  <c r="D18" i="16"/>
  <c r="E8" i="17"/>
  <c r="H12" i="22"/>
  <c r="L8" i="17"/>
  <c r="M50" i="22"/>
  <c r="M54" s="1"/>
  <c r="G51"/>
  <c r="G50" s="1"/>
  <c r="G54" s="1"/>
  <c r="F12" i="17"/>
  <c r="G54" i="14" s="1"/>
  <c r="G56" s="1"/>
  <c r="D20" i="15"/>
  <c r="E40" i="14" s="1"/>
  <c r="M31" i="20"/>
  <c r="N48" i="14" s="1"/>
  <c r="H31" i="20"/>
  <c r="I48" i="14" s="1"/>
  <c r="M5" i="22"/>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B48"/>
  <c r="C48" s="1"/>
  <c r="N5" s="1"/>
  <c r="N8" s="1"/>
  <c r="C50"/>
  <c r="J5" s="1"/>
  <c r="J8" s="1"/>
  <c r="H19" i="14" l="1"/>
  <c r="R19" s="1"/>
  <c r="G10" i="48"/>
  <c r="E12" i="13"/>
  <c r="F41" i="14" s="1"/>
  <c r="E4" i="48"/>
  <c r="F11" i="14"/>
  <c r="K11"/>
  <c r="J4" i="48"/>
  <c r="E7"/>
  <c r="E25" s="1"/>
  <c r="F24" i="14"/>
  <c r="F26" s="1"/>
  <c r="Q63"/>
  <c r="G9" i="48"/>
  <c r="H20" i="14"/>
  <c r="N19"/>
  <c r="M10" i="48"/>
  <c r="M28" s="1"/>
  <c r="O22" i="16"/>
  <c r="P43" i="14" s="1"/>
  <c r="P46" s="1"/>
  <c r="P61" s="1"/>
  <c r="P13"/>
  <c r="P16" s="1"/>
  <c r="P27" s="1"/>
  <c r="P63" s="1"/>
  <c r="O8" i="48"/>
  <c r="O11" i="14"/>
  <c r="N4" i="48"/>
  <c r="N22" s="1"/>
  <c r="I23"/>
  <c r="I33" s="1"/>
  <c r="I15"/>
  <c r="Q13"/>
  <c r="G31"/>
  <c r="M14" i="22"/>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N20" i="15"/>
  <c r="O40" i="14" s="1"/>
  <c r="F20" i="15"/>
  <c r="G40" i="14" s="1"/>
  <c r="N5" i="16"/>
  <c r="E5"/>
  <c r="J5"/>
  <c r="C35" i="13"/>
  <c r="F5" i="16"/>
  <c r="C36" i="13"/>
  <c r="N12"/>
  <c r="O41" i="14" s="1"/>
  <c r="C38" i="13"/>
  <c r="C39"/>
  <c r="C32"/>
  <c r="C34"/>
  <c r="J12"/>
  <c r="K41" i="14" s="1"/>
  <c r="L20" i="15"/>
  <c r="M40" i="14" s="1"/>
  <c r="H52" l="1"/>
  <c r="H61" s="1"/>
  <c r="H9" i="48"/>
  <c r="I20" i="14"/>
  <c r="G27" i="48"/>
  <c r="G15"/>
  <c r="H22" i="14"/>
  <c r="H27" s="1"/>
  <c r="H63" s="1"/>
  <c r="J22" i="48"/>
  <c r="O26"/>
  <c r="O33" s="1"/>
  <c r="O15"/>
  <c r="G28"/>
  <c r="Q10"/>
  <c r="N20" i="14"/>
  <c r="N22" s="1"/>
  <c r="N27" s="1"/>
  <c r="M9" i="48"/>
  <c r="J5"/>
  <c r="J23" s="1"/>
  <c r="K10" i="14"/>
  <c r="E22" i="48"/>
  <c r="Q4"/>
  <c r="F10" i="14"/>
  <c r="E5" i="48"/>
  <c r="E23" s="1"/>
  <c r="M18" i="22"/>
  <c r="N50" i="14" s="1"/>
  <c r="N52" s="1"/>
  <c r="N61" s="1"/>
  <c r="R11"/>
  <c r="L25" i="48"/>
  <c r="Q7"/>
  <c r="M26" i="14"/>
  <c r="R24"/>
  <c r="R26" s="1"/>
  <c r="E20" i="15"/>
  <c r="F40" i="14" s="1"/>
  <c r="F18" i="16"/>
  <c r="F22" s="1"/>
  <c r="G43" i="14" s="1"/>
  <c r="J18" i="16"/>
  <c r="E18"/>
  <c r="J20" i="15"/>
  <c r="K40" i="14" s="1"/>
  <c r="N18" i="16"/>
  <c r="N22" s="1"/>
  <c r="O43" i="14" s="1"/>
  <c r="G18" i="22"/>
  <c r="H50" i="14" s="1"/>
  <c r="H18" i="22"/>
  <c r="I50" i="14" s="1"/>
  <c r="I52" s="1"/>
  <c r="I61" s="1"/>
  <c r="J22" i="16" l="1"/>
  <c r="K43" i="14" s="1"/>
  <c r="K46" s="1"/>
  <c r="K61" s="1"/>
  <c r="K63" s="1"/>
  <c r="K13"/>
  <c r="J8" i="48"/>
  <c r="J26" s="1"/>
  <c r="H27"/>
  <c r="H33" s="1"/>
  <c r="H15"/>
  <c r="Q9"/>
  <c r="J15"/>
  <c r="K16" i="14"/>
  <c r="K27" s="1"/>
  <c r="M27" i="48"/>
  <c r="M33" s="1"/>
  <c r="M15"/>
  <c r="F13" i="14"/>
  <c r="E8" i="48"/>
  <c r="E26" s="1"/>
  <c r="E33" s="1"/>
  <c r="R20" i="14"/>
  <c r="R22" s="1"/>
  <c r="I22"/>
  <c r="I27" s="1"/>
  <c r="I63" s="1"/>
  <c r="N63"/>
  <c r="J33" i="48"/>
  <c r="E22" i="16"/>
  <c r="F43" i="14" s="1"/>
  <c r="F46" s="1"/>
  <c r="F61" s="1"/>
  <c r="F63" s="1"/>
  <c r="F16"/>
  <c r="F27" s="1"/>
  <c r="G33" i="48"/>
  <c r="O13" i="14"/>
  <c r="N8" i="48"/>
  <c r="N26" s="1"/>
  <c r="F8"/>
  <c r="G13" i="14"/>
  <c r="E15" i="48" l="1"/>
  <c r="R13" i="14"/>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<sst xmlns="http://schemas.openxmlformats.org/spreadsheetml/2006/main" count="2509" uniqueCount="944">
  <si>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</si>
  <si>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</si>
  <si>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</si>
  <si>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</si>
  <si>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</si>
  <si>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</si>
  <si>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</si>
  <si>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</si>
  <si>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</si>
  <si>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</si>
  <si>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</si>
  <si>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</si>
  <si>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</si>
  <si>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</si>
  <si>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</si>
  <si>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</si>
  <si>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</si>
  <si>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</si>
  <si>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</si>
  <si>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</si>
  <si>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</si>
  <si>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</si>
  <si>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</si>
  <si>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</si>
  <si>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</si>
  <si>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</si>
  <si>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</si>
  <si>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</si>
  <si>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</si>
  <si>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</si>
  <si>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</si>
  <si>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</si>
  <si>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</si>
  <si>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</si>
  <si>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</si>
  <si>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</si>
  <si>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</si>
  <si>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</si>
  <si>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</si>
  <si>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</si>
  <si>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</si>
  <si>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</si>
  <si>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</si>
  <si>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</si>
  <si>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</si>
  <si>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</si>
  <si>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</si>
  <si>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</si>
  <si>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</si>
  <si>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</si>
  <si>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</si>
  <si>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</si>
  <si>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</si>
  <si>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</si>
  <si>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</si>
  <si>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</si>
  <si>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</si>
  <si>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</si>
  <si>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</si>
  <si>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</si>
  <si>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</si>
  <si>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</si>
  <si>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</si>
  <si>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</si>
  <si>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</si>
  <si>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</si>
  <si>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</si>
  <si>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</si>
  <si>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</si>
  <si>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</si>
  <si>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</si>
  <si>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</si>
  <si>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</si>
  <si>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</si>
  <si>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</si>
  <si>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</si>
  <si>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</si>
  <si>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</si>
  <si>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</si>
  <si>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</si>
  <si>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</si>
  <si>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</si>
  <si>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</si>
  <si>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</si>
  <si>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</si>
  <si>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</si>
  <si>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</si>
  <si>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</si>
  <si>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</si>
  <si>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</si>
  <si>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</si>
  <si>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</si>
  <si>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</si>
  <si>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</si>
  <si>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</si>
  <si>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</si>
  <si>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</si>
  <si>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</si>
  <si>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</si>
  <si>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</si>
  <si>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</si>
  <si>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</si>
  <si>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</si>
  <si>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</si>
  <si>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</si>
  <si>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</si>
  <si>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</si>
  <si>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</si>
  <si>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</si>
  <si>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</si>
  <si>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</si>
  <si>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</si>
  <si>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</si>
  <si>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</si>
  <si>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</si>
  <si>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</si>
  <si>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</si>
  <si>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</si>
  <si>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</si>
  <si>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</si>
  <si>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</si>
  <si>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</si>
  <si>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</si>
  <si>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</si>
  <si>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</si>
  <si>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</si>
  <si>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</si>
  <si>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</si>
  <si>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</si>
  <si>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</si>
  <si>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</si>
  <si>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</si>
  <si>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</si>
  <si>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</si>
  <si>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</si>
  <si>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</si>
  <si>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</si>
  <si>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</si>
  <si>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</si>
  <si>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</si>
  <si>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</si>
  <si>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</si>
  <si>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</si>
  <si>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</si>
  <si>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</si>
  <si>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</si>
  <si>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</si>
  <si>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</si>
  <si>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</si>
  <si>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</si>
  <si>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</si>
  <si>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</si>
  <si>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</si>
  <si>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</si>
  <si>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</si>
  <si>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</si>
  <si>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</si>
  <si>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</si>
  <si>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</si>
  <si>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</si>
  <si>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</si>
  <si>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</si>
  <si>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</si>
  <si>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</si>
  <si>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</si>
  <si>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</si>
  <si>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</si>
  <si>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</si>
  <si>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</si>
  <si>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</si>
  <si>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</si>
  <si>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</si>
  <si>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</si>
  <si>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</si>
  <si>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</si>
  <si>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</si>
  <si>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</si>
  <si>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</si>
  <si>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</si>
  <si>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</si>
  <si>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</si>
  <si>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</si>
  <si>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</si>
  <si>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</si>
  <si>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</si>
  <si>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</si>
  <si>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</si>
  <si>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</si>
  <si>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</si>
  <si>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</si>
  <si>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</si>
  <si>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</si>
  <si>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</si>
  <si>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</si>
  <si>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</si>
  <si>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</si>
  <si>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</si>
  <si>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</si>
  <si>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</si>
  <si>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</si>
  <si>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</si>
  <si>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</si>
  <si>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</si>
  <si>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</si>
  <si>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</si>
  <si>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</si>
  <si>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</si>
  <si>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</si>
  <si>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</si>
  <si>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</si>
  <si>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</si>
  <si>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</si>
  <si>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</si>
  <si>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</si>
  <si>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</si>
  <si>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</si>
  <si>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</si>
  <si>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</si>
  <si>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</si>
  <si>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</si>
  <si>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</si>
  <si>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</si>
  <si>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</si>
  <si>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</si>
  <si>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</si>
  <si>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</si>
  <si>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</si>
  <si>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</si>
  <si>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</si>
  <si>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</si>
  <si>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</si>
  <si>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</si>
  <si>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</si>
  <si>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</si>
  <si>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</si>
  <si>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</si>
  <si>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</si>
  <si>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</si>
  <si>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</si>
  <si>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</si>
  <si>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</si>
  <si>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</si>
  <si>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</si>
  <si>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</si>
  <si>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</si>
  <si>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</si>
  <si>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</si>
  <si>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</si>
  <si>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</si>
  <si>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</si>
  <si>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</si>
  <si>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</si>
  <si>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</si>
  <si>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</si>
  <si>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</si>
  <si>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</si>
  <si>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</si>
  <si>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</si>
  <si>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</si>
  <si>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</si>
  <si>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</si>
  <si>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</si>
  <si>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</si>
  <si>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</si>
  <si>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</si>
  <si>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</si>
  <si>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</si>
  <si>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</si>
  <si>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</si>
  <si>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</si>
  <si>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</si>
  <si>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</si>
  <si>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</si>
  <si>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</si>
  <si>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</si>
  <si>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</si>
  <si>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</si>
  <si>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</si>
  <si>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</si>
  <si>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</si>
  <si>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</si>
  <si>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</si>
  <si>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</si>
  <si>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</si>
  <si>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</si>
  <si>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</si>
  <si>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</si>
  <si>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</si>
  <si>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</si>
  <si>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</si>
  <si>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</si>
  <si>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</si>
  <si>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</si>
  <si>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</si>
  <si>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</si>
  <si>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</si>
  <si>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</si>
  <si>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</si>
  <si>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</si>
  <si>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</si>
  <si>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</si>
  <si>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</si>
  <si>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</si>
  <si>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</si>
  <si>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</si>
  <si>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</si>
  <si>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</si>
  <si>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</si>
  <si>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</si>
  <si>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</si>
  <si>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</si>
  <si>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</si>
  <si>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</si>
  <si>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</si>
  <si>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</si>
  <si>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</si>
  <si>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</si>
  <si>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</si>
  <si>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</si>
  <si>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</si>
  <si>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</si>
  <si>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</si>
  <si>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</si>
  <si>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</si>
  <si>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</si>
  <si>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</si>
  <si>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</si>
  <si>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</si>
  <si>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</si>
  <si>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</si>
  <si>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</si>
  <si>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</si>
  <si>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</si>
  <si>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</si>
  <si>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</si>
  <si>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</si>
  <si>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</si>
  <si>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</si>
  <si>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</si>
  <si>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</si>
  <si>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</si>
  <si>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</si>
  <si>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</si>
  <si>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</si>
  <si>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</si>
  <si>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</si>
  <si>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</si>
  <si>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</si>
  <si>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</si>
  <si>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</si>
  <si>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</si>
  <si>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</si>
  <si>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</si>
  <si>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</si>
  <si>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</si>
  <si>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</si>
  <si>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</si>
  <si>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</si>
  <si>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</si>
  <si>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</si>
  <si>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</si>
  <si>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</si>
  <si>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</si>
  <si>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</si>
  <si>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</si>
  <si>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</si>
  <si>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</si>
  <si>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</si>
  <si>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</si>
  <si>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</si>
  <si>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</si>
  <si>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</si>
  <si>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</si>
  <si>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</si>
  <si>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</si>
  <si>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</si>
  <si>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</si>
  <si>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</si>
  <si>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</si>
  <si>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</si>
  <si>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</si>
  <si>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</si>
  <si>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</si>
  <si>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</si>
  <si>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</si>
  <si>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</si>
  <si>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</si>
  <si>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</si>
  <si>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</si>
  <si>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</si>
  <si>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</si>
  <si>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</si>
  <si>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</si>
  <si>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</si>
  <si>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</si>
  <si>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</si>
  <si>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</si>
  <si>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</si>
  <si>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</si>
  <si>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</si>
  <si>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</si>
  <si>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</si>
  <si>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</si>
  <si>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</si>
  <si>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</si>
  <si>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</si>
  <si>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</si>
  <si>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</si>
  <si>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</si>
  <si>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</si>
  <si>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</si>
  <si>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</si>
  <si>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</si>
  <si>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</si>
  <si>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</si>
  <si>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</si>
  <si>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</si>
  <si>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</si>
  <si>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</si>
  <si>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</si>
  <si>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</si>
  <si>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</si>
  <si>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</si>
  <si>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</si>
  <si>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</si>
  <si>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</si>
  <si>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</si>
  <si>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</si>
  <si>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</si>
  <si>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</si>
  <si>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</si>
  <si>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</si>
  <si>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</si>
  <si>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</si>
  <si>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</si>
  <si>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</si>
  <si>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</si>
  <si>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</si>
  <si>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</si>
  <si>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</si>
  <si>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</si>
  <si>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</si>
  <si>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</si>
  <si>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</si>
  <si>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</si>
  <si>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</si>
  <si>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</si>
  <si>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</si>
  <si>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</si>
  <si>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</si>
  <si>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</si>
  <si>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</si>
  <si>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</si>
  <si>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</si>
  <si>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</si>
  <si>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</si>
  <si>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</si>
  <si>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</si>
  <si>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</si>
  <si>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</si>
  <si>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</si>
  <si>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</si>
  <si>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</si>
  <si>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</si>
  <si>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</si>
  <si>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</si>
  <si>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</si>
  <si>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</si>
  <si>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</si>
  <si>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</si>
  <si>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</si>
  <si>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</si>
  <si>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</si>
  <si>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</si>
  <si>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</si>
  <si>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</si>
  <si>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</si>
  <si>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</si>
  <si>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</si>
  <si>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</si>
  <si>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</si>
  <si>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</si>
  <si>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</si>
  <si>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</si>
  <si>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</si>
  <si>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</si>
  <si>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</si>
  <si>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</si>
  <si>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</si>
  <si>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</si>
  <si>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</si>
  <si>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</si>
  <si>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</si>
  <si>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</si>
  <si>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</si>
  <si>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</si>
  <si>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</si>
  <si>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</si>
  <si>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</si>
  <si>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</si>
  <si>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</si>
  <si>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</si>
  <si>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</si>
  <si>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</si>
  <si>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</si>
  <si>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</si>
  <si>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</si>
  <si>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</si>
  <si>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</si>
  <si>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</si>
  <si>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</si>
  <si>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</si>
  <si>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</si>
  <si>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</si>
  <si>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</si>
  <si>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</si>
  <si>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</si>
  <si>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</si>
  <si>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</si>
  <si>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</si>
  <si>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</si>
  <si>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</si>
  <si>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</si>
  <si>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</si>
  <si>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</si>
  <si>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</si>
  <si>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</si>
  <si>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</si>
  <si>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</si>
  <si>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</si>
  <si>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</si>
  <si>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</si>
  <si>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</si>
  <si>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</si>
  <si>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</si>
  <si>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</si>
  <si>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</si>
  <si>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</si>
  <si>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</si>
  <si>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</si>
  <si>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</si>
  <si>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</si>
  <si>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</si>
  <si>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</si>
  <si>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</si>
  <si>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</si>
  <si>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</si>
  <si>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</si>
  <si>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</si>
  <si>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</si>
  <si>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</si>
  <si>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</si>
  <si>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</si>
  <si>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</si>
  <si>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</si>
  <si>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</si>
  <si>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</si>
  <si>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</si>
  <si>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</si>
  <si>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</si>
  <si>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</si>
  <si>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</si>
  <si>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</si>
  <si>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</si>
  <si>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</si>
  <si>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</si>
  <si>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</si>
  <si>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</si>
  <si>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</si>
  <si>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</si>
  <si>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</si>
  <si>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</si>
  <si>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</si>
  <si>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</si>
  <si>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</si>
  <si>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</si>
  <si>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</si>
  <si>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</si>
  <si>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</si>
  <si>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</si>
  <si>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</si>
  <si>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</si>
  <si>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</si>
  <si>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</si>
  <si>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</si>
  <si>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</si>
  <si>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</si>
  <si>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</si>
  <si>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</si>
  <si>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</si>
  <si>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</si>
  <si>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</si>
  <si>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</si>
  <si>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</si>
  <si>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</si>
  <si>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</si>
  <si>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</si>
  <si>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</si>
  <si>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</si>
  <si>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</si>
  <si>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</si>
  <si>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</si>
  <si>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</si>
  <si>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</si>
  <si>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</si>
  <si>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</si>
  <si>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</si>
  <si>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</si>
  <si>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</si>
  <si>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</si>
  <si>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</si>
  <si>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</si>
  <si>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</si>
  <si>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</si>
  <si>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</si>
  <si>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</si>
  <si>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</si>
  <si>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</si>
  <si>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</si>
  <si>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</si>
  <si>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</si>
  <si>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</si>
  <si>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</si>
  <si>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</si>
  <si>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</si>
  <si>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</si>
  <si>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</si>
  <si>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</si>
  <si>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</si>
  <si>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</si>
  <si>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</si>
  <si>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</si>
  <si>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</si>
  <si>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</si>
  <si>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</si>
  <si>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</si>
  <si>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</si>
  <si>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</si>
  <si>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</si>
  <si>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</si>
  <si>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</si>
  <si>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</si>
  <si>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</si>
  <si>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</si>
  <si>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</si>
  <si>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</si>
  <si>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</si>
  <si>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</si>
  <si>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</si>
  <si>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</si>
  <si>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</si>
  <si>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</si>
  <si>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</si>
  <si>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</si>
  <si>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</si>
  <si>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</si>
  <si>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</si>
  <si>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</si>
  <si>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</si>
  <si>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</si>
  <si>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</si>
  <si>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</si>
  <si>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</si>
  <si>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</si>
  <si>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</si>
  <si>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</si>
  <si>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</si>
  <si>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</si>
  <si>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</si>
  <si>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</si>
  <si>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</si>
  <si>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</si>
  <si>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</si>
  <si>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</si>
  <si>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</si>
  <si>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</si>
  <si>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</si>
  <si>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</si>
  <si>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</si>
  <si>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</si>
  <si>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</si>
  <si>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</si>
  <si>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</si>
  <si>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</si>
  <si>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</si>
  <si>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</si>
  <si>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</si>
  <si>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</si>
  <si>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</si>
  <si>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</si>
  <si>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</si>
  <si>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</si>
  <si>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</si>
  <si>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</si>
  <si>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</si>
  <si>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</si>
  <si>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</si>
  <si>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</si>
  <si>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</si>
  <si>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</si>
  <si>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</si>
  <si>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</si>
  <si>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</si>
  <si>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</si>
  <si>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</si>
  <si>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</si>
  <si>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</si>
  <si>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</si>
  <si>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</si>
  <si>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</si>
  <si>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</si>
  <si>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</si>
  <si>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</si>
  <si>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</si>
  <si>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</si>
  <si>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</si>
  <si>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</si>
  <si>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</si>
  <si>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</si>
  <si>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</si>
  <si>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</si>
  <si>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</si>
  <si>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</si>
  <si>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</si>
  <si>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</si>
  <si>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</si>
  <si>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</si>
  <si>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</si>
  <si>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</si>
  <si>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</si>
  <si>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</si>
  <si>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</si>
  <si>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</si>
  <si>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</si>
  <si>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</si>
  <si>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</si>
  <si>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</si>
  <si>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</si>
  <si>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</si>
  <si>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</si>
  <si>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</si>
  <si>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</si>
  <si>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</si>
  <si>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</si>
  <si>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</si>
  <si>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</si>
  <si>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</si>
  <si>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</si>
  <si>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</si>
  <si>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</si>
  <si>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</si>
  <si>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</si>
  <si>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</si>
  <si>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</si>
  <si>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</si>
  <si>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</si>
  <si>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</si>
  <si>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</si>
  <si>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</si>
  <si>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</si>
  <si>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</si>
  <si>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</si>
  <si>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</si>
  <si>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</si>
  <si>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</si>
  <si>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</si>
  <si>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</si>
  <si>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</si>
  <si>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</si>
  <si>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</si>
  <si>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</si>
  <si>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</si>
  <si>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</si>
  <si>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</si>
  <si>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</si>
  <si>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</si>
  <si>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</si>
  <si>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</si>
  <si>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</si>
  <si>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</si>
  <si>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</si>
  <si>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</si>
  <si>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</si>
  <si>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</si>
  <si>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</si>
  <si>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</si>
  <si>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</si>
  <si>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</si>
  <si>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</si>
  <si>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</si>
  <si>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</si>
  <si>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</si>
  <si>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</si>
  <si>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</si>
  <si>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</si>
  <si>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</si>
  <si>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</si>
  <si>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</si>
  <si>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</si>
  <si>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</si>
  <si>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</si>
  <si>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</si>
  <si>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</si>
  <si>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</si>
  <si>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</si>
  <si>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</si>
  <si>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</si>
  <si>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</si>
  <si>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</si>
  <si>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</si>
  <si>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</si>
  <si>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</si>
  <si>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</si>
  <si>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</si>
  <si>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</si>
  <si>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</si>
  <si>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</si>
  <si>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</si>
  <si>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</si>
  <si>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</si>
  <si>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</si>
  <si>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</si>
  <si>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</si>
  <si>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</si>
  <si>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</si>
  <si>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</si>
  <si>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</si>
  <si>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</si>
  <si>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</si>
  <si>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</si>
  <si>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</si>
  <si>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</si>
  <si>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</si>
  <si>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</si>
  <si>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</si>
  <si>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</si>
  <si>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</si>
  <si>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</si>
  <si>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</si>
  <si>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</si>
  <si>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</si>
  <si>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</si>
  <si>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</si>
  <si>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</si>
  <si>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</si>
  <si>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</si>
  <si>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</si>
  <si>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</si>
  <si>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</si>
  <si>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</si>
  <si>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</si>
  <si>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</si>
  <si>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</si>
  <si>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</si>
  <si>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</si>
  <si>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</si>
  <si>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</si>
  <si>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</si>
  <si>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</si>
  <si>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</si>
  <si>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</si>
  <si>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</si>
  <si>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</si>
  <si>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</si>
  <si>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</si>
  <si>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</si>
  <si>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</si>
  <si>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</si>
  <si>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</si>
  <si>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</si>
  <si>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</si>
  <si>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</si>
  <si>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</si>
  <si>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</si>
  <si>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</si>
  <si>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</si>
  <si>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</si>
  <si>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</si>
  <si>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</si>
  <si>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</si>
  <si>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</si>
  <si>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</si>
  <si>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</si>
  <si>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</si>
  <si>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</si>
  <si>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</si>
  <si>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</si>
  <si>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</si>
  <si>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</si>
  <si>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</si>
  <si>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</si>
  <si>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</si>
  <si>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</si>
  <si>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</si>
  <si>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</si>
  <si>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</si>
  <si>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</si>
  <si>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</si>
  <si>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</si>
  <si>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12009</t>
  </si>
  <si>
    <t>DUFFEL</t>
  </si>
  <si>
    <t>Paarden&amp;pony's 200 - 600 kg</t>
  </si>
  <si>
    <t>Paarden&amp;pony's &lt; 200 kg</t>
  </si>
  <si>
    <t>referentietaak LNE (2017); Jaarverslag De Lijn (2014)</t>
  </si>
  <si>
    <t>op basis van VEA (maart 2018) en Inventaris Hernieuwbare Energiebronnen (juni 2018)</t>
  </si>
  <si>
    <t>VEA (maart 2016)</t>
  </si>
  <si>
    <t>VEA (juni 2018)</t>
  </si>
  <si>
    <t>T.B.O. Pittori bvba</t>
  </si>
  <si>
    <t>Zijpstraat 130, 2570 Duffel</t>
  </si>
  <si>
    <t>WKK-0056 Pittori Zijpstraat</t>
  </si>
  <si>
    <t>interne verbrandingsmotor</t>
  </si>
  <si>
    <t>WKK interne verbrandinsgmotor (gas)</t>
  </si>
  <si>
    <t>IMEA</t>
  </si>
  <si>
    <t>LENTSCHE HEYDE bvba</t>
  </si>
  <si>
    <t>Lintseheide 39B, 2570 Duffel</t>
  </si>
  <si>
    <t>WKK-0073 Didier Algoet</t>
  </si>
  <si>
    <t>De Wit Dirk</t>
  </si>
  <si>
    <t>Straatjesbossen 13b, 2570 Duffel</t>
  </si>
  <si>
    <t>WKK-0074 De Wit Dirk</t>
  </si>
  <si>
    <t>Zwarthout Energie BVBA</t>
  </si>
  <si>
    <t>Zwarthoutstraat 21 , 2570 Duffel</t>
  </si>
  <si>
    <t>WKK-0137 Zwarthout Energie</t>
  </si>
  <si>
    <t>Zwarthoutstraat 21, 2570 Duffel</t>
  </si>
  <si>
    <t>Alnica NV</t>
  </si>
  <si>
    <t>Mijlstraat 265, 2570 Duffel</t>
  </si>
  <si>
    <t>WKK-0121 Alnica</t>
  </si>
  <si>
    <t>Tovabo bvba</t>
  </si>
  <si>
    <t>Zijpstraat 39c, 2570 Duffel</t>
  </si>
  <si>
    <t>WKK-0115 Tovabo bvba</t>
  </si>
  <si>
    <t>Sibon bvba</t>
  </si>
  <si>
    <t>Herderstraat 13b, 2840 Rumst</t>
  </si>
  <si>
    <t>WKK-0162 Sibon bvba</t>
  </si>
  <si>
    <t>Mechelsebaan 191b, 2570 Duffel</t>
  </si>
  <si>
    <t>Bertels bvba</t>
  </si>
  <si>
    <t>Waarloossteenweg 16 b, 2570 Duffel</t>
  </si>
  <si>
    <t>WKK-0283 Bertels</t>
  </si>
  <si>
    <t>Waarloossteenweg 16 , 2570 Duffel</t>
  </si>
  <si>
    <t>Rovana bvba</t>
  </si>
  <si>
    <t>Hoogstraat 363 B, 2570 Duffel</t>
  </si>
  <si>
    <t>WKK-0368 Rovana</t>
  </si>
  <si>
    <t>Van Hissenhoven EBVBA</t>
  </si>
  <si>
    <t>Roetestraat 18 , 2570 Duffel</t>
  </si>
  <si>
    <t>WKK-0457 Van Hissenhoven</t>
  </si>
  <si>
    <t>WKK interne verbrandinsgmotor (vloeibaar)</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</si>
</sst>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110634.89425740197</c:v>
                </c:pt>
                <c:pt idx="1">
                  <c:v>87151.204702225674</c:v>
                </c:pt>
                <c:pt idx="2">
                  <c:v>1262.248</c:v>
                </c:pt>
                <c:pt idx="3">
                  <c:v>180256.89274652523</c:v>
                </c:pt>
                <c:pt idx="4">
                  <c:v>484465.89721040998</c:v>
                </c:pt>
                <c:pt idx="5">
                  <c:v>47904.883543990603</c:v>
                </c:pt>
                <c:pt idx="6">
                  <c:v>1388.4820028888796</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883264"/>
        <c:axId val="181884800"/>
      </c:barChart>
      <c:catAx>
        <c:axId val="181883264"/>
        <c:scaling>
          <c:orientation val="minMax"/>
        </c:scaling>
        <c:axPos val="b"/>
        <c:numFmt formatCode="General" sourceLinked="0"/>
        <c:tickLblPos val="nextTo"/>
        <c:crossAx val="181884800"/>
        <c:crosses val="autoZero"/>
        <c:auto val="1"/>
        <c:lblAlgn val="ctr"/>
        <c:lblOffset val="100"/>
      </c:catAx>
      <c:valAx>
        <c:axId val="181884800"/>
        <c:scaling>
          <c:orientation val="minMax"/>
        </c:scaling>
        <c:axPos val="l"/>
        <c:majorGridlines/>
        <c:numFmt formatCode="#,##0" sourceLinked="1"/>
        <c:tickLblPos val="nextTo"/>
        <c:crossAx val="18188326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110634.89425740197</c:v>
                </c:pt>
                <c:pt idx="1">
                  <c:v>87151.204702225674</c:v>
                </c:pt>
                <c:pt idx="2">
                  <c:v>1262.248</c:v>
                </c:pt>
                <c:pt idx="3">
                  <c:v>180256.89274652523</c:v>
                </c:pt>
                <c:pt idx="4">
                  <c:v>484465.89721040998</c:v>
                </c:pt>
                <c:pt idx="5">
                  <c:v>47904.883543990603</c:v>
                </c:pt>
                <c:pt idx="6">
                  <c:v>1388.4820028888796</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20878.712491750142</c:v>
                </c:pt>
                <c:pt idx="2">
                  <c:v>15983.205820686659</c:v>
                </c:pt>
                <c:pt idx="3">
                  <c:v>266.36412730829539</c:v>
                </c:pt>
                <c:pt idx="4">
                  <c:v>40498.047344091814</c:v>
                </c:pt>
                <c:pt idx="5">
                  <c:v>92278.426009553834</c:v>
                </c:pt>
                <c:pt idx="6">
                  <c:v>12004.427936691243</c:v>
                </c:pt>
                <c:pt idx="7">
                  <c:v>350.72393138020817</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250496"/>
        <c:axId val="182309632"/>
      </c:barChart>
      <c:catAx>
        <c:axId val="182250496"/>
        <c:scaling>
          <c:orientation val="minMax"/>
        </c:scaling>
        <c:axPos val="b"/>
        <c:numFmt formatCode="General" sourceLinked="0"/>
        <c:tickLblPos val="nextTo"/>
        <c:crossAx val="182309632"/>
        <c:crosses val="autoZero"/>
        <c:auto val="1"/>
        <c:lblAlgn val="ctr"/>
        <c:lblOffset val="100"/>
      </c:catAx>
      <c:valAx>
        <c:axId val="182309632"/>
        <c:scaling>
          <c:orientation val="minMax"/>
        </c:scaling>
        <c:axPos val="l"/>
        <c:majorGridlines/>
        <c:numFmt formatCode="#,##0" sourceLinked="1"/>
        <c:tickLblPos val="nextTo"/>
        <c:crossAx val="1822504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20878.712491750142</c:v>
                </c:pt>
                <c:pt idx="2">
                  <c:v>15983.205820686659</c:v>
                </c:pt>
                <c:pt idx="3">
                  <c:v>266.36412730829539</c:v>
                </c:pt>
                <c:pt idx="4">
                  <c:v>40498.047344091814</c:v>
                </c:pt>
                <c:pt idx="5">
                  <c:v>92278.426009553834</c:v>
                </c:pt>
                <c:pt idx="6">
                  <c:v>12004.427936691243</c:v>
                </c:pt>
                <c:pt idx="7">
                  <c:v>350.72393138020817</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12009</v>
      </c>
      <c r="B6" s="416"/>
      <c r="C6" s="417"/>
    </row>
    <row r="7" spans="1:7" s="414" customFormat="1" ht="15.75" customHeight="1">
      <c r="A7" s="418" t="str">
        <f>txtMunicipality</f>
        <v>DUFFEL</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35601.473399999995</v>
      </c>
      <c r="D10" s="1025">
        <f ca="1">tertiair!C16</f>
        <v>0</v>
      </c>
      <c r="E10" s="1025">
        <f ca="1">tertiair!D16</f>
        <v>35043.239332285993</v>
      </c>
      <c r="F10" s="1025">
        <f>tertiair!E16</f>
        <v>188.67421494084425</v>
      </c>
      <c r="G10" s="1025">
        <f ca="1">tertiair!F16</f>
        <v>6049.6448863483238</v>
      </c>
      <c r="H10" s="1025">
        <f>tertiair!G16</f>
        <v>0</v>
      </c>
      <c r="I10" s="1025">
        <f>tertiair!H16</f>
        <v>0</v>
      </c>
      <c r="J10" s="1025">
        <f>tertiair!I16</f>
        <v>0</v>
      </c>
      <c r="K10" s="1025">
        <f>tertiair!J16</f>
        <v>0</v>
      </c>
      <c r="L10" s="1025">
        <f>tertiair!K16</f>
        <v>0</v>
      </c>
      <c r="M10" s="1025">
        <f ca="1">tertiair!L16</f>
        <v>0</v>
      </c>
      <c r="N10" s="1025">
        <f>tertiair!M16</f>
        <v>0</v>
      </c>
      <c r="O10" s="1025">
        <f ca="1">tertiair!N16</f>
        <v>11528.857535317184</v>
      </c>
      <c r="P10" s="1025">
        <f>tertiair!O16</f>
        <v>1.5633333333333335</v>
      </c>
      <c r="Q10" s="1026">
        <f>tertiair!P16</f>
        <v>0</v>
      </c>
      <c r="R10" s="701">
        <f ca="1">SUM(C10:Q10)</f>
        <v>88413.452702225666</v>
      </c>
      <c r="S10" s="67"/>
    </row>
    <row r="11" spans="1:19" s="474" customFormat="1">
      <c r="A11" s="810" t="s">
        <v>225</v>
      </c>
      <c r="B11" s="815"/>
      <c r="C11" s="1025">
        <f>huishoudens!B8</f>
        <v>29748.69821035026</v>
      </c>
      <c r="D11" s="1025">
        <f>huishoudens!C8</f>
        <v>0</v>
      </c>
      <c r="E11" s="1025">
        <f>huishoudens!D8</f>
        <v>71096.260150001457</v>
      </c>
      <c r="F11" s="1025">
        <f>huishoudens!E8</f>
        <v>1055.4639122747074</v>
      </c>
      <c r="G11" s="1025">
        <f>huishoudens!F8</f>
        <v>0</v>
      </c>
      <c r="H11" s="1025">
        <f>huishoudens!G8</f>
        <v>0</v>
      </c>
      <c r="I11" s="1025">
        <f>huishoudens!H8</f>
        <v>0</v>
      </c>
      <c r="J11" s="1025">
        <f>huishoudens!I8</f>
        <v>0</v>
      </c>
      <c r="K11" s="1025">
        <f>huishoudens!J8</f>
        <v>0</v>
      </c>
      <c r="L11" s="1025">
        <f>huishoudens!K8</f>
        <v>0</v>
      </c>
      <c r="M11" s="1025">
        <f>huishoudens!L8</f>
        <v>0</v>
      </c>
      <c r="N11" s="1025">
        <f>huishoudens!M8</f>
        <v>0</v>
      </c>
      <c r="O11" s="1025">
        <f>huishoudens!N8</f>
        <v>8005.1886514422222</v>
      </c>
      <c r="P11" s="1025">
        <f>huishoudens!O8</f>
        <v>195.41666666666669</v>
      </c>
      <c r="Q11" s="1026">
        <f>huishoudens!P8</f>
        <v>533.86666666666667</v>
      </c>
      <c r="R11" s="701">
        <f>SUM(C11:Q11)</f>
        <v>110634.89425740197</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95808.972999999998</v>
      </c>
      <c r="D13" s="1025">
        <f>industrie!C18</f>
        <v>10028.571428571429</v>
      </c>
      <c r="E13" s="1025">
        <f>industrie!D18</f>
        <v>337496.93829259597</v>
      </c>
      <c r="F13" s="1025">
        <f>industrie!E18</f>
        <v>929.1819447579486</v>
      </c>
      <c r="G13" s="1025">
        <f>industrie!F18</f>
        <v>5396.4625043435426</v>
      </c>
      <c r="H13" s="1025">
        <f>industrie!G18</f>
        <v>0</v>
      </c>
      <c r="I13" s="1025">
        <f>industrie!H18</f>
        <v>0</v>
      </c>
      <c r="J13" s="1025">
        <f>industrie!I18</f>
        <v>0</v>
      </c>
      <c r="K13" s="1025">
        <f>industrie!J18</f>
        <v>53.738980006669557</v>
      </c>
      <c r="L13" s="1025">
        <f>industrie!K18</f>
        <v>0</v>
      </c>
      <c r="M13" s="1025">
        <f>industrie!L18</f>
        <v>0</v>
      </c>
      <c r="N13" s="1025">
        <f>industrie!M18</f>
        <v>0</v>
      </c>
      <c r="O13" s="1025">
        <f>industrie!N18</f>
        <v>34752.031060134446</v>
      </c>
      <c r="P13" s="1025">
        <f>industrie!O18</f>
        <v>0</v>
      </c>
      <c r="Q13" s="1026">
        <f>industrie!P18</f>
        <v>0</v>
      </c>
      <c r="R13" s="701">
        <f>SUM(C13:Q13)</f>
        <v>484465.89721040998</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161159.14461035025</v>
      </c>
      <c r="D16" s="733">
        <f t="shared" ref="D16:R16" ca="1" si="0">SUM(D9:D15)</f>
        <v>10028.571428571429</v>
      </c>
      <c r="E16" s="733">
        <f t="shared" ca="1" si="0"/>
        <v>443636.43777488341</v>
      </c>
      <c r="F16" s="733">
        <f t="shared" si="0"/>
        <v>2173.3200719735</v>
      </c>
      <c r="G16" s="733">
        <f t="shared" ca="1" si="0"/>
        <v>11446.107390691866</v>
      </c>
      <c r="H16" s="733">
        <f t="shared" si="0"/>
        <v>0</v>
      </c>
      <c r="I16" s="733">
        <f t="shared" si="0"/>
        <v>0</v>
      </c>
      <c r="J16" s="733">
        <f t="shared" si="0"/>
        <v>0</v>
      </c>
      <c r="K16" s="733">
        <f t="shared" si="0"/>
        <v>53.738980006669557</v>
      </c>
      <c r="L16" s="733">
        <f t="shared" si="0"/>
        <v>0</v>
      </c>
      <c r="M16" s="733">
        <f t="shared" ca="1" si="0"/>
        <v>0</v>
      </c>
      <c r="N16" s="733">
        <f t="shared" si="0"/>
        <v>0</v>
      </c>
      <c r="O16" s="733">
        <f t="shared" ca="1" si="0"/>
        <v>54286.077246893852</v>
      </c>
      <c r="P16" s="733">
        <f t="shared" si="0"/>
        <v>196.98000000000002</v>
      </c>
      <c r="Q16" s="733">
        <f t="shared" si="0"/>
        <v>533.86666666666667</v>
      </c>
      <c r="R16" s="733">
        <f t="shared" ca="1" si="0"/>
        <v>683514.24417003756</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1313.5727767048995</v>
      </c>
      <c r="I19" s="1025">
        <f>transport!H54</f>
        <v>0</v>
      </c>
      <c r="J19" s="1025">
        <f>transport!I54</f>
        <v>0</v>
      </c>
      <c r="K19" s="1025">
        <f>transport!J54</f>
        <v>0</v>
      </c>
      <c r="L19" s="1025">
        <f>transport!K54</f>
        <v>0</v>
      </c>
      <c r="M19" s="1025">
        <f>transport!L54</f>
        <v>0</v>
      </c>
      <c r="N19" s="1025">
        <f>transport!M54</f>
        <v>74.909226183980067</v>
      </c>
      <c r="O19" s="1025">
        <f>transport!N54</f>
        <v>0</v>
      </c>
      <c r="P19" s="1025">
        <f>transport!O54</f>
        <v>0</v>
      </c>
      <c r="Q19" s="1026">
        <f>transport!P54</f>
        <v>0</v>
      </c>
      <c r="R19" s="701">
        <f>SUM(C19:Q19)</f>
        <v>1388.4820028888796</v>
      </c>
      <c r="S19" s="67"/>
    </row>
    <row r="20" spans="1:19" s="474" customFormat="1">
      <c r="A20" s="810" t="s">
        <v>307</v>
      </c>
      <c r="B20" s="815"/>
      <c r="C20" s="1025">
        <f>transport!B14</f>
        <v>7.7997994881869559</v>
      </c>
      <c r="D20" s="1025">
        <f>transport!C14</f>
        <v>0</v>
      </c>
      <c r="E20" s="1025">
        <f>transport!D14</f>
        <v>19.41375583801932</v>
      </c>
      <c r="F20" s="1025">
        <f>transport!E14</f>
        <v>124.82580574252574</v>
      </c>
      <c r="G20" s="1025">
        <f>transport!F14</f>
        <v>0</v>
      </c>
      <c r="H20" s="1025">
        <f>transport!G14</f>
        <v>37963.279422557702</v>
      </c>
      <c r="I20" s="1025">
        <f>transport!H14</f>
        <v>7366.7845480114756</v>
      </c>
      <c r="J20" s="1025">
        <f>transport!I14</f>
        <v>0</v>
      </c>
      <c r="K20" s="1025">
        <f>transport!J14</f>
        <v>0</v>
      </c>
      <c r="L20" s="1025">
        <f>transport!K14</f>
        <v>0</v>
      </c>
      <c r="M20" s="1025">
        <f>transport!L14</f>
        <v>0</v>
      </c>
      <c r="N20" s="1025">
        <f>transport!M14</f>
        <v>2422.7802123526908</v>
      </c>
      <c r="O20" s="1025">
        <f>transport!N14</f>
        <v>0</v>
      </c>
      <c r="P20" s="1025">
        <f>transport!O14</f>
        <v>0</v>
      </c>
      <c r="Q20" s="1026">
        <f>transport!P14</f>
        <v>0</v>
      </c>
      <c r="R20" s="701">
        <f>SUM(C20:Q20)</f>
        <v>47904.883543990603</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7.7997994881869559</v>
      </c>
      <c r="D22" s="813">
        <f t="shared" ref="D22:R22" si="1">SUM(D18:D21)</f>
        <v>0</v>
      </c>
      <c r="E22" s="813">
        <f t="shared" si="1"/>
        <v>19.41375583801932</v>
      </c>
      <c r="F22" s="813">
        <f t="shared" si="1"/>
        <v>124.82580574252574</v>
      </c>
      <c r="G22" s="813">
        <f t="shared" si="1"/>
        <v>0</v>
      </c>
      <c r="H22" s="813">
        <f t="shared" si="1"/>
        <v>39276.852199262605</v>
      </c>
      <c r="I22" s="813">
        <f t="shared" si="1"/>
        <v>7366.7845480114756</v>
      </c>
      <c r="J22" s="813">
        <f t="shared" si="1"/>
        <v>0</v>
      </c>
      <c r="K22" s="813">
        <f t="shared" si="1"/>
        <v>0</v>
      </c>
      <c r="L22" s="813">
        <f t="shared" si="1"/>
        <v>0</v>
      </c>
      <c r="M22" s="813">
        <f t="shared" si="1"/>
        <v>0</v>
      </c>
      <c r="N22" s="813">
        <f t="shared" si="1"/>
        <v>2497.6894385366709</v>
      </c>
      <c r="O22" s="813">
        <f t="shared" si="1"/>
        <v>0</v>
      </c>
      <c r="P22" s="813">
        <f t="shared" si="1"/>
        <v>0</v>
      </c>
      <c r="Q22" s="813">
        <f t="shared" si="1"/>
        <v>0</v>
      </c>
      <c r="R22" s="813">
        <f t="shared" si="1"/>
        <v>49293.365546879482</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9806.2261999999992</v>
      </c>
      <c r="D24" s="1025">
        <f>+landbouw!C8</f>
        <v>113754.05357142857</v>
      </c>
      <c r="E24" s="1025">
        <f>+landbouw!D8</f>
        <v>30222.115732969367</v>
      </c>
      <c r="F24" s="1025">
        <f>+landbouw!E8</f>
        <v>90.829374289476604</v>
      </c>
      <c r="G24" s="1025">
        <f>+landbouw!F8</f>
        <v>24880.263953574035</v>
      </c>
      <c r="H24" s="1025">
        <f>+landbouw!G8</f>
        <v>0</v>
      </c>
      <c r="I24" s="1025">
        <f>+landbouw!H8</f>
        <v>0</v>
      </c>
      <c r="J24" s="1025">
        <f>+landbouw!I8</f>
        <v>0</v>
      </c>
      <c r="K24" s="1025">
        <f>+landbouw!J8</f>
        <v>1503.4039142637967</v>
      </c>
      <c r="L24" s="1025">
        <f>+landbouw!K8</f>
        <v>0</v>
      </c>
      <c r="M24" s="1025">
        <f>+landbouw!L8</f>
        <v>0</v>
      </c>
      <c r="N24" s="1025">
        <f>+landbouw!M8</f>
        <v>0</v>
      </c>
      <c r="O24" s="1025">
        <f>+landbouw!N8</f>
        <v>0</v>
      </c>
      <c r="P24" s="1025">
        <f>+landbouw!O8</f>
        <v>0</v>
      </c>
      <c r="Q24" s="1026">
        <f>+landbouw!P8</f>
        <v>0</v>
      </c>
      <c r="R24" s="701">
        <f>SUM(C24:Q24)</f>
        <v>180256.89274652523</v>
      </c>
      <c r="S24" s="67"/>
    </row>
    <row r="25" spans="1:19" s="474" customFormat="1" ht="15" thickBot="1">
      <c r="A25" s="832" t="s">
        <v>864</v>
      </c>
      <c r="B25" s="1028"/>
      <c r="C25" s="1029">
        <f>IF(Onbekend_ele_kWh="---",0,Onbekend_ele_kWh)/1000+IF(REST_rest_ele_kWh="---",0,REST_rest_ele_kWh)/1000</f>
        <v>745.36219999999992</v>
      </c>
      <c r="D25" s="1029"/>
      <c r="E25" s="1029">
        <f>IF(onbekend_gas_kWh="---",0,onbekend_gas_kWh)/1000+IF(REST_rest_gas_kWh="---",0,REST_rest_gas_kWh)/1000</f>
        <v>2186.7384283145498</v>
      </c>
      <c r="F25" s="1029"/>
      <c r="G25" s="1029"/>
      <c r="H25" s="1029"/>
      <c r="I25" s="1029"/>
      <c r="J25" s="1029"/>
      <c r="K25" s="1029"/>
      <c r="L25" s="1029"/>
      <c r="M25" s="1029"/>
      <c r="N25" s="1029"/>
      <c r="O25" s="1029"/>
      <c r="P25" s="1029"/>
      <c r="Q25" s="1030"/>
      <c r="R25" s="701">
        <f>SUM(C25:Q25)</f>
        <v>2932.1006283145498</v>
      </c>
      <c r="S25" s="67"/>
    </row>
    <row r="26" spans="1:19" s="474" customFormat="1" ht="15.75" thickBot="1">
      <c r="A26" s="706" t="s">
        <v>865</v>
      </c>
      <c r="B26" s="818"/>
      <c r="C26" s="813">
        <f>SUM(C24:C25)</f>
        <v>10551.588399999999</v>
      </c>
      <c r="D26" s="813">
        <f t="shared" ref="D26:R26" si="2">SUM(D24:D25)</f>
        <v>113754.05357142857</v>
      </c>
      <c r="E26" s="813">
        <f t="shared" si="2"/>
        <v>32408.854161283918</v>
      </c>
      <c r="F26" s="813">
        <f t="shared" si="2"/>
        <v>90.829374289476604</v>
      </c>
      <c r="G26" s="813">
        <f t="shared" si="2"/>
        <v>24880.263953574035</v>
      </c>
      <c r="H26" s="813">
        <f t="shared" si="2"/>
        <v>0</v>
      </c>
      <c r="I26" s="813">
        <f t="shared" si="2"/>
        <v>0</v>
      </c>
      <c r="J26" s="813">
        <f t="shared" si="2"/>
        <v>0</v>
      </c>
      <c r="K26" s="813">
        <f t="shared" si="2"/>
        <v>1503.4039142637967</v>
      </c>
      <c r="L26" s="813">
        <f t="shared" si="2"/>
        <v>0</v>
      </c>
      <c r="M26" s="813">
        <f t="shared" si="2"/>
        <v>0</v>
      </c>
      <c r="N26" s="813">
        <f t="shared" si="2"/>
        <v>0</v>
      </c>
      <c r="O26" s="813">
        <f t="shared" si="2"/>
        <v>0</v>
      </c>
      <c r="P26" s="813">
        <f t="shared" si="2"/>
        <v>0</v>
      </c>
      <c r="Q26" s="813">
        <f t="shared" si="2"/>
        <v>0</v>
      </c>
      <c r="R26" s="813">
        <f t="shared" si="2"/>
        <v>183188.99337483977</v>
      </c>
      <c r="S26" s="67"/>
    </row>
    <row r="27" spans="1:19" s="474" customFormat="1" ht="17.25" thickTop="1" thickBot="1">
      <c r="A27" s="707" t="s">
        <v>116</v>
      </c>
      <c r="B27" s="806"/>
      <c r="C27" s="708">
        <f ca="1">C22+C16+C26</f>
        <v>171718.53280983845</v>
      </c>
      <c r="D27" s="708">
        <f t="shared" ref="D27:R27" ca="1" si="3">D22+D16+D26</f>
        <v>123782.625</v>
      </c>
      <c r="E27" s="708">
        <f t="shared" ca="1" si="3"/>
        <v>476064.70569200534</v>
      </c>
      <c r="F27" s="708">
        <f t="shared" si="3"/>
        <v>2388.9752520055026</v>
      </c>
      <c r="G27" s="708">
        <f t="shared" ca="1" si="3"/>
        <v>36326.371344265899</v>
      </c>
      <c r="H27" s="708">
        <f t="shared" si="3"/>
        <v>39276.852199262605</v>
      </c>
      <c r="I27" s="708">
        <f t="shared" si="3"/>
        <v>7366.7845480114756</v>
      </c>
      <c r="J27" s="708">
        <f t="shared" si="3"/>
        <v>0</v>
      </c>
      <c r="K27" s="708">
        <f t="shared" si="3"/>
        <v>1557.1428942704663</v>
      </c>
      <c r="L27" s="708">
        <f t="shared" si="3"/>
        <v>0</v>
      </c>
      <c r="M27" s="708">
        <f t="shared" ca="1" si="3"/>
        <v>0</v>
      </c>
      <c r="N27" s="708">
        <f t="shared" si="3"/>
        <v>2497.6894385366709</v>
      </c>
      <c r="O27" s="708">
        <f t="shared" ca="1" si="3"/>
        <v>54286.077246893852</v>
      </c>
      <c r="P27" s="708">
        <f t="shared" si="3"/>
        <v>196.98000000000002</v>
      </c>
      <c r="Q27" s="708">
        <f t="shared" si="3"/>
        <v>533.86666666666667</v>
      </c>
      <c r="R27" s="708">
        <f t="shared" ca="1" si="3"/>
        <v>915996.60309175681</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7512.751371426607</v>
      </c>
      <c r="D40" s="1025">
        <f ca="1">tertiair!C20</f>
        <v>0</v>
      </c>
      <c r="E40" s="1025">
        <f ca="1">tertiair!D20</f>
        <v>7078.7343451217712</v>
      </c>
      <c r="F40" s="1025">
        <f>tertiair!E20</f>
        <v>42.829046791571649</v>
      </c>
      <c r="G40" s="1025">
        <f ca="1">tertiair!F20</f>
        <v>1615.2551846550025</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16249.569947994953</v>
      </c>
    </row>
    <row r="41" spans="1:18">
      <c r="A41" s="823" t="s">
        <v>225</v>
      </c>
      <c r="B41" s="830"/>
      <c r="C41" s="1025">
        <f ca="1">huishoudens!B12</f>
        <v>6277.677633363488</v>
      </c>
      <c r="D41" s="1025">
        <f ca="1">huishoudens!C12</f>
        <v>0</v>
      </c>
      <c r="E41" s="1025">
        <f>huishoudens!D12</f>
        <v>14361.444550300295</v>
      </c>
      <c r="F41" s="1025">
        <f>huishoudens!E12</f>
        <v>239.59030808635859</v>
      </c>
      <c r="G41" s="1025">
        <f>huishoudens!F12</f>
        <v>0</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20878.712491750142</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20217.955173190239</v>
      </c>
      <c r="D43" s="1025">
        <f ca="1">industrie!C22</f>
        <v>2215.2859122170667</v>
      </c>
      <c r="E43" s="1025">
        <f>industrie!D22</f>
        <v>68174.381535104389</v>
      </c>
      <c r="F43" s="1025">
        <f>industrie!E22</f>
        <v>210.92430146005435</v>
      </c>
      <c r="G43" s="1025">
        <f>industrie!F22</f>
        <v>1440.855488659726</v>
      </c>
      <c r="H43" s="1025">
        <f>industrie!G22</f>
        <v>0</v>
      </c>
      <c r="I43" s="1025">
        <f>industrie!H22</f>
        <v>0</v>
      </c>
      <c r="J43" s="1025">
        <f>industrie!I22</f>
        <v>0</v>
      </c>
      <c r="K43" s="1025">
        <f>industrie!J22</f>
        <v>19.023598922361021</v>
      </c>
      <c r="L43" s="1025">
        <f>industrie!K22</f>
        <v>0</v>
      </c>
      <c r="M43" s="1025">
        <f>industrie!L22</f>
        <v>0</v>
      </c>
      <c r="N43" s="1025">
        <f>industrie!M22</f>
        <v>0</v>
      </c>
      <c r="O43" s="1025">
        <f>industrie!N22</f>
        <v>0</v>
      </c>
      <c r="P43" s="1025">
        <f>industrie!O22</f>
        <v>0</v>
      </c>
      <c r="Q43" s="775">
        <f>industrie!P22</f>
        <v>0</v>
      </c>
      <c r="R43" s="850">
        <f t="shared" ca="1" si="4"/>
        <v>92278.426009553834</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34008.384177980333</v>
      </c>
      <c r="D46" s="733">
        <f t="shared" ref="D46:Q46" ca="1" si="5">SUM(D39:D45)</f>
        <v>2215.2859122170667</v>
      </c>
      <c r="E46" s="733">
        <f t="shared" ca="1" si="5"/>
        <v>89614.560430526457</v>
      </c>
      <c r="F46" s="733">
        <f t="shared" si="5"/>
        <v>493.34365633798461</v>
      </c>
      <c r="G46" s="733">
        <f t="shared" ca="1" si="5"/>
        <v>3056.1106733147285</v>
      </c>
      <c r="H46" s="733">
        <f t="shared" si="5"/>
        <v>0</v>
      </c>
      <c r="I46" s="733">
        <f t="shared" si="5"/>
        <v>0</v>
      </c>
      <c r="J46" s="733">
        <f t="shared" si="5"/>
        <v>0</v>
      </c>
      <c r="K46" s="733">
        <f t="shared" si="5"/>
        <v>19.023598922361021</v>
      </c>
      <c r="L46" s="733">
        <f t="shared" si="5"/>
        <v>0</v>
      </c>
      <c r="M46" s="733">
        <f t="shared" ca="1" si="5"/>
        <v>0</v>
      </c>
      <c r="N46" s="733">
        <f t="shared" si="5"/>
        <v>0</v>
      </c>
      <c r="O46" s="733">
        <f t="shared" ca="1" si="5"/>
        <v>0</v>
      </c>
      <c r="P46" s="733">
        <f t="shared" si="5"/>
        <v>0</v>
      </c>
      <c r="Q46" s="733">
        <f t="shared" si="5"/>
        <v>0</v>
      </c>
      <c r="R46" s="733">
        <f ca="1">SUM(R39:R45)</f>
        <v>129406.70844929892</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350.72393138020817</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350.72393138020817</v>
      </c>
    </row>
    <row r="50" spans="1:18">
      <c r="A50" s="826" t="s">
        <v>307</v>
      </c>
      <c r="B50" s="836"/>
      <c r="C50" s="704">
        <f ca="1">transport!B18</f>
        <v>1.6459418306470737</v>
      </c>
      <c r="D50" s="704">
        <f>transport!C18</f>
        <v>0</v>
      </c>
      <c r="E50" s="704">
        <f>transport!D18</f>
        <v>3.9215786792799028</v>
      </c>
      <c r="F50" s="704">
        <f>transport!E18</f>
        <v>28.335457903553344</v>
      </c>
      <c r="G50" s="704">
        <f>transport!F18</f>
        <v>0</v>
      </c>
      <c r="H50" s="704">
        <f>transport!G18</f>
        <v>10136.195605822906</v>
      </c>
      <c r="I50" s="704">
        <f>transport!H18</f>
        <v>1834.3293524548574</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12004.427936691243</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1.6459418306470737</v>
      </c>
      <c r="D52" s="733">
        <f t="shared" ref="D52:Q52" ca="1" si="6">SUM(D48:D51)</f>
        <v>0</v>
      </c>
      <c r="E52" s="733">
        <f t="shared" si="6"/>
        <v>3.9215786792799028</v>
      </c>
      <c r="F52" s="733">
        <f t="shared" si="6"/>
        <v>28.335457903553344</v>
      </c>
      <c r="G52" s="733">
        <f t="shared" si="6"/>
        <v>0</v>
      </c>
      <c r="H52" s="733">
        <f t="shared" si="6"/>
        <v>10486.919537203114</v>
      </c>
      <c r="I52" s="733">
        <f t="shared" si="6"/>
        <v>1834.3293524548574</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12355.151868071451</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2069.345234811813</v>
      </c>
      <c r="D54" s="704">
        <f ca="1">+landbouw!C12</f>
        <v>25127.981002002824</v>
      </c>
      <c r="E54" s="704">
        <f>+landbouw!D12</f>
        <v>6104.8673780598128</v>
      </c>
      <c r="F54" s="704">
        <f>+landbouw!E12</f>
        <v>20.61826796371119</v>
      </c>
      <c r="G54" s="704">
        <f>+landbouw!F12</f>
        <v>6643.0304756042678</v>
      </c>
      <c r="H54" s="704">
        <f>+landbouw!G12</f>
        <v>0</v>
      </c>
      <c r="I54" s="704">
        <f>+landbouw!H12</f>
        <v>0</v>
      </c>
      <c r="J54" s="704">
        <f>+landbouw!I12</f>
        <v>0</v>
      </c>
      <c r="K54" s="704">
        <f>+landbouw!J12</f>
        <v>532.20498564938396</v>
      </c>
      <c r="L54" s="704">
        <f>+landbouw!K12</f>
        <v>0</v>
      </c>
      <c r="M54" s="704">
        <f>+landbouw!L12</f>
        <v>0</v>
      </c>
      <c r="N54" s="704">
        <f>+landbouw!M12</f>
        <v>0</v>
      </c>
      <c r="O54" s="704">
        <f>+landbouw!N12</f>
        <v>0</v>
      </c>
      <c r="P54" s="704">
        <f>+landbouw!O12</f>
        <v>0</v>
      </c>
      <c r="Q54" s="705">
        <f>+landbouw!P12</f>
        <v>0</v>
      </c>
      <c r="R54" s="732">
        <f ca="1">SUM(C54:Q54)</f>
        <v>40498.047344091814</v>
      </c>
    </row>
    <row r="55" spans="1:18" ht="15" thickBot="1">
      <c r="A55" s="826" t="s">
        <v>864</v>
      </c>
      <c r="B55" s="836"/>
      <c r="C55" s="704">
        <f ca="1">C25*'EF ele_warmte'!B12</f>
        <v>157.28902080382866</v>
      </c>
      <c r="D55" s="704"/>
      <c r="E55" s="704">
        <f>E25*EF_CO2_aardgas</f>
        <v>441.72116251953906</v>
      </c>
      <c r="F55" s="704"/>
      <c r="G55" s="704"/>
      <c r="H55" s="704"/>
      <c r="I55" s="704"/>
      <c r="J55" s="704"/>
      <c r="K55" s="704"/>
      <c r="L55" s="704"/>
      <c r="M55" s="704"/>
      <c r="N55" s="704"/>
      <c r="O55" s="704"/>
      <c r="P55" s="704"/>
      <c r="Q55" s="705"/>
      <c r="R55" s="732">
        <f ca="1">SUM(C55:Q55)</f>
        <v>599.01018332336776</v>
      </c>
    </row>
    <row r="56" spans="1:18" ht="15.75" thickBot="1">
      <c r="A56" s="824" t="s">
        <v>865</v>
      </c>
      <c r="B56" s="837"/>
      <c r="C56" s="733">
        <f ca="1">SUM(C54:C55)</f>
        <v>2226.6342556156419</v>
      </c>
      <c r="D56" s="733">
        <f t="shared" ref="D56:Q56" ca="1" si="7">SUM(D54:D55)</f>
        <v>25127.981002002824</v>
      </c>
      <c r="E56" s="733">
        <f t="shared" si="7"/>
        <v>6546.5885405793515</v>
      </c>
      <c r="F56" s="733">
        <f t="shared" si="7"/>
        <v>20.61826796371119</v>
      </c>
      <c r="G56" s="733">
        <f t="shared" si="7"/>
        <v>6643.0304756042678</v>
      </c>
      <c r="H56" s="733">
        <f t="shared" si="7"/>
        <v>0</v>
      </c>
      <c r="I56" s="733">
        <f t="shared" si="7"/>
        <v>0</v>
      </c>
      <c r="J56" s="733">
        <f t="shared" si="7"/>
        <v>0</v>
      </c>
      <c r="K56" s="733">
        <f t="shared" si="7"/>
        <v>532.20498564938396</v>
      </c>
      <c r="L56" s="733">
        <f t="shared" si="7"/>
        <v>0</v>
      </c>
      <c r="M56" s="733">
        <f t="shared" si="7"/>
        <v>0</v>
      </c>
      <c r="N56" s="733">
        <f t="shared" si="7"/>
        <v>0</v>
      </c>
      <c r="O56" s="733">
        <f t="shared" si="7"/>
        <v>0</v>
      </c>
      <c r="P56" s="733">
        <f t="shared" si="7"/>
        <v>0</v>
      </c>
      <c r="Q56" s="734">
        <f t="shared" si="7"/>
        <v>0</v>
      </c>
      <c r="R56" s="735">
        <f ca="1">SUM(R54:R55)</f>
        <v>41097.057527415185</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36236.664375426626</v>
      </c>
      <c r="D61" s="741">
        <f t="shared" ref="D61:Q61" ca="1" si="8">D46+D52+D56</f>
        <v>27343.26691421989</v>
      </c>
      <c r="E61" s="741">
        <f t="shared" ca="1" si="8"/>
        <v>96165.070549785087</v>
      </c>
      <c r="F61" s="741">
        <f t="shared" si="8"/>
        <v>542.29738220524916</v>
      </c>
      <c r="G61" s="741">
        <f t="shared" ca="1" si="8"/>
        <v>9699.1411489189959</v>
      </c>
      <c r="H61" s="741">
        <f t="shared" si="8"/>
        <v>10486.919537203114</v>
      </c>
      <c r="I61" s="741">
        <f t="shared" si="8"/>
        <v>1834.3293524548574</v>
      </c>
      <c r="J61" s="741">
        <f t="shared" si="8"/>
        <v>0</v>
      </c>
      <c r="K61" s="741">
        <f t="shared" si="8"/>
        <v>551.22858457174493</v>
      </c>
      <c r="L61" s="741">
        <f t="shared" si="8"/>
        <v>0</v>
      </c>
      <c r="M61" s="741">
        <f t="shared" ca="1" si="8"/>
        <v>0</v>
      </c>
      <c r="N61" s="741">
        <f t="shared" si="8"/>
        <v>0</v>
      </c>
      <c r="O61" s="741">
        <f t="shared" ca="1" si="8"/>
        <v>0</v>
      </c>
      <c r="P61" s="741">
        <f t="shared" si="8"/>
        <v>0</v>
      </c>
      <c r="Q61" s="741">
        <f t="shared" si="8"/>
        <v>0</v>
      </c>
      <c r="R61" s="741">
        <f ca="1">R46+R52+R56</f>
        <v>182858.91784478558</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0.2110236081247864</v>
      </c>
      <c r="D63" s="782">
        <f t="shared" ca="1" si="9"/>
        <v>0.2208974556341804</v>
      </c>
      <c r="E63" s="1036">
        <f t="shared" ca="1" si="9"/>
        <v>0.20200000000000001</v>
      </c>
      <c r="F63" s="782">
        <f t="shared" si="9"/>
        <v>0.22700000000000004</v>
      </c>
      <c r="G63" s="782">
        <f t="shared" ca="1" si="9"/>
        <v>0.26700000000000002</v>
      </c>
      <c r="H63" s="782">
        <f t="shared" si="9"/>
        <v>0.26699999999999996</v>
      </c>
      <c r="I63" s="782">
        <f t="shared" si="9"/>
        <v>0.249</v>
      </c>
      <c r="J63" s="782">
        <f t="shared" si="9"/>
        <v>0</v>
      </c>
      <c r="K63" s="782">
        <f t="shared" si="9"/>
        <v>0.35399999999999993</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7710.8278793112877</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6212.3013717173535</v>
      </c>
      <c r="C76" s="751">
        <f>'lokale energieproductie'!B8*IFERROR(SUM(D76:H76)/SUM(D76:O76),0)</f>
        <v>81929.19862828264</v>
      </c>
      <c r="D76" s="1046">
        <f>'lokale energieproductie'!C8</f>
        <v>96387.292503861958</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7308.5898490792406</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19470.233085780117</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13923.12925102864</v>
      </c>
      <c r="C78" s="756">
        <f>SUM(C72:C77)</f>
        <v>81929.19862828264</v>
      </c>
      <c r="D78" s="757">
        <f t="shared" ref="D78:H78" si="10">SUM(D76:D77)</f>
        <v>96387.292503861958</v>
      </c>
      <c r="E78" s="757">
        <f t="shared" si="10"/>
        <v>0</v>
      </c>
      <c r="F78" s="757">
        <f t="shared" si="10"/>
        <v>0</v>
      </c>
      <c r="G78" s="757">
        <f t="shared" si="10"/>
        <v>0</v>
      </c>
      <c r="H78" s="757">
        <f t="shared" si="10"/>
        <v>0</v>
      </c>
      <c r="I78" s="757">
        <f>SUM(I76:I77)</f>
        <v>0</v>
      </c>
      <c r="J78" s="757">
        <f>SUM(J76:J77)</f>
        <v>7308.5898490792406</v>
      </c>
      <c r="K78" s="757">
        <f t="shared" ref="K78:L78" si="11">SUM(K76:K77)</f>
        <v>0</v>
      </c>
      <c r="L78" s="757">
        <f t="shared" si="11"/>
        <v>0</v>
      </c>
      <c r="M78" s="757">
        <f>SUM(M76:M77)</f>
        <v>0</v>
      </c>
      <c r="N78" s="757">
        <f>SUM(N76:N77)</f>
        <v>0</v>
      </c>
      <c r="O78" s="861">
        <f>SUM(O76:O77)</f>
        <v>0</v>
      </c>
      <c r="P78" s="758">
        <v>0</v>
      </c>
      <c r="Q78" s="758">
        <f>SUM(Q76:Q77)</f>
        <v>19470.233085780117</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8724.3236282826456</v>
      </c>
      <c r="C87" s="767">
        <f>'lokale energieproductie'!B17*IFERROR(SUM(D87:H87)/SUM(D87:O87),0)</f>
        <v>115058.30137171735</v>
      </c>
      <c r="D87" s="778">
        <f>'lokale energieproductie'!C17</f>
        <v>135362.70749613809</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10263.910150920761</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27343.266914219894</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8724.3236282826456</v>
      </c>
      <c r="C90" s="756">
        <f>SUM(C87:C89)</f>
        <v>115058.30137171735</v>
      </c>
      <c r="D90" s="756">
        <f t="shared" ref="D90:H90" si="12">SUM(D87:D89)</f>
        <v>135362.70749613809</v>
      </c>
      <c r="E90" s="756">
        <f t="shared" si="12"/>
        <v>0</v>
      </c>
      <c r="F90" s="756">
        <f t="shared" si="12"/>
        <v>0</v>
      </c>
      <c r="G90" s="756">
        <f t="shared" si="12"/>
        <v>0</v>
      </c>
      <c r="H90" s="756">
        <f t="shared" si="12"/>
        <v>0</v>
      </c>
      <c r="I90" s="756">
        <f>SUM(I87:I89)</f>
        <v>0</v>
      </c>
      <c r="J90" s="756">
        <f>SUM(J87:J89)</f>
        <v>10263.910150920761</v>
      </c>
      <c r="K90" s="756">
        <f t="shared" ref="K90:L90" si="13">SUM(K87:K89)</f>
        <v>0</v>
      </c>
      <c r="L90" s="756">
        <f t="shared" si="13"/>
        <v>0</v>
      </c>
      <c r="M90" s="756">
        <f>SUM(M87:M89)</f>
        <v>0</v>
      </c>
      <c r="N90" s="756">
        <f>SUM(N87:N89)</f>
        <v>0</v>
      </c>
      <c r="O90" s="756">
        <f>SUM(O87:O89)</f>
        <v>0</v>
      </c>
      <c r="P90" s="756">
        <v>0</v>
      </c>
      <c r="Q90" s="756">
        <f>SUM(Q87:Q89)</f>
        <v>27343.266914219894</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29748.69821035026</v>
      </c>
      <c r="C4" s="478">
        <f>huishoudens!C8</f>
        <v>0</v>
      </c>
      <c r="D4" s="478">
        <f>huishoudens!D8</f>
        <v>71096.260150001457</v>
      </c>
      <c r="E4" s="478">
        <f>huishoudens!E8</f>
        <v>1055.4639122747074</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8005.1886514422222</v>
      </c>
      <c r="O4" s="478">
        <f>huishoudens!O8</f>
        <v>195.41666666666669</v>
      </c>
      <c r="P4" s="479">
        <f>huishoudens!P8</f>
        <v>533.86666666666667</v>
      </c>
      <c r="Q4" s="480">
        <f>SUM(B4:P4)</f>
        <v>110634.89425740197</v>
      </c>
    </row>
    <row r="5" spans="1:17">
      <c r="A5" s="477" t="s">
        <v>156</v>
      </c>
      <c r="B5" s="478">
        <f ca="1">tertiair!B16</f>
        <v>34339.225399999996</v>
      </c>
      <c r="C5" s="478">
        <f ca="1">tertiair!C16</f>
        <v>0</v>
      </c>
      <c r="D5" s="478">
        <f ca="1">tertiair!D16</f>
        <v>35043.239332285993</v>
      </c>
      <c r="E5" s="478">
        <f>tertiair!E16</f>
        <v>188.67421494084425</v>
      </c>
      <c r="F5" s="478">
        <f ca="1">tertiair!F16</f>
        <v>6049.6448863483238</v>
      </c>
      <c r="G5" s="478">
        <f>tertiair!G16</f>
        <v>0</v>
      </c>
      <c r="H5" s="478">
        <f>tertiair!H16</f>
        <v>0</v>
      </c>
      <c r="I5" s="478">
        <f>tertiair!I16</f>
        <v>0</v>
      </c>
      <c r="J5" s="478">
        <f>tertiair!J16</f>
        <v>0</v>
      </c>
      <c r="K5" s="478">
        <f>tertiair!K16</f>
        <v>0</v>
      </c>
      <c r="L5" s="478">
        <f ca="1">tertiair!L16</f>
        <v>0</v>
      </c>
      <c r="M5" s="478">
        <f>tertiair!M16</f>
        <v>0</v>
      </c>
      <c r="N5" s="478">
        <f ca="1">tertiair!N16</f>
        <v>11528.857535317184</v>
      </c>
      <c r="O5" s="478">
        <f>tertiair!O16</f>
        <v>1.5633333333333335</v>
      </c>
      <c r="P5" s="479">
        <f>tertiair!P16</f>
        <v>0</v>
      </c>
      <c r="Q5" s="477">
        <f t="shared" ref="Q5:Q14" ca="1" si="0">SUM(B5:P5)</f>
        <v>87151.204702225674</v>
      </c>
    </row>
    <row r="6" spans="1:17">
      <c r="A6" s="477" t="s">
        <v>194</v>
      </c>
      <c r="B6" s="478">
        <f>'openbare verlichting'!B8</f>
        <v>1262.248</v>
      </c>
      <c r="C6" s="478"/>
      <c r="D6" s="478"/>
      <c r="E6" s="478"/>
      <c r="F6" s="478"/>
      <c r="G6" s="478"/>
      <c r="H6" s="478"/>
      <c r="I6" s="478"/>
      <c r="J6" s="478"/>
      <c r="K6" s="478"/>
      <c r="L6" s="478"/>
      <c r="M6" s="478"/>
      <c r="N6" s="478"/>
      <c r="O6" s="478"/>
      <c r="P6" s="479"/>
      <c r="Q6" s="477">
        <f t="shared" si="0"/>
        <v>1262.248</v>
      </c>
    </row>
    <row r="7" spans="1:17">
      <c r="A7" s="477" t="s">
        <v>112</v>
      </c>
      <c r="B7" s="478">
        <f>landbouw!B8</f>
        <v>9806.2261999999992</v>
      </c>
      <c r="C7" s="478">
        <f>landbouw!C8</f>
        <v>113754.05357142857</v>
      </c>
      <c r="D7" s="478">
        <f>landbouw!D8</f>
        <v>30222.115732969367</v>
      </c>
      <c r="E7" s="478">
        <f>landbouw!E8</f>
        <v>90.829374289476604</v>
      </c>
      <c r="F7" s="478">
        <f>landbouw!F8</f>
        <v>24880.263953574035</v>
      </c>
      <c r="G7" s="478">
        <f>landbouw!G8</f>
        <v>0</v>
      </c>
      <c r="H7" s="478">
        <f>landbouw!H8</f>
        <v>0</v>
      </c>
      <c r="I7" s="478">
        <f>landbouw!I8</f>
        <v>0</v>
      </c>
      <c r="J7" s="478">
        <f>landbouw!J8</f>
        <v>1503.4039142637967</v>
      </c>
      <c r="K7" s="478">
        <f>landbouw!K8</f>
        <v>0</v>
      </c>
      <c r="L7" s="478">
        <f>landbouw!L8</f>
        <v>0</v>
      </c>
      <c r="M7" s="478">
        <f>landbouw!M8</f>
        <v>0</v>
      </c>
      <c r="N7" s="478">
        <f>landbouw!N8</f>
        <v>0</v>
      </c>
      <c r="O7" s="478">
        <f>landbouw!O8</f>
        <v>0</v>
      </c>
      <c r="P7" s="479">
        <f>landbouw!P8</f>
        <v>0</v>
      </c>
      <c r="Q7" s="477">
        <f t="shared" si="0"/>
        <v>180256.89274652523</v>
      </c>
    </row>
    <row r="8" spans="1:17">
      <c r="A8" s="477" t="s">
        <v>650</v>
      </c>
      <c r="B8" s="478">
        <f>industrie!B18</f>
        <v>95808.972999999998</v>
      </c>
      <c r="C8" s="478">
        <f>industrie!C18</f>
        <v>10028.571428571429</v>
      </c>
      <c r="D8" s="478">
        <f>industrie!D18</f>
        <v>337496.93829259597</v>
      </c>
      <c r="E8" s="478">
        <f>industrie!E18</f>
        <v>929.1819447579486</v>
      </c>
      <c r="F8" s="478">
        <f>industrie!F18</f>
        <v>5396.4625043435426</v>
      </c>
      <c r="G8" s="478">
        <f>industrie!G18</f>
        <v>0</v>
      </c>
      <c r="H8" s="478">
        <f>industrie!H18</f>
        <v>0</v>
      </c>
      <c r="I8" s="478">
        <f>industrie!I18</f>
        <v>0</v>
      </c>
      <c r="J8" s="478">
        <f>industrie!J18</f>
        <v>53.738980006669557</v>
      </c>
      <c r="K8" s="478">
        <f>industrie!K18</f>
        <v>0</v>
      </c>
      <c r="L8" s="478">
        <f>industrie!L18</f>
        <v>0</v>
      </c>
      <c r="M8" s="478">
        <f>industrie!M18</f>
        <v>0</v>
      </c>
      <c r="N8" s="478">
        <f>industrie!N18</f>
        <v>34752.031060134446</v>
      </c>
      <c r="O8" s="478">
        <f>industrie!O18</f>
        <v>0</v>
      </c>
      <c r="P8" s="479">
        <f>industrie!P18</f>
        <v>0</v>
      </c>
      <c r="Q8" s="477">
        <f t="shared" si="0"/>
        <v>484465.89721040998</v>
      </c>
    </row>
    <row r="9" spans="1:17" s="483" customFormat="1">
      <c r="A9" s="481" t="s">
        <v>571</v>
      </c>
      <c r="B9" s="482">
        <f>transport!B14</f>
        <v>7.7997994881869559</v>
      </c>
      <c r="C9" s="482">
        <f>transport!C14</f>
        <v>0</v>
      </c>
      <c r="D9" s="482">
        <f>transport!D14</f>
        <v>19.41375583801932</v>
      </c>
      <c r="E9" s="482">
        <f>transport!E14</f>
        <v>124.82580574252574</v>
      </c>
      <c r="F9" s="482">
        <f>transport!F14</f>
        <v>0</v>
      </c>
      <c r="G9" s="482">
        <f>transport!G14</f>
        <v>37963.279422557702</v>
      </c>
      <c r="H9" s="482">
        <f>transport!H14</f>
        <v>7366.7845480114756</v>
      </c>
      <c r="I9" s="482">
        <f>transport!I14</f>
        <v>0</v>
      </c>
      <c r="J9" s="482">
        <f>transport!J14</f>
        <v>0</v>
      </c>
      <c r="K9" s="482">
        <f>transport!K14</f>
        <v>0</v>
      </c>
      <c r="L9" s="482">
        <f>transport!L14</f>
        <v>0</v>
      </c>
      <c r="M9" s="482">
        <f>transport!M14</f>
        <v>2422.7802123526908</v>
      </c>
      <c r="N9" s="482">
        <f>transport!N14</f>
        <v>0</v>
      </c>
      <c r="O9" s="482">
        <f>transport!O14</f>
        <v>0</v>
      </c>
      <c r="P9" s="482">
        <f>transport!P14</f>
        <v>0</v>
      </c>
      <c r="Q9" s="481">
        <f>SUM(B9:P9)</f>
        <v>47904.883543990603</v>
      </c>
    </row>
    <row r="10" spans="1:17">
      <c r="A10" s="477" t="s">
        <v>561</v>
      </c>
      <c r="B10" s="478">
        <f>transport!B54</f>
        <v>0</v>
      </c>
      <c r="C10" s="478">
        <f>transport!C54</f>
        <v>0</v>
      </c>
      <c r="D10" s="478">
        <f>transport!D54</f>
        <v>0</v>
      </c>
      <c r="E10" s="478">
        <f>transport!E54</f>
        <v>0</v>
      </c>
      <c r="F10" s="478">
        <f>transport!F54</f>
        <v>0</v>
      </c>
      <c r="G10" s="478">
        <f>transport!G54</f>
        <v>1313.5727767048995</v>
      </c>
      <c r="H10" s="478">
        <f>transport!H54</f>
        <v>0</v>
      </c>
      <c r="I10" s="478">
        <f>transport!I54</f>
        <v>0</v>
      </c>
      <c r="J10" s="478">
        <f>transport!J54</f>
        <v>0</v>
      </c>
      <c r="K10" s="478">
        <f>transport!K54</f>
        <v>0</v>
      </c>
      <c r="L10" s="478">
        <f>transport!L54</f>
        <v>0</v>
      </c>
      <c r="M10" s="478">
        <f>transport!M54</f>
        <v>74.909226183980067</v>
      </c>
      <c r="N10" s="478">
        <f>transport!N54</f>
        <v>0</v>
      </c>
      <c r="O10" s="478">
        <f>transport!O54</f>
        <v>0</v>
      </c>
      <c r="P10" s="479">
        <f>transport!P54</f>
        <v>0</v>
      </c>
      <c r="Q10" s="477">
        <f t="shared" si="0"/>
        <v>1388.4820028888796</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745.36219999999992</v>
      </c>
      <c r="C14" s="485"/>
      <c r="D14" s="485">
        <f>'SEAP template'!E25</f>
        <v>2186.7384283145498</v>
      </c>
      <c r="E14" s="485"/>
      <c r="F14" s="485"/>
      <c r="G14" s="485"/>
      <c r="H14" s="485"/>
      <c r="I14" s="485"/>
      <c r="J14" s="485"/>
      <c r="K14" s="485"/>
      <c r="L14" s="485"/>
      <c r="M14" s="485"/>
      <c r="N14" s="485"/>
      <c r="O14" s="485"/>
      <c r="P14" s="486"/>
      <c r="Q14" s="477">
        <f t="shared" si="0"/>
        <v>2932.1006283145498</v>
      </c>
    </row>
    <row r="15" spans="1:17" s="487" customFormat="1">
      <c r="A15" s="1051" t="s">
        <v>565</v>
      </c>
      <c r="B15" s="991">
        <f ca="1">SUM(B4:B14)</f>
        <v>171718.53280983845</v>
      </c>
      <c r="C15" s="991">
        <f t="shared" ref="C15:Q15" ca="1" si="1">SUM(C4:C14)</f>
        <v>123782.625</v>
      </c>
      <c r="D15" s="991">
        <f t="shared" ca="1" si="1"/>
        <v>476064.70569200534</v>
      </c>
      <c r="E15" s="991">
        <f t="shared" si="1"/>
        <v>2388.9752520055026</v>
      </c>
      <c r="F15" s="991">
        <f t="shared" ca="1" si="1"/>
        <v>36326.371344265899</v>
      </c>
      <c r="G15" s="991">
        <f t="shared" si="1"/>
        <v>39276.852199262605</v>
      </c>
      <c r="H15" s="991">
        <f t="shared" si="1"/>
        <v>7366.7845480114756</v>
      </c>
      <c r="I15" s="991">
        <f t="shared" si="1"/>
        <v>0</v>
      </c>
      <c r="J15" s="991">
        <f t="shared" si="1"/>
        <v>1557.1428942704663</v>
      </c>
      <c r="K15" s="991">
        <f t="shared" si="1"/>
        <v>0</v>
      </c>
      <c r="L15" s="991">
        <f t="shared" ca="1" si="1"/>
        <v>0</v>
      </c>
      <c r="M15" s="991">
        <f t="shared" si="1"/>
        <v>2497.6894385366709</v>
      </c>
      <c r="N15" s="991">
        <f t="shared" ca="1" si="1"/>
        <v>54286.077246893852</v>
      </c>
      <c r="O15" s="991">
        <f t="shared" si="1"/>
        <v>196.98000000000002</v>
      </c>
      <c r="P15" s="991">
        <f t="shared" si="1"/>
        <v>533.86666666666667</v>
      </c>
      <c r="Q15" s="991">
        <f t="shared" ca="1" si="1"/>
        <v>915996.60309175693</v>
      </c>
    </row>
    <row r="17" spans="1:17">
      <c r="A17" s="488" t="s">
        <v>566</v>
      </c>
      <c r="B17" s="787">
        <f ca="1">huishoudens!B10</f>
        <v>0.2110236081247864</v>
      </c>
      <c r="C17" s="787">
        <f ca="1">huishoudens!C10</f>
        <v>0.22089745563418042</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6277.677633363488</v>
      </c>
      <c r="C22" s="478">
        <f t="shared" ref="C22:C32" ca="1" si="3">C4*$C$17</f>
        <v>0</v>
      </c>
      <c r="D22" s="478">
        <f t="shared" ref="D22:D32" si="4">D4*$D$17</f>
        <v>14361.444550300295</v>
      </c>
      <c r="E22" s="478">
        <f t="shared" ref="E22:E32" si="5">E4*$E$17</f>
        <v>239.59030808635859</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20878.712491750142</v>
      </c>
    </row>
    <row r="23" spans="1:17">
      <c r="A23" s="477" t="s">
        <v>156</v>
      </c>
      <c r="B23" s="478">
        <f t="shared" ca="1" si="2"/>
        <v>7246.3872441183112</v>
      </c>
      <c r="C23" s="478">
        <f t="shared" ca="1" si="3"/>
        <v>0</v>
      </c>
      <c r="D23" s="478">
        <f t="shared" ca="1" si="4"/>
        <v>7078.7343451217712</v>
      </c>
      <c r="E23" s="478">
        <f t="shared" si="5"/>
        <v>42.829046791571649</v>
      </c>
      <c r="F23" s="478">
        <f t="shared" ca="1" si="6"/>
        <v>1615.2551846550025</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15983.205820686659</v>
      </c>
    </row>
    <row r="24" spans="1:17">
      <c r="A24" s="477" t="s">
        <v>194</v>
      </c>
      <c r="B24" s="478">
        <f t="shared" ca="1" si="2"/>
        <v>266.36412730829539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266.36412730829539</v>
      </c>
    </row>
    <row r="25" spans="1:17">
      <c r="A25" s="477" t="s">
        <v>112</v>
      </c>
      <c r="B25" s="478">
        <f t="shared" ca="1" si="2"/>
        <v>2069.345234811813</v>
      </c>
      <c r="C25" s="478">
        <f t="shared" ca="1" si="3"/>
        <v>25127.981002002824</v>
      </c>
      <c r="D25" s="478">
        <f t="shared" si="4"/>
        <v>6104.8673780598128</v>
      </c>
      <c r="E25" s="478">
        <f t="shared" si="5"/>
        <v>20.61826796371119</v>
      </c>
      <c r="F25" s="478">
        <f t="shared" si="6"/>
        <v>6643.0304756042678</v>
      </c>
      <c r="G25" s="478">
        <f t="shared" si="7"/>
        <v>0</v>
      </c>
      <c r="H25" s="478">
        <f t="shared" si="8"/>
        <v>0</v>
      </c>
      <c r="I25" s="478">
        <f t="shared" si="9"/>
        <v>0</v>
      </c>
      <c r="J25" s="478">
        <f t="shared" si="10"/>
        <v>532.20498564938396</v>
      </c>
      <c r="K25" s="478">
        <f t="shared" si="11"/>
        <v>0</v>
      </c>
      <c r="L25" s="478">
        <f t="shared" si="12"/>
        <v>0</v>
      </c>
      <c r="M25" s="478">
        <f t="shared" si="13"/>
        <v>0</v>
      </c>
      <c r="N25" s="478">
        <f t="shared" si="14"/>
        <v>0</v>
      </c>
      <c r="O25" s="478">
        <f t="shared" si="15"/>
        <v>0</v>
      </c>
      <c r="P25" s="479">
        <f t="shared" si="16"/>
        <v>0</v>
      </c>
      <c r="Q25" s="477">
        <f t="shared" ca="1" si="17"/>
        <v>40498.047344091814</v>
      </c>
    </row>
    <row r="26" spans="1:17">
      <c r="A26" s="477" t="s">
        <v>650</v>
      </c>
      <c r="B26" s="478">
        <f t="shared" ca="1" si="2"/>
        <v>20217.955173190239</v>
      </c>
      <c r="C26" s="478">
        <f t="shared" ca="1" si="3"/>
        <v>2215.2859122170667</v>
      </c>
      <c r="D26" s="478">
        <f t="shared" si="4"/>
        <v>68174.381535104389</v>
      </c>
      <c r="E26" s="478">
        <f t="shared" si="5"/>
        <v>210.92430146005435</v>
      </c>
      <c r="F26" s="478">
        <f t="shared" si="6"/>
        <v>1440.855488659726</v>
      </c>
      <c r="G26" s="478">
        <f t="shared" si="7"/>
        <v>0</v>
      </c>
      <c r="H26" s="478">
        <f t="shared" si="8"/>
        <v>0</v>
      </c>
      <c r="I26" s="478">
        <f t="shared" si="9"/>
        <v>0</v>
      </c>
      <c r="J26" s="478">
        <f t="shared" si="10"/>
        <v>19.023598922361021</v>
      </c>
      <c r="K26" s="478">
        <f t="shared" si="11"/>
        <v>0</v>
      </c>
      <c r="L26" s="478">
        <f t="shared" si="12"/>
        <v>0</v>
      </c>
      <c r="M26" s="478">
        <f t="shared" si="13"/>
        <v>0</v>
      </c>
      <c r="N26" s="478">
        <f t="shared" si="14"/>
        <v>0</v>
      </c>
      <c r="O26" s="478">
        <f t="shared" si="15"/>
        <v>0</v>
      </c>
      <c r="P26" s="479">
        <f t="shared" si="16"/>
        <v>0</v>
      </c>
      <c r="Q26" s="477">
        <f t="shared" ca="1" si="17"/>
        <v>92278.426009553834</v>
      </c>
    </row>
    <row r="27" spans="1:17" s="483" customFormat="1">
      <c r="A27" s="481" t="s">
        <v>571</v>
      </c>
      <c r="B27" s="781">
        <f t="shared" ca="1" si="2"/>
        <v>1.6459418306470737</v>
      </c>
      <c r="C27" s="482">
        <f t="shared" ca="1" si="3"/>
        <v>0</v>
      </c>
      <c r="D27" s="482">
        <f t="shared" si="4"/>
        <v>3.9215786792799028</v>
      </c>
      <c r="E27" s="482">
        <f t="shared" si="5"/>
        <v>28.335457903553344</v>
      </c>
      <c r="F27" s="482">
        <f t="shared" si="6"/>
        <v>0</v>
      </c>
      <c r="G27" s="482">
        <f t="shared" si="7"/>
        <v>10136.195605822906</v>
      </c>
      <c r="H27" s="482">
        <f t="shared" si="8"/>
        <v>1834.3293524548574</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12004.427936691243</v>
      </c>
    </row>
    <row r="28" spans="1:17">
      <c r="A28" s="477" t="s">
        <v>561</v>
      </c>
      <c r="B28" s="478">
        <f t="shared" ca="1" si="2"/>
        <v>0</v>
      </c>
      <c r="C28" s="478">
        <f t="shared" ca="1" si="3"/>
        <v>0</v>
      </c>
      <c r="D28" s="478">
        <f t="shared" si="4"/>
        <v>0</v>
      </c>
      <c r="E28" s="478">
        <f t="shared" si="5"/>
        <v>0</v>
      </c>
      <c r="F28" s="478">
        <f t="shared" si="6"/>
        <v>0</v>
      </c>
      <c r="G28" s="478">
        <f t="shared" si="7"/>
        <v>350.72393138020817</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350.72393138020817</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157.28902080382866</v>
      </c>
      <c r="C32" s="478">
        <f t="shared" ca="1" si="3"/>
        <v>0</v>
      </c>
      <c r="D32" s="478">
        <f t="shared" si="4"/>
        <v>441.72116251953906</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599.01018332336776</v>
      </c>
    </row>
    <row r="33" spans="1:17" s="487" customFormat="1">
      <c r="A33" s="1051" t="s">
        <v>565</v>
      </c>
      <c r="B33" s="991">
        <f ca="1">SUM(B22:B32)</f>
        <v>36236.664375426626</v>
      </c>
      <c r="C33" s="991">
        <f t="shared" ref="C33:Q33" ca="1" si="18">SUM(C22:C32)</f>
        <v>27343.26691421989</v>
      </c>
      <c r="D33" s="991">
        <f t="shared" ca="1" si="18"/>
        <v>96165.070549785087</v>
      </c>
      <c r="E33" s="991">
        <f t="shared" si="18"/>
        <v>542.29738220524916</v>
      </c>
      <c r="F33" s="991">
        <f t="shared" ca="1" si="18"/>
        <v>9699.1411489189977</v>
      </c>
      <c r="G33" s="991">
        <f t="shared" si="18"/>
        <v>10486.919537203114</v>
      </c>
      <c r="H33" s="991">
        <f t="shared" si="18"/>
        <v>1834.3293524548574</v>
      </c>
      <c r="I33" s="991">
        <f t="shared" si="18"/>
        <v>0</v>
      </c>
      <c r="J33" s="991">
        <f t="shared" si="18"/>
        <v>551.22858457174493</v>
      </c>
      <c r="K33" s="991">
        <f t="shared" si="18"/>
        <v>0</v>
      </c>
      <c r="L33" s="991">
        <f t="shared" ca="1" si="18"/>
        <v>0</v>
      </c>
      <c r="M33" s="991">
        <f t="shared" si="18"/>
        <v>0</v>
      </c>
      <c r="N33" s="991">
        <f t="shared" ca="1" si="18"/>
        <v>0</v>
      </c>
      <c r="O33" s="991">
        <f t="shared" si="18"/>
        <v>0</v>
      </c>
      <c r="P33" s="991">
        <f t="shared" si="18"/>
        <v>0</v>
      </c>
      <c r="Q33" s="991">
        <f t="shared" ca="1" si="18"/>
        <v>182858.91784478555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7710.8278793112877</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6212.3013717173535</v>
      </c>
      <c r="C8" s="1068">
        <f>'SEAP template'!C76</f>
        <v>81929.19862828264</v>
      </c>
      <c r="D8" s="1068">
        <f>'SEAP template'!D76</f>
        <v>96387.292503861958</v>
      </c>
      <c r="E8" s="1068">
        <f>'SEAP template'!E76</f>
        <v>0</v>
      </c>
      <c r="F8" s="1068">
        <f>'SEAP template'!F76</f>
        <v>0</v>
      </c>
      <c r="G8" s="1068">
        <f>'SEAP template'!G76</f>
        <v>0</v>
      </c>
      <c r="H8" s="1068">
        <f>'SEAP template'!H76</f>
        <v>0</v>
      </c>
      <c r="I8" s="1068">
        <f>'SEAP template'!I76</f>
        <v>0</v>
      </c>
      <c r="J8" s="1068">
        <f>'SEAP template'!J76</f>
        <v>7308.5898490792406</v>
      </c>
      <c r="K8" s="1068">
        <f>'SEAP template'!K76</f>
        <v>0</v>
      </c>
      <c r="L8" s="1068">
        <f>'SEAP template'!L76</f>
        <v>0</v>
      </c>
      <c r="M8" s="1068">
        <f>'SEAP template'!M76</f>
        <v>0</v>
      </c>
      <c r="N8" s="1068">
        <f>'SEAP template'!N76</f>
        <v>0</v>
      </c>
      <c r="O8" s="1068">
        <f>'SEAP template'!O76</f>
        <v>0</v>
      </c>
      <c r="P8" s="1069">
        <f>'SEAP template'!Q76</f>
        <v>19470.233085780117</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13923.12925102864</v>
      </c>
      <c r="C10" s="1072">
        <f>SUM(C4:C9)</f>
        <v>81929.19862828264</v>
      </c>
      <c r="D10" s="1072">
        <f t="shared" ref="D10:H10" si="0">SUM(D8:D9)</f>
        <v>96387.292503861958</v>
      </c>
      <c r="E10" s="1072">
        <f t="shared" si="0"/>
        <v>0</v>
      </c>
      <c r="F10" s="1072">
        <f t="shared" si="0"/>
        <v>0</v>
      </c>
      <c r="G10" s="1072">
        <f t="shared" si="0"/>
        <v>0</v>
      </c>
      <c r="H10" s="1072">
        <f t="shared" si="0"/>
        <v>0</v>
      </c>
      <c r="I10" s="1072">
        <f>SUM(I8:I9)</f>
        <v>0</v>
      </c>
      <c r="J10" s="1072">
        <f>SUM(J8:J9)</f>
        <v>7308.5898490792406</v>
      </c>
      <c r="K10" s="1072">
        <f t="shared" ref="K10:L10" si="1">SUM(K8:K9)</f>
        <v>0</v>
      </c>
      <c r="L10" s="1072">
        <f t="shared" si="1"/>
        <v>0</v>
      </c>
      <c r="M10" s="1072">
        <f>SUM(M8:M9)</f>
        <v>0</v>
      </c>
      <c r="N10" s="1072">
        <f>SUM(N8:N9)</f>
        <v>0</v>
      </c>
      <c r="O10" s="1072">
        <f>SUM(O8:O9)</f>
        <v>0</v>
      </c>
      <c r="P10" s="1072">
        <f>SUM(P8:P9)</f>
        <v>19470.233085780117</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0.2110236081247864</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8724.3236282826456</v>
      </c>
      <c r="C17" s="1074">
        <f>'SEAP template'!C87</f>
        <v>115058.30137171735</v>
      </c>
      <c r="D17" s="1069">
        <f>'SEAP template'!D87</f>
        <v>135362.70749613809</v>
      </c>
      <c r="E17" s="1069">
        <f>'SEAP template'!E87</f>
        <v>0</v>
      </c>
      <c r="F17" s="1069">
        <f>'SEAP template'!F87</f>
        <v>0</v>
      </c>
      <c r="G17" s="1069">
        <f>'SEAP template'!G87</f>
        <v>0</v>
      </c>
      <c r="H17" s="1069">
        <f>'SEAP template'!H87</f>
        <v>0</v>
      </c>
      <c r="I17" s="1069">
        <f>'SEAP template'!I87</f>
        <v>0</v>
      </c>
      <c r="J17" s="1069">
        <f>'SEAP template'!J87</f>
        <v>10263.910150920761</v>
      </c>
      <c r="K17" s="1069">
        <f>'SEAP template'!K87</f>
        <v>0</v>
      </c>
      <c r="L17" s="1069">
        <f>'SEAP template'!L87</f>
        <v>0</v>
      </c>
      <c r="M17" s="1069">
        <f>'SEAP template'!M87</f>
        <v>0</v>
      </c>
      <c r="N17" s="1069">
        <f>'SEAP template'!N87</f>
        <v>0</v>
      </c>
      <c r="O17" s="1069">
        <f>'SEAP template'!O87</f>
        <v>0</v>
      </c>
      <c r="P17" s="1069">
        <f>'SEAP template'!Q87</f>
        <v>27343.266914219894</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8724.3236282826456</v>
      </c>
      <c r="C20" s="1072">
        <f>SUM(C17:C19)</f>
        <v>115058.30137171735</v>
      </c>
      <c r="D20" s="1072">
        <f t="shared" ref="D20:H20" si="2">SUM(D17:D19)</f>
        <v>135362.70749613809</v>
      </c>
      <c r="E20" s="1072">
        <f t="shared" si="2"/>
        <v>0</v>
      </c>
      <c r="F20" s="1072">
        <f t="shared" si="2"/>
        <v>0</v>
      </c>
      <c r="G20" s="1072">
        <f t="shared" si="2"/>
        <v>0</v>
      </c>
      <c r="H20" s="1072">
        <f t="shared" si="2"/>
        <v>0</v>
      </c>
      <c r="I20" s="1072">
        <f>SUM(I17:I19)</f>
        <v>0</v>
      </c>
      <c r="J20" s="1072">
        <f>SUM(J17:J19)</f>
        <v>10263.910150920761</v>
      </c>
      <c r="K20" s="1072">
        <f t="shared" ref="K20:L20" si="3">SUM(K17:K19)</f>
        <v>0</v>
      </c>
      <c r="L20" s="1072">
        <f t="shared" si="3"/>
        <v>0</v>
      </c>
      <c r="M20" s="1072">
        <f>SUM(M17:M19)</f>
        <v>0</v>
      </c>
      <c r="N20" s="1072">
        <f>SUM(N17:N19)</f>
        <v>0</v>
      </c>
      <c r="O20" s="1072">
        <f>SUM(O17:O19)</f>
        <v>0</v>
      </c>
      <c r="P20" s="1072">
        <f>SUM(P17:P19)</f>
        <v>27343.266914219894</v>
      </c>
    </row>
    <row r="22" spans="1:16">
      <c r="A22" s="488" t="s">
        <v>888</v>
      </c>
      <c r="B22" s="787" t="s">
        <v>882</v>
      </c>
      <c r="C22" s="787">
        <f ca="1">'EF ele_warmte'!B22</f>
        <v>0.22089745563418042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0.2110236081247864</v>
      </c>
      <c r="C17" s="525">
        <f ca="1">'EF ele_warmte'!B22</f>
        <v>0.22089745563418042</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2</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3.1266666666666669</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0.2110236081247864</v>
      </c>
      <c r="C17" s="525">
        <f ca="1">'EF ele_warmte'!B22</f>
        <v>0.22089745563418042</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0.2110236081247864</v>
      </c>
      <c r="C29" s="526">
        <f ca="1">'EF ele_warmte'!B22</f>
        <v>0.22089745563418042</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12009</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7085</v>
      </c>
      <c r="C9" s="342">
        <v>7196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696</v>
      </c>
    </row>
    <row r="15" spans="1:6">
      <c r="A15" s="348" t="s">
        <v>184</v>
      </c>
      <c r="B15" s="334">
        <v>6</v>
      </c>
    </row>
    <row r="16" spans="1:6">
      <c r="A16" s="348" t="s">
        <v>6</v>
      </c>
      <c r="B16" s="334">
        <v>114</v>
      </c>
    </row>
    <row r="17" spans="1:6">
      <c r="A17" s="348" t="s">
        <v>7</v>
      </c>
      <c r="B17" s="334">
        <v>107</v>
      </c>
    </row>
    <row r="18" spans="1:6">
      <c r="A18" s="348" t="s">
        <v>8</v>
      </c>
      <c r="B18" s="334">
        <v>145</v>
      </c>
    </row>
    <row r="19" spans="1:6">
      <c r="A19" s="348" t="s">
        <v>9</v>
      </c>
      <c r="B19" s="334">
        <v>130</v>
      </c>
    </row>
    <row r="20" spans="1:6">
      <c r="A20" s="348" t="s">
        <v>10</v>
      </c>
      <c r="B20" s="334">
        <v>132</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201</v>
      </c>
    </row>
    <row r="27" spans="1:6">
      <c r="A27" s="348" t="s">
        <v>17</v>
      </c>
      <c r="B27" s="334">
        <v>0</v>
      </c>
    </row>
    <row r="28" spans="1:6" s="356" customFormat="1">
      <c r="A28" s="355" t="s">
        <v>18</v>
      </c>
      <c r="B28" s="355">
        <v>200</v>
      </c>
    </row>
    <row r="29" spans="1:6">
      <c r="A29" s="355" t="s">
        <v>901</v>
      </c>
      <c r="B29" s="355">
        <v>113</v>
      </c>
      <c r="C29" s="356"/>
      <c r="D29" s="356"/>
      <c r="E29" s="356"/>
      <c r="F29" s="356"/>
    </row>
    <row r="30" spans="1:6">
      <c r="A30" s="341" t="s">
        <v>902</v>
      </c>
      <c r="B30" s="341">
        <v>28</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45752833.509499997</v>
      </c>
      <c r="E38" s="334">
        <v>4</v>
      </c>
      <c r="F38" s="334">
        <v>1748552</v>
      </c>
    </row>
    <row r="39" spans="1:6">
      <c r="A39" s="348" t="s">
        <v>30</v>
      </c>
      <c r="B39" s="348" t="s">
        <v>31</v>
      </c>
      <c r="C39" s="334">
        <v>5478</v>
      </c>
      <c r="D39" s="334">
        <v>78820687.527717799</v>
      </c>
      <c r="E39" s="334">
        <v>6997</v>
      </c>
      <c r="F39" s="334">
        <v>27373920</v>
      </c>
    </row>
    <row r="40" spans="1:6">
      <c r="A40" s="348" t="s">
        <v>30</v>
      </c>
      <c r="B40" s="348" t="s">
        <v>29</v>
      </c>
      <c r="C40" s="334">
        <v>0</v>
      </c>
      <c r="D40" s="334">
        <v>0</v>
      </c>
      <c r="E40" s="334">
        <v>0</v>
      </c>
      <c r="F40" s="334">
        <v>0</v>
      </c>
    </row>
    <row r="41" spans="1:6">
      <c r="A41" s="348" t="s">
        <v>32</v>
      </c>
      <c r="B41" s="348" t="s">
        <v>33</v>
      </c>
      <c r="C41" s="334">
        <v>35</v>
      </c>
      <c r="D41" s="334">
        <v>1242011.4556015199</v>
      </c>
      <c r="E41" s="334">
        <v>80</v>
      </c>
      <c r="F41" s="334">
        <v>760937.9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155647.263186784</v>
      </c>
      <c r="E44" s="334">
        <v>11</v>
      </c>
      <c r="F44" s="334">
        <v>468112.8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6</v>
      </c>
      <c r="D47" s="334">
        <v>94019.961493921597</v>
      </c>
      <c r="E47" s="334">
        <v>10</v>
      </c>
      <c r="F47" s="334">
        <v>76460385</v>
      </c>
    </row>
    <row r="48" spans="1:6">
      <c r="A48" s="348" t="s">
        <v>32</v>
      </c>
      <c r="B48" s="348" t="s">
        <v>29</v>
      </c>
      <c r="C48" s="334">
        <v>26</v>
      </c>
      <c r="D48" s="334">
        <v>394844702.82964802</v>
      </c>
      <c r="E48" s="334">
        <v>33</v>
      </c>
      <c r="F48" s="334">
        <v>10736138</v>
      </c>
    </row>
    <row r="49" spans="1:6">
      <c r="A49" s="348" t="s">
        <v>32</v>
      </c>
      <c r="B49" s="348" t="s">
        <v>40</v>
      </c>
      <c r="C49" s="334">
        <v>0</v>
      </c>
      <c r="D49" s="334">
        <v>0</v>
      </c>
      <c r="E49" s="334">
        <v>0</v>
      </c>
      <c r="F49" s="334">
        <v>0</v>
      </c>
    </row>
    <row r="50" spans="1:6">
      <c r="A50" s="348" t="s">
        <v>32</v>
      </c>
      <c r="B50" s="348" t="s">
        <v>41</v>
      </c>
      <c r="C50" s="334">
        <v>6</v>
      </c>
      <c r="D50" s="334">
        <v>65038.833460867601</v>
      </c>
      <c r="E50" s="334">
        <v>7</v>
      </c>
      <c r="F50" s="334">
        <v>363399.3</v>
      </c>
    </row>
    <row r="51" spans="1:6">
      <c r="A51" s="348" t="s">
        <v>42</v>
      </c>
      <c r="B51" s="348" t="s">
        <v>43</v>
      </c>
      <c r="C51" s="334">
        <v>29</v>
      </c>
      <c r="D51" s="334">
        <v>257814498.47514299</v>
      </c>
      <c r="E51" s="334">
        <v>76</v>
      </c>
      <c r="F51" s="334">
        <v>9658528</v>
      </c>
    </row>
    <row r="52" spans="1:6">
      <c r="A52" s="348" t="s">
        <v>42</v>
      </c>
      <c r="B52" s="348" t="s">
        <v>29</v>
      </c>
      <c r="C52" s="334">
        <v>3</v>
      </c>
      <c r="D52" s="334">
        <v>10383919.3472811</v>
      </c>
      <c r="E52" s="334">
        <v>7</v>
      </c>
      <c r="F52" s="334">
        <v>147698.20000000001</v>
      </c>
    </row>
    <row r="53" spans="1:6">
      <c r="A53" s="348" t="s">
        <v>44</v>
      </c>
      <c r="B53" s="348" t="s">
        <v>45</v>
      </c>
      <c r="C53" s="334">
        <v>111</v>
      </c>
      <c r="D53" s="334">
        <v>2186738.4283145498</v>
      </c>
      <c r="E53" s="334">
        <v>210</v>
      </c>
      <c r="F53" s="334">
        <v>745362.2</v>
      </c>
    </row>
    <row r="54" spans="1:6">
      <c r="A54" s="348" t="s">
        <v>46</v>
      </c>
      <c r="B54" s="348" t="s">
        <v>47</v>
      </c>
      <c r="C54" s="334">
        <v>0</v>
      </c>
      <c r="D54" s="334">
        <v>0</v>
      </c>
      <c r="E54" s="334">
        <v>1</v>
      </c>
      <c r="F54" s="334">
        <v>1262248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64</v>
      </c>
      <c r="D57" s="334">
        <v>5281331.9083986701</v>
      </c>
      <c r="E57" s="334">
        <v>144</v>
      </c>
      <c r="F57" s="334">
        <v>15783986</v>
      </c>
    </row>
    <row r="58" spans="1:6">
      <c r="A58" s="348" t="s">
        <v>49</v>
      </c>
      <c r="B58" s="348" t="s">
        <v>51</v>
      </c>
      <c r="C58" s="334">
        <v>49</v>
      </c>
      <c r="D58" s="334">
        <v>15868284.388155101</v>
      </c>
      <c r="E58" s="334">
        <v>113</v>
      </c>
      <c r="F58" s="334">
        <v>7404989</v>
      </c>
    </row>
    <row r="59" spans="1:6">
      <c r="A59" s="348" t="s">
        <v>49</v>
      </c>
      <c r="B59" s="348" t="s">
        <v>52</v>
      </c>
      <c r="C59" s="334">
        <v>74</v>
      </c>
      <c r="D59" s="334">
        <v>2067639.9405622</v>
      </c>
      <c r="E59" s="334">
        <v>138</v>
      </c>
      <c r="F59" s="334">
        <v>3260931</v>
      </c>
    </row>
    <row r="60" spans="1:6">
      <c r="A60" s="348" t="s">
        <v>49</v>
      </c>
      <c r="B60" s="348" t="s">
        <v>53</v>
      </c>
      <c r="C60" s="334">
        <v>34</v>
      </c>
      <c r="D60" s="334">
        <v>1579847.86080268</v>
      </c>
      <c r="E60" s="334">
        <v>49</v>
      </c>
      <c r="F60" s="334">
        <v>1288207</v>
      </c>
    </row>
    <row r="61" spans="1:6">
      <c r="A61" s="348" t="s">
        <v>49</v>
      </c>
      <c r="B61" s="348" t="s">
        <v>54</v>
      </c>
      <c r="C61" s="334">
        <v>113</v>
      </c>
      <c r="D61" s="334">
        <v>5092665.66236501</v>
      </c>
      <c r="E61" s="334">
        <v>205</v>
      </c>
      <c r="F61" s="334">
        <v>2730862</v>
      </c>
    </row>
    <row r="62" spans="1:6">
      <c r="A62" s="348" t="s">
        <v>49</v>
      </c>
      <c r="B62" s="348" t="s">
        <v>55</v>
      </c>
      <c r="C62" s="334">
        <v>7</v>
      </c>
      <c r="D62" s="334">
        <v>800070.77767754998</v>
      </c>
      <c r="E62" s="334">
        <v>8</v>
      </c>
      <c r="F62" s="334">
        <v>397233.4</v>
      </c>
    </row>
    <row r="63" spans="1:6">
      <c r="A63" s="348" t="s">
        <v>49</v>
      </c>
      <c r="B63" s="348" t="s">
        <v>29</v>
      </c>
      <c r="C63" s="334">
        <v>84</v>
      </c>
      <c r="D63" s="334">
        <v>8160757.3914024197</v>
      </c>
      <c r="E63" s="334">
        <v>93</v>
      </c>
      <c r="F63" s="334">
        <v>3473017</v>
      </c>
    </row>
    <row r="64" spans="1:6">
      <c r="A64" s="348" t="s">
        <v>56</v>
      </c>
      <c r="B64" s="348" t="s">
        <v>57</v>
      </c>
      <c r="C64" s="334">
        <v>0</v>
      </c>
      <c r="D64" s="334">
        <v>0</v>
      </c>
      <c r="E64" s="334">
        <v>0</v>
      </c>
      <c r="F64" s="334">
        <v>0</v>
      </c>
    </row>
    <row r="65" spans="1:6">
      <c r="A65" s="348" t="s">
        <v>56</v>
      </c>
      <c r="B65" s="348" t="s">
        <v>29</v>
      </c>
      <c r="C65" s="334">
        <v>2</v>
      </c>
      <c r="D65" s="334">
        <v>107635.380669184</v>
      </c>
      <c r="E65" s="334">
        <v>2</v>
      </c>
      <c r="F65" s="334">
        <v>10863.26</v>
      </c>
    </row>
    <row r="66" spans="1:6">
      <c r="A66" s="348" t="s">
        <v>56</v>
      </c>
      <c r="B66" s="348" t="s">
        <v>58</v>
      </c>
      <c r="C66" s="334">
        <v>0</v>
      </c>
      <c r="D66" s="334">
        <v>0</v>
      </c>
      <c r="E66" s="334">
        <v>4</v>
      </c>
      <c r="F66" s="334">
        <v>36292.199999999997</v>
      </c>
    </row>
    <row r="67" spans="1:6">
      <c r="A67" s="355" t="s">
        <v>56</v>
      </c>
      <c r="B67" s="355" t="s">
        <v>59</v>
      </c>
      <c r="C67" s="334">
        <v>0</v>
      </c>
      <c r="D67" s="334">
        <v>0</v>
      </c>
      <c r="E67" s="334">
        <v>0</v>
      </c>
      <c r="F67" s="334">
        <v>0</v>
      </c>
    </row>
    <row r="68" spans="1:6">
      <c r="A68" s="341" t="s">
        <v>56</v>
      </c>
      <c r="B68" s="341" t="s">
        <v>60</v>
      </c>
      <c r="C68" s="334">
        <v>0</v>
      </c>
      <c r="D68" s="334">
        <v>0</v>
      </c>
      <c r="E68" s="334">
        <v>3</v>
      </c>
      <c r="F68" s="334">
        <v>59110.09</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51280797</v>
      </c>
      <c r="E73" s="476">
        <v>56792318.159564711</v>
      </c>
    </row>
    <row r="74" spans="1:6">
      <c r="A74" s="348" t="s">
        <v>64</v>
      </c>
      <c r="B74" s="348" t="s">
        <v>714</v>
      </c>
      <c r="C74" s="1311" t="s">
        <v>716</v>
      </c>
      <c r="D74" s="476">
        <v>4501584.2297242619</v>
      </c>
      <c r="E74" s="476">
        <v>4733678.2467030287</v>
      </c>
    </row>
    <row r="75" spans="1:6">
      <c r="A75" s="348" t="s">
        <v>65</v>
      </c>
      <c r="B75" s="348" t="s">
        <v>713</v>
      </c>
      <c r="C75" s="1311" t="s">
        <v>717</v>
      </c>
      <c r="D75" s="476">
        <v>5629813</v>
      </c>
      <c r="E75" s="476">
        <v>6241685.5163047677</v>
      </c>
    </row>
    <row r="76" spans="1:6">
      <c r="A76" s="348" t="s">
        <v>65</v>
      </c>
      <c r="B76" s="348" t="s">
        <v>714</v>
      </c>
      <c r="C76" s="1311" t="s">
        <v>718</v>
      </c>
      <c r="D76" s="476">
        <v>188576.22972426223</v>
      </c>
      <c r="E76" s="476">
        <v>211211.18409152536</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371035.54055147554</v>
      </c>
      <c r="C83" s="476">
        <v>366831.67689716961</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2374.77821035026</v>
      </c>
    </row>
    <row r="92" spans="1:6">
      <c r="A92" s="341" t="s">
        <v>69</v>
      </c>
      <c r="B92" s="342">
        <v>5336.0496689610281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3973</v>
      </c>
    </row>
    <row r="98" spans="1:6">
      <c r="A98" s="348" t="s">
        <v>72</v>
      </c>
      <c r="B98" s="334">
        <v>11</v>
      </c>
    </row>
    <row r="99" spans="1:6">
      <c r="A99" s="348" t="s">
        <v>73</v>
      </c>
      <c r="B99" s="334">
        <v>28</v>
      </c>
    </row>
    <row r="100" spans="1:6">
      <c r="A100" s="348" t="s">
        <v>74</v>
      </c>
      <c r="B100" s="334">
        <v>541</v>
      </c>
    </row>
    <row r="101" spans="1:6">
      <c r="A101" s="348" t="s">
        <v>75</v>
      </c>
      <c r="B101" s="334">
        <v>56</v>
      </c>
    </row>
    <row r="102" spans="1:6">
      <c r="A102" s="348" t="s">
        <v>76</v>
      </c>
      <c r="B102" s="334">
        <v>72</v>
      </c>
    </row>
    <row r="103" spans="1:6">
      <c r="A103" s="348" t="s">
        <v>77</v>
      </c>
      <c r="B103" s="334">
        <v>142</v>
      </c>
    </row>
    <row r="104" spans="1:6">
      <c r="A104" s="348" t="s">
        <v>78</v>
      </c>
      <c r="B104" s="334">
        <v>1380</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2</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14</v>
      </c>
      <c r="C123" s="334">
        <v>45</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80</v>
      </c>
    </row>
    <row r="130" spans="1:6">
      <c r="A130" s="348" t="s">
        <v>295</v>
      </c>
      <c r="B130" s="334">
        <v>1</v>
      </c>
    </row>
    <row r="131" spans="1:6">
      <c r="A131" s="348" t="s">
        <v>296</v>
      </c>
      <c r="B131" s="334">
        <v>0</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171718.53280983845</v>
      </c>
      <c r="C3" s="43" t="s">
        <v>170</v>
      </c>
      <c r="D3" s="43"/>
      <c r="E3" s="154"/>
      <c r="F3" s="43"/>
      <c r="G3" s="43"/>
      <c r="H3" s="43"/>
      <c r="I3" s="43"/>
      <c r="J3" s="43"/>
      <c r="K3" s="96"/>
    </row>
    <row r="4" spans="1:11">
      <c r="A4" s="384" t="s">
        <v>171</v>
      </c>
      <c r="B4" s="49">
        <f>IF(ISERROR('SEAP template'!B78+'SEAP template'!C78),0,'SEAP template'!B78+'SEAP template'!C78)</f>
        <v>95852.327879311284</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19470.233085780117</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0.2110236081247864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27343.266914219894</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123782.625</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0.22089745563418042</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1262.248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1262.248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0.2110236081247864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266.36412730829539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27373.919999999998</v>
      </c>
      <c r="C5" s="17">
        <f>IF(ISERROR('Eigen informatie GS &amp; warmtenet'!B57),0,'Eigen informatie GS &amp; warmtenet'!B57)</f>
        <v>0</v>
      </c>
      <c r="D5" s="30">
        <f>(SUM(HH_hh_gas_kWh,HH_rest_gas_kWh)/1000)*0.902</f>
        <v>71096.260150001457</v>
      </c>
      <c r="E5" s="17">
        <f>B46*B57</f>
        <v>1055.4639122747074</v>
      </c>
      <c r="F5" s="17">
        <f>B51*B62</f>
        <v>0</v>
      </c>
      <c r="G5" s="18"/>
      <c r="H5" s="17"/>
      <c r="I5" s="17"/>
      <c r="J5" s="17">
        <f>B50*B61+C50*C61</f>
        <v>0</v>
      </c>
      <c r="K5" s="17"/>
      <c r="L5" s="17"/>
      <c r="M5" s="17"/>
      <c r="N5" s="17">
        <f>B48*B59+C48*C59</f>
        <v>8005.1886514422222</v>
      </c>
      <c r="O5" s="17">
        <f>B69*B70*B71</f>
        <v>195.41666666666669</v>
      </c>
      <c r="P5" s="17">
        <f>B77*B78*B79/1000-B77*B78*B79/1000/B80</f>
        <v>533.86666666666667</v>
      </c>
    </row>
    <row r="6" spans="1:16">
      <c r="A6" s="16" t="s">
        <v>631</v>
      </c>
      <c r="B6" s="789">
        <f>kWh_PV_kleiner_dan_10kW</f>
        <v>2374.77821035026</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29748.69821035026</v>
      </c>
      <c r="C8" s="21">
        <f>C5</f>
        <v>0</v>
      </c>
      <c r="D8" s="21">
        <f>D5</f>
        <v>71096.260150001457</v>
      </c>
      <c r="E8" s="21">
        <f>E5</f>
        <v>1055.4639122747074</v>
      </c>
      <c r="F8" s="21">
        <f>F5</f>
        <v>0</v>
      </c>
      <c r="G8" s="21"/>
      <c r="H8" s="21"/>
      <c r="I8" s="21"/>
      <c r="J8" s="21">
        <f>J5</f>
        <v>0</v>
      </c>
      <c r="K8" s="21"/>
      <c r="L8" s="21">
        <f>L5</f>
        <v>0</v>
      </c>
      <c r="M8" s="21">
        <f>M5</f>
        <v>0</v>
      </c>
      <c r="N8" s="21">
        <f>N5</f>
        <v>8005.1886514422222</v>
      </c>
      <c r="O8" s="21">
        <f>O5</f>
        <v>195.41666666666669</v>
      </c>
      <c r="P8" s="21">
        <f>P5</f>
        <v>533.86666666666667</v>
      </c>
    </row>
    <row r="9" spans="1:16">
      <c r="B9" s="19"/>
      <c r="C9" s="19"/>
      <c r="D9" s="258"/>
      <c r="E9" s="19"/>
      <c r="F9" s="19"/>
      <c r="G9" s="19"/>
      <c r="H9" s="19"/>
      <c r="I9" s="19"/>
      <c r="J9" s="19"/>
      <c r="K9" s="19"/>
      <c r="L9" s="19"/>
      <c r="M9" s="19"/>
      <c r="N9" s="19"/>
      <c r="O9" s="19"/>
      <c r="P9" s="19"/>
    </row>
    <row r="10" spans="1:16">
      <c r="A10" s="24" t="s">
        <v>214</v>
      </c>
      <c r="B10" s="25">
        <f ca="1">'EF ele_warmte'!B12</f>
        <v>0.2110236081247864</v>
      </c>
      <c r="C10" s="25">
        <f ca="1">'EF ele_warmte'!B22</f>
        <v>0.22089745563418042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6277.677633363488</v>
      </c>
      <c r="C12" s="23">
        <f ca="1">C10*C8</f>
        <v>0</v>
      </c>
      <c r="D12" s="23">
        <f>D8*D10</f>
        <v>14361.444550300295</v>
      </c>
      <c r="E12" s="23">
        <f>E10*E8</f>
        <v>239.59030808635859</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3973</v>
      </c>
      <c r="C18" s="166" t="s">
        <v>111</v>
      </c>
      <c r="D18" s="228"/>
      <c r="E18" s="15"/>
    </row>
    <row r="19" spans="1:7">
      <c r="A19" s="171" t="s">
        <v>72</v>
      </c>
      <c r="B19" s="37">
        <f>aantalw2001_ander</f>
        <v>11</v>
      </c>
      <c r="C19" s="166" t="s">
        <v>111</v>
      </c>
      <c r="D19" s="229"/>
      <c r="E19" s="15"/>
    </row>
    <row r="20" spans="1:7">
      <c r="A20" s="171" t="s">
        <v>73</v>
      </c>
      <c r="B20" s="37">
        <f>aantalw2001_propaan</f>
        <v>28</v>
      </c>
      <c r="C20" s="167">
        <f>IF(ISERROR(B20/SUM($B$20,$B$21,$B$22)*100),0,B20/SUM($B$20,$B$21,$B$22)*100)</f>
        <v>4.4799999999999995</v>
      </c>
      <c r="D20" s="229"/>
      <c r="E20" s="15"/>
    </row>
    <row r="21" spans="1:7">
      <c r="A21" s="171" t="s">
        <v>74</v>
      </c>
      <c r="B21" s="37">
        <f>aantalw2001_elektriciteit</f>
        <v>541</v>
      </c>
      <c r="C21" s="167">
        <f>IF(ISERROR(B21/SUM($B$20,$B$21,$B$22)*100),0,B21/SUM($B$20,$B$21,$B$22)*100)</f>
        <v>86.56</v>
      </c>
      <c r="D21" s="229"/>
      <c r="E21" s="15"/>
    </row>
    <row r="22" spans="1:7">
      <c r="A22" s="171" t="s">
        <v>75</v>
      </c>
      <c r="B22" s="37">
        <f>aantalw2001_hout</f>
        <v>56</v>
      </c>
      <c r="C22" s="167">
        <f>IF(ISERROR(B22/SUM($B$20,$B$21,$B$22)*100),0,B22/SUM($B$20,$B$21,$B$22)*100)</f>
        <v>8.9599999999999991</v>
      </c>
      <c r="D22" s="229"/>
      <c r="E22" s="15"/>
    </row>
    <row r="23" spans="1:7">
      <c r="A23" s="171" t="s">
        <v>76</v>
      </c>
      <c r="B23" s="37">
        <f>aantalw2001_niet_gespec</f>
        <v>72</v>
      </c>
      <c r="C23" s="166" t="s">
        <v>111</v>
      </c>
      <c r="D23" s="228"/>
      <c r="E23" s="15"/>
    </row>
    <row r="24" spans="1:7">
      <c r="A24" s="171" t="s">
        <v>77</v>
      </c>
      <c r="B24" s="37">
        <f>aantalw2001_steenkool</f>
        <v>142</v>
      </c>
      <c r="C24" s="166" t="s">
        <v>111</v>
      </c>
      <c r="D24" s="229"/>
      <c r="E24" s="15"/>
    </row>
    <row r="25" spans="1:7">
      <c r="A25" s="171" t="s">
        <v>78</v>
      </c>
      <c r="B25" s="37">
        <f>aantalw2001_stookolie</f>
        <v>1380</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7085</v>
      </c>
      <c r="C28" s="36"/>
      <c r="D28" s="228"/>
    </row>
    <row r="29" spans="1:7" s="15" customFormat="1">
      <c r="A29" s="230" t="s">
        <v>741</v>
      </c>
      <c r="B29" s="37">
        <f>SUM(HH_hh_gas_aantal,HH_rest_gas_aantal)</f>
        <v>5478</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5478</v>
      </c>
      <c r="C32" s="167">
        <f>IF(ISERROR(B32/SUM($B$32,$B$34,$B$35,$B$36,$B$38,$B$39)*100),0,B32/SUM($B$32,$B$34,$B$35,$B$36,$B$38,$B$39)*100)</f>
        <v>77.625053138727509</v>
      </c>
      <c r="D32" s="233"/>
      <c r="G32" s="15"/>
    </row>
    <row r="33" spans="1:7">
      <c r="A33" s="171" t="s">
        <v>72</v>
      </c>
      <c r="B33" s="34" t="s">
        <v>111</v>
      </c>
      <c r="C33" s="167"/>
      <c r="D33" s="233"/>
      <c r="G33" s="15"/>
    </row>
    <row r="34" spans="1:7">
      <c r="A34" s="171" t="s">
        <v>73</v>
      </c>
      <c r="B34" s="33">
        <f>IF((($B$28-$B$32-$B$39-$B$77-$B$38)*C20/100)&lt;0,0,($B$28-$B$32-$B$39-$B$77-$B$38)*C20/100)</f>
        <v>70.739199999999997</v>
      </c>
      <c r="C34" s="167">
        <f>IF(ISERROR(B34/SUM($B$32,$B$34,$B$35,$B$36,$B$38,$B$39)*100),0,B34/SUM($B$32,$B$34,$B$35,$B$36,$B$38,$B$39)*100)</f>
        <v>1.0023976193850077</v>
      </c>
      <c r="D34" s="233"/>
      <c r="G34" s="15"/>
    </row>
    <row r="35" spans="1:7">
      <c r="A35" s="171" t="s">
        <v>74</v>
      </c>
      <c r="B35" s="33">
        <f>IF((($B$28-$B$32-$B$39-$B$77-$B$38)*C21/100)&lt;0,0,($B$28-$B$32-$B$39-$B$77-$B$38)*C21/100)</f>
        <v>1366.7823999999998</v>
      </c>
      <c r="C35" s="167">
        <f>IF(ISERROR(B35/SUM($B$32,$B$34,$B$35,$B$36,$B$38,$B$39)*100),0,B35/SUM($B$32,$B$34,$B$35,$B$36,$B$38,$B$39)*100)</f>
        <v>19.367754003117469</v>
      </c>
      <c r="D35" s="233"/>
      <c r="G35" s="15"/>
    </row>
    <row r="36" spans="1:7">
      <c r="A36" s="171" t="s">
        <v>75</v>
      </c>
      <c r="B36" s="33">
        <f>IF((($B$28-$B$32-$B$39-$B$77-$B$38)*C22/100)&lt;0,0,($B$28-$B$32-$B$39-$B$77-$B$38)*C22/100)</f>
        <v>141.47839999999999</v>
      </c>
      <c r="C36" s="167">
        <f>IF(ISERROR(B36/SUM($B$32,$B$34,$B$35,$B$36,$B$38,$B$39)*100),0,B36/SUM($B$32,$B$34,$B$35,$B$36,$B$38,$B$39)*100)</f>
        <v>2.0047952387700154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5478</v>
      </c>
      <c r="C44" s="34" t="s">
        <v>111</v>
      </c>
      <c r="D44" s="174"/>
    </row>
    <row r="45" spans="1:7">
      <c r="A45" s="171" t="s">
        <v>72</v>
      </c>
      <c r="B45" s="33" t="str">
        <f t="shared" si="0"/>
        <v>-</v>
      </c>
      <c r="C45" s="34" t="s">
        <v>111</v>
      </c>
      <c r="D45" s="174"/>
    </row>
    <row r="46" spans="1:7">
      <c r="A46" s="171" t="s">
        <v>73</v>
      </c>
      <c r="B46" s="33">
        <f t="shared" si="0"/>
        <v>70.739199999999997</v>
      </c>
      <c r="C46" s="34" t="s">
        <v>111</v>
      </c>
      <c r="D46" s="174"/>
    </row>
    <row r="47" spans="1:7">
      <c r="A47" s="171" t="s">
        <v>74</v>
      </c>
      <c r="B47" s="33">
        <f t="shared" si="0"/>
        <v>1366.7823999999998</v>
      </c>
      <c r="C47" s="34" t="s">
        <v>111</v>
      </c>
      <c r="D47" s="174"/>
    </row>
    <row r="48" spans="1:7">
      <c r="A48" s="171" t="s">
        <v>75</v>
      </c>
      <c r="B48" s="33">
        <f t="shared" si="0"/>
        <v>141.47839999999999</v>
      </c>
      <c r="C48" s="33">
        <f>B48*10</f>
        <v>1414.7839999999999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125</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28</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34339.225399999996</v>
      </c>
      <c r="C5" s="17">
        <f>IF(ISERROR('Eigen informatie GS &amp; warmtenet'!B58),0,'Eigen informatie GS &amp; warmtenet'!B58)</f>
        <v>0</v>
      </c>
      <c r="D5" s="30">
        <f>SUM(D6:D12)</f>
        <v>35043.239332285993</v>
      </c>
      <c r="E5" s="17">
        <f>SUM(E6:E12)</f>
        <v>188.67421494084425</v>
      </c>
      <c r="F5" s="17">
        <f>SUM(F6:F12)</f>
        <v>6049.6448863483238</v>
      </c>
      <c r="G5" s="18"/>
      <c r="H5" s="17"/>
      <c r="I5" s="17"/>
      <c r="J5" s="17">
        <f>SUM(J6:J12)</f>
        <v>0</v>
      </c>
      <c r="K5" s="17"/>
      <c r="L5" s="17"/>
      <c r="M5" s="17"/>
      <c r="N5" s="17">
        <f>SUM(N6:N12)</f>
        <v>11528.857535317184</v>
      </c>
      <c r="O5" s="17">
        <f>B38*B39*B40</f>
        <v>1.5633333333333335</v>
      </c>
      <c r="P5" s="17">
        <f>B46*B47*B48/1000-B46*B47*B48/1000/B49</f>
        <v>0</v>
      </c>
      <c r="R5" s="32"/>
    </row>
    <row r="6" spans="1:18">
      <c r="A6" s="32" t="s">
        <v>54</v>
      </c>
      <c r="B6" s="37">
        <f>B26</f>
        <v>2730.8620000000001</v>
      </c>
      <c r="C6" s="33"/>
      <c r="D6" s="37">
        <f>IF(ISERROR(TER_kantoor_gas_kWh/1000),0,TER_kantoor_gas_kWh/1000)*0.902</f>
        <v>4593.5844274532392</v>
      </c>
      <c r="E6" s="33">
        <f>$C$26*'E Balans VL '!I12/100/3.6*1000000</f>
        <v>7.9117078882680456</v>
      </c>
      <c r="F6" s="33">
        <f>$C$26*('E Balans VL '!L12+'E Balans VL '!N12)/100/3.6*1000000</f>
        <v>309.07341284536352</v>
      </c>
      <c r="G6" s="34"/>
      <c r="H6" s="33"/>
      <c r="I6" s="33"/>
      <c r="J6" s="33">
        <f>$C$26*('E Balans VL '!D12+'E Balans VL '!E12)/100/3.6*1000000</f>
        <v>0</v>
      </c>
      <c r="K6" s="33"/>
      <c r="L6" s="33"/>
      <c r="M6" s="33"/>
      <c r="N6" s="33">
        <f>$C$26*'E Balans VL '!Y12/100/3.6*1000000</f>
        <v>27.333916431036648</v>
      </c>
      <c r="O6" s="33"/>
      <c r="P6" s="33"/>
      <c r="R6" s="32"/>
    </row>
    <row r="7" spans="1:18">
      <c r="A7" s="32" t="s">
        <v>53</v>
      </c>
      <c r="B7" s="37">
        <f t="shared" ref="B7:B12" si="0">B27</f>
        <v>1288.2070000000001</v>
      </c>
      <c r="C7" s="33"/>
      <c r="D7" s="37">
        <f>IF(ISERROR(TER_horeca_gas_kWh/1000),0,TER_horeca_gas_kWh/1000)*0.902</f>
        <v>1425.0227704440174</v>
      </c>
      <c r="E7" s="33">
        <f>$C$27*'E Balans VL '!I9/100/3.6*1000000</f>
        <v>54.075330680775586</v>
      </c>
      <c r="F7" s="33">
        <f>$C$27*('E Balans VL '!L9+'E Balans VL '!N9)/100/3.6*1000000</f>
        <v>276.79769112258225</v>
      </c>
      <c r="G7" s="34"/>
      <c r="H7" s="33"/>
      <c r="I7" s="33"/>
      <c r="J7" s="33">
        <f>$C$27*('E Balans VL '!D9+'E Balans VL '!E9)/100/3.6*1000000</f>
        <v>0</v>
      </c>
      <c r="K7" s="33"/>
      <c r="L7" s="33"/>
      <c r="M7" s="33"/>
      <c r="N7" s="33">
        <f>$C$27*'E Balans VL '!Y9/100/3.6*1000000</f>
        <v>0.33195967812109289</v>
      </c>
      <c r="O7" s="33"/>
      <c r="P7" s="33"/>
      <c r="R7" s="32"/>
    </row>
    <row r="8" spans="1:18">
      <c r="A8" s="6" t="s">
        <v>52</v>
      </c>
      <c r="B8" s="37">
        <f t="shared" si="0"/>
        <v>3260.931</v>
      </c>
      <c r="C8" s="33"/>
      <c r="D8" s="37">
        <f>IF(ISERROR(TER_handel_gas_kWh/1000),0,TER_handel_gas_kWh/1000)*0.902</f>
        <v>1865.0112263871044</v>
      </c>
      <c r="E8" s="33">
        <f>$C$28*'E Balans VL '!I13/100/3.6*1000000</f>
        <v>35.025112935721658</v>
      </c>
      <c r="F8" s="33">
        <f>$C$28*('E Balans VL '!L13+'E Balans VL '!N13)/100/3.6*1000000</f>
        <v>422.15444616307849</v>
      </c>
      <c r="G8" s="34"/>
      <c r="H8" s="33"/>
      <c r="I8" s="33"/>
      <c r="J8" s="33">
        <f>$C$28*('E Balans VL '!D13+'E Balans VL '!E13)/100/3.6*1000000</f>
        <v>0</v>
      </c>
      <c r="K8" s="33"/>
      <c r="L8" s="33"/>
      <c r="M8" s="33"/>
      <c r="N8" s="33">
        <f>$C$28*'E Balans VL '!Y13/100/3.6*1000000</f>
        <v>26.452850326574332</v>
      </c>
      <c r="O8" s="33"/>
      <c r="P8" s="33"/>
      <c r="R8" s="32"/>
    </row>
    <row r="9" spans="1:18">
      <c r="A9" s="32" t="s">
        <v>51</v>
      </c>
      <c r="B9" s="37">
        <f t="shared" si="0"/>
        <v>7404.9889999999996</v>
      </c>
      <c r="C9" s="33"/>
      <c r="D9" s="37">
        <f>IF(ISERROR(TER_gezond_gas_kWh/1000),0,TER_gezond_gas_kWh/1000)*0.902</f>
        <v>14313.192518115902</v>
      </c>
      <c r="E9" s="33">
        <f>$C$29*'E Balans VL '!I10/100/3.6*1000000</f>
        <v>5.8948501858572877</v>
      </c>
      <c r="F9" s="33">
        <f>$C$29*('E Balans VL '!L10+'E Balans VL '!N10)/100/3.6*1000000</f>
        <v>900.18342467963987</v>
      </c>
      <c r="G9" s="34"/>
      <c r="H9" s="33"/>
      <c r="I9" s="33"/>
      <c r="J9" s="33">
        <f>$C$29*('E Balans VL '!D10+'E Balans VL '!E10)/100/3.6*1000000</f>
        <v>0</v>
      </c>
      <c r="K9" s="33"/>
      <c r="L9" s="33"/>
      <c r="M9" s="33"/>
      <c r="N9" s="33">
        <f>$C$29*'E Balans VL '!Y10/100/3.6*1000000</f>
        <v>59.815539319063483</v>
      </c>
      <c r="O9" s="33"/>
      <c r="P9" s="33"/>
      <c r="R9" s="32"/>
    </row>
    <row r="10" spans="1:18">
      <c r="A10" s="32" t="s">
        <v>50</v>
      </c>
      <c r="B10" s="37">
        <f t="shared" si="0"/>
        <v>15783.986000000001</v>
      </c>
      <c r="C10" s="33"/>
      <c r="D10" s="37">
        <f>IF(ISERROR(TER_ander_gas_kWh/1000),0,TER_ander_gas_kWh/1000)*0.902</f>
        <v>4763.7613813756006</v>
      </c>
      <c r="E10" s="33">
        <f>$C$30*'E Balans VL '!I14/100/3.6*1000000</f>
        <v>54.09254920633466</v>
      </c>
      <c r="F10" s="33">
        <f>$C$30*('E Balans VL '!L14+'E Balans VL '!N14)/100/3.6*1000000</f>
        <v>3525.5010867619449</v>
      </c>
      <c r="G10" s="34"/>
      <c r="H10" s="33"/>
      <c r="I10" s="33"/>
      <c r="J10" s="33">
        <f>$C$30*('E Balans VL '!D14+'E Balans VL '!E14)/100/3.6*1000000</f>
        <v>0</v>
      </c>
      <c r="K10" s="33"/>
      <c r="L10" s="33"/>
      <c r="M10" s="33"/>
      <c r="N10" s="33">
        <f>$C$30*'E Balans VL '!Y14/100/3.6*1000000</f>
        <v>11118.325964630028</v>
      </c>
      <c r="O10" s="33"/>
      <c r="P10" s="33"/>
      <c r="R10" s="32"/>
    </row>
    <row r="11" spans="1:18">
      <c r="A11" s="32" t="s">
        <v>55</v>
      </c>
      <c r="B11" s="37">
        <f t="shared" si="0"/>
        <v>397.23340000000002</v>
      </c>
      <c r="C11" s="33"/>
      <c r="D11" s="37">
        <f>IF(ISERROR(TER_onderwijs_gas_kWh/1000),0,TER_onderwijs_gas_kWh/1000)*0.902</f>
        <v>721.66384146515009</v>
      </c>
      <c r="E11" s="33">
        <f>$C$31*'E Balans VL '!I11/100/3.6*1000000</f>
        <v>0.27459521559409733</v>
      </c>
      <c r="F11" s="33">
        <f>$C$31*('E Balans VL '!L11+'E Balans VL '!N11)/100/3.6*1000000</f>
        <v>103.98416527265958</v>
      </c>
      <c r="G11" s="34"/>
      <c r="H11" s="33"/>
      <c r="I11" s="33"/>
      <c r="J11" s="33">
        <f>$C$31*('E Balans VL '!D11+'E Balans VL '!E11)/100/3.6*1000000</f>
        <v>0</v>
      </c>
      <c r="K11" s="33"/>
      <c r="L11" s="33"/>
      <c r="M11" s="33"/>
      <c r="N11" s="33">
        <f>$C$31*'E Balans VL '!Y11/100/3.6*1000000</f>
        <v>0.39541201599829623</v>
      </c>
      <c r="O11" s="33"/>
      <c r="P11" s="33"/>
      <c r="R11" s="32"/>
    </row>
    <row r="12" spans="1:18">
      <c r="A12" s="32" t="s">
        <v>260</v>
      </c>
      <c r="B12" s="37">
        <f t="shared" si="0"/>
        <v>3473.0169999999998</v>
      </c>
      <c r="C12" s="33"/>
      <c r="D12" s="37">
        <f>IF(ISERROR(TER_rest_gas_kWh/1000),0,TER_rest_gas_kWh/1000)*0.902</f>
        <v>7361.0031670449825</v>
      </c>
      <c r="E12" s="33">
        <f>$C$32*'E Balans VL '!I8/100/3.6*1000000</f>
        <v>31.400068828292909</v>
      </c>
      <c r="F12" s="33">
        <f>$C$32*('E Balans VL '!L8+'E Balans VL '!N8)/100/3.6*1000000</f>
        <v>511.95065950305542</v>
      </c>
      <c r="G12" s="34"/>
      <c r="H12" s="33"/>
      <c r="I12" s="33"/>
      <c r="J12" s="33">
        <f>$C$32*('E Balans VL '!D8+'E Balans VL '!E8)/100/3.6*1000000</f>
        <v>0</v>
      </c>
      <c r="K12" s="33"/>
      <c r="L12" s="33"/>
      <c r="M12" s="33"/>
      <c r="N12" s="33">
        <f>$C$32*'E Balans VL '!Y8/100/3.6*1000000</f>
        <v>296.20189291636143</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34339.225399999996</v>
      </c>
      <c r="C16" s="21">
        <f t="shared" ca="1" si="1"/>
        <v>0</v>
      </c>
      <c r="D16" s="21">
        <f t="shared" ca="1" si="1"/>
        <v>35043.239332285993</v>
      </c>
      <c r="E16" s="21">
        <f t="shared" si="1"/>
        <v>188.67421494084425</v>
      </c>
      <c r="F16" s="21">
        <f t="shared" ca="1" si="1"/>
        <v>6049.6448863483238</v>
      </c>
      <c r="G16" s="21">
        <f t="shared" si="1"/>
        <v>0</v>
      </c>
      <c r="H16" s="21">
        <f t="shared" si="1"/>
        <v>0</v>
      </c>
      <c r="I16" s="21">
        <f t="shared" si="1"/>
        <v>0</v>
      </c>
      <c r="J16" s="21">
        <f t="shared" si="1"/>
        <v>0</v>
      </c>
      <c r="K16" s="21">
        <f t="shared" si="1"/>
        <v>0</v>
      </c>
      <c r="L16" s="21">
        <f t="shared" ca="1" si="1"/>
        <v>0</v>
      </c>
      <c r="M16" s="21">
        <f t="shared" si="1"/>
        <v>0</v>
      </c>
      <c r="N16" s="21">
        <f t="shared" ca="1" si="1"/>
        <v>11528.857535317184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0.2110236081247864</v>
      </c>
      <c r="C18" s="25">
        <f ca="1">'EF ele_warmte'!B22</f>
        <v>0.22089745563418042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7246.3872441183112</v>
      </c>
      <c r="C20" s="23">
        <f t="shared" ref="C20:P20" ca="1" si="2">C16*C18</f>
        <v>0</v>
      </c>
      <c r="D20" s="23">
        <f t="shared" ca="1" si="2"/>
        <v>7078.7343451217712</v>
      </c>
      <c r="E20" s="23">
        <f t="shared" si="2"/>
        <v>42.829046791571649</v>
      </c>
      <c r="F20" s="23">
        <f t="shared" ca="1" si="2"/>
        <v>1615.2551846550025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2730.8620000000001</v>
      </c>
      <c r="C26" s="39">
        <f>IF(ISERROR(B26*3.6/1000000/'E Balans VL '!Z12*100),0,B26*3.6/1000000/'E Balans VL '!Z12*100)</f>
        <v>5.9986541022624573E-2</v>
      </c>
      <c r="D26" s="237" t="s">
        <v>692</v>
      </c>
      <c r="F26" s="6"/>
    </row>
    <row r="27" spans="1:18">
      <c r="A27" s="231" t="s">
        <v>53</v>
      </c>
      <c r="B27" s="33">
        <f>IF(ISERROR(TER_horeca_ele_kWh/1000),0,TER_horeca_ele_kWh/1000)</f>
        <v>1288.2070000000001</v>
      </c>
      <c r="C27" s="39">
        <f>IF(ISERROR(B27*3.6/1000000/'E Balans VL '!Z9*100),0,B27*3.6/1000000/'E Balans VL '!Z9*100)</f>
        <v>0.10352027344904208</v>
      </c>
      <c r="D27" s="237" t="s">
        <v>692</v>
      </c>
      <c r="F27" s="6"/>
    </row>
    <row r="28" spans="1:18">
      <c r="A28" s="171" t="s">
        <v>52</v>
      </c>
      <c r="B28" s="33">
        <f>IF(ISERROR(TER_handel_ele_kWh/1000),0,TER_handel_ele_kWh/1000)</f>
        <v>3260.931</v>
      </c>
      <c r="C28" s="39">
        <f>IF(ISERROR(B28*3.6/1000000/'E Balans VL '!Z13*100),0,B28*3.6/1000000/'E Balans VL '!Z13*100)</f>
        <v>9.6423451535770394E-2</v>
      </c>
      <c r="D28" s="237" t="s">
        <v>692</v>
      </c>
      <c r="F28" s="6"/>
    </row>
    <row r="29" spans="1:18">
      <c r="A29" s="231" t="s">
        <v>51</v>
      </c>
      <c r="B29" s="33">
        <f>IF(ISERROR(TER_gezond_ele_kWh/1000),0,TER_gezond_ele_kWh/1000)</f>
        <v>7404.9889999999996</v>
      </c>
      <c r="C29" s="39">
        <f>IF(ISERROR(B29*3.6/1000000/'E Balans VL '!Z10*100),0,B29*3.6/1000000/'E Balans VL '!Z10*100)</f>
        <v>0.83435108033657635</v>
      </c>
      <c r="D29" s="237" t="s">
        <v>692</v>
      </c>
      <c r="F29" s="6"/>
    </row>
    <row r="30" spans="1:18">
      <c r="A30" s="231" t="s">
        <v>50</v>
      </c>
      <c r="B30" s="33">
        <f>IF(ISERROR(TER_ander_ele_kWh/1000),0,TER_ander_ele_kWh/1000)</f>
        <v>15783.986000000001</v>
      </c>
      <c r="C30" s="39">
        <f>IF(ISERROR(B30*3.6/1000000/'E Balans VL '!Z14*100),0,B30*3.6/1000000/'E Balans VL '!Z14*100)</f>
        <v>1.1937158796746894</v>
      </c>
      <c r="D30" s="237" t="s">
        <v>692</v>
      </c>
      <c r="F30" s="6"/>
    </row>
    <row r="31" spans="1:18">
      <c r="A31" s="231" t="s">
        <v>55</v>
      </c>
      <c r="B31" s="33">
        <f>IF(ISERROR(TER_onderwijs_ele_kWh/1000),0,TER_onderwijs_ele_kWh/1000)</f>
        <v>397.23340000000002</v>
      </c>
      <c r="C31" s="39">
        <f>IF(ISERROR(B31*3.6/1000000/'E Balans VL '!Z11*100),0,B31*3.6/1000000/'E Balans VL '!Z11*100)</f>
        <v>8.2456432462496634E-2</v>
      </c>
      <c r="D31" s="237" t="s">
        <v>692</v>
      </c>
    </row>
    <row r="32" spans="1:18">
      <c r="A32" s="231" t="s">
        <v>260</v>
      </c>
      <c r="B32" s="33">
        <f>IF(ISERROR(TER_rest_ele_kWh/1000),0,TER_rest_ele_kWh/1000)</f>
        <v>3473.0169999999998</v>
      </c>
      <c r="C32" s="39">
        <f>IF(ISERROR(B32*3.6/1000000/'E Balans VL '!Z8*100),0,B32*3.6/1000000/'E Balans VL '!Z8*100)</f>
        <v>2.9258125118287983E-2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88788.972999999998</v>
      </c>
      <c r="C5" s="17">
        <f>IF(ISERROR('Eigen informatie GS &amp; warmtenet'!B59),0,'Eigen informatie GS &amp; warmtenet'!B59)</f>
        <v>0</v>
      </c>
      <c r="D5" s="30">
        <f>SUM(D6:D15)</f>
        <v>357554.08114973881</v>
      </c>
      <c r="E5" s="17">
        <f>SUM(E6:E15)</f>
        <v>929.1819447579486</v>
      </c>
      <c r="F5" s="17">
        <f>SUM(F6:F15)</f>
        <v>5396.4625043435426</v>
      </c>
      <c r="G5" s="18"/>
      <c r="H5" s="17"/>
      <c r="I5" s="17"/>
      <c r="J5" s="17">
        <f>SUM(J6:J15)</f>
        <v>53.738980006669557</v>
      </c>
      <c r="K5" s="17"/>
      <c r="L5" s="17"/>
      <c r="M5" s="17"/>
      <c r="N5" s="17">
        <f>SUM(N6:N15)</f>
        <v>34752.031060134446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468.11279999999999</v>
      </c>
      <c r="C8" s="33"/>
      <c r="D8" s="37">
        <f>IF( ISERROR(IND_metaal_Gas_kWH/1000),0,IND_metaal_Gas_kWH/1000)*0.902</f>
        <v>140.39383139447915</v>
      </c>
      <c r="E8" s="33">
        <f>C30*'E Balans VL '!I18/100/3.6*1000000</f>
        <v>11.715225024299569</v>
      </c>
      <c r="F8" s="33">
        <f>C30*'E Balans VL '!L18/100/3.6*1000000+C30*'E Balans VL '!N18/100/3.6*1000000</f>
        <v>146.70888003281786</v>
      </c>
      <c r="G8" s="34"/>
      <c r="H8" s="33"/>
      <c r="I8" s="33"/>
      <c r="J8" s="40">
        <f>C30*'E Balans VL '!D18/100/3.6*1000000+C30*'E Balans VL '!E18/100/3.6*1000000</f>
        <v>0</v>
      </c>
      <c r="K8" s="33"/>
      <c r="L8" s="33"/>
      <c r="M8" s="33"/>
      <c r="N8" s="33">
        <f>C30*'E Balans VL '!Y18/100/3.6*1000000</f>
        <v>11.760208394652489</v>
      </c>
      <c r="O8" s="33"/>
      <c r="P8" s="33"/>
      <c r="R8" s="32"/>
    </row>
    <row r="9" spans="1:18">
      <c r="A9" s="6" t="s">
        <v>33</v>
      </c>
      <c r="B9" s="37">
        <f t="shared" si="0"/>
        <v>760.93790000000001</v>
      </c>
      <c r="C9" s="33"/>
      <c r="D9" s="37">
        <f>IF( ISERROR(IND_andere_gas_kWh/1000),0,IND_andere_gas_kWh/1000)*0.902</f>
        <v>1120.294332952571</v>
      </c>
      <c r="E9" s="33">
        <f>C31*'E Balans VL '!I19/100/3.6*1000000</f>
        <v>209.22671258972773</v>
      </c>
      <c r="F9" s="33">
        <f>C31*'E Balans VL '!L19/100/3.6*1000000+C31*'E Balans VL '!N19/100/3.6*1000000</f>
        <v>599.75147790156166</v>
      </c>
      <c r="G9" s="34"/>
      <c r="H9" s="33"/>
      <c r="I9" s="33"/>
      <c r="J9" s="40">
        <f>C31*'E Balans VL '!D19/100/3.6*1000000+C31*'E Balans VL '!E19/100/3.6*1000000</f>
        <v>0</v>
      </c>
      <c r="K9" s="33"/>
      <c r="L9" s="33"/>
      <c r="M9" s="33"/>
      <c r="N9" s="33">
        <f>C31*'E Balans VL '!Y19/100/3.6*1000000</f>
        <v>246.3356836294864</v>
      </c>
      <c r="O9" s="33"/>
      <c r="P9" s="33"/>
      <c r="R9" s="32"/>
    </row>
    <row r="10" spans="1:18">
      <c r="A10" s="6" t="s">
        <v>41</v>
      </c>
      <c r="B10" s="37">
        <f t="shared" si="0"/>
        <v>363.39929999999998</v>
      </c>
      <c r="C10" s="33"/>
      <c r="D10" s="37">
        <f>IF( ISERROR(IND_voed_gas_kWh/1000),0,IND_voed_gas_kWh/1000)*0.902</f>
        <v>58.665027781702584</v>
      </c>
      <c r="E10" s="33">
        <f>C32*'E Balans VL '!I20/100/3.6*1000000</f>
        <v>3.7046556656832963</v>
      </c>
      <c r="F10" s="33">
        <f>C32*'E Balans VL '!L20/100/3.6*1000000+C32*'E Balans VL '!N20/100/3.6*1000000</f>
        <v>686.45900485677828</v>
      </c>
      <c r="G10" s="34"/>
      <c r="H10" s="33"/>
      <c r="I10" s="33"/>
      <c r="J10" s="40">
        <f>C32*'E Balans VL '!D20/100/3.6*1000000+C32*'E Balans VL '!E20/100/3.6*1000000</f>
        <v>8.6973342968928922</v>
      </c>
      <c r="K10" s="33"/>
      <c r="L10" s="33"/>
      <c r="M10" s="33"/>
      <c r="N10" s="33">
        <f>C32*'E Balans VL '!Y20/100/3.6*1000000</f>
        <v>191.55328956652559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76460.384999999995</v>
      </c>
      <c r="C13" s="33"/>
      <c r="D13" s="37">
        <f>IF( ISERROR(IND_papier_gas_kWh/1000),0,IND_papier_gas_kWh/1000)*0.902</f>
        <v>84.806005267517278</v>
      </c>
      <c r="E13" s="33">
        <f>C35*'E Balans VL '!I23/100/3.6*1000000</f>
        <v>158.35461828671399</v>
      </c>
      <c r="F13" s="33">
        <f>C35*'E Balans VL '!L23/100/3.6*1000000+C35*'E Balans VL '!N23/100/3.6*1000000</f>
        <v>1516.3733525871066</v>
      </c>
      <c r="G13" s="34"/>
      <c r="H13" s="33"/>
      <c r="I13" s="33"/>
      <c r="J13" s="40">
        <f>C35*'E Balans VL '!D23/100/3.6*1000000+C35*'E Balans VL '!E23/100/3.6*1000000</f>
        <v>0</v>
      </c>
      <c r="K13" s="33"/>
      <c r="L13" s="33"/>
      <c r="M13" s="33"/>
      <c r="N13" s="33">
        <f>C35*'E Balans VL '!Y23/100/3.6*1000000</f>
        <v>32285.234612367734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10736.138000000001</v>
      </c>
      <c r="C15" s="33"/>
      <c r="D15" s="37">
        <f>IF( ISERROR(IND_rest_gas_kWh/1000),0,IND_rest_gas_kWh/1000)*0.902</f>
        <v>356149.92195234256</v>
      </c>
      <c r="E15" s="33">
        <f>C37*'E Balans VL '!I15/100/3.6*1000000</f>
        <v>546.18073319152404</v>
      </c>
      <c r="F15" s="33">
        <f>C37*'E Balans VL '!L15/100/3.6*1000000+C37*'E Balans VL '!N15/100/3.6*1000000</f>
        <v>2447.1697889652783</v>
      </c>
      <c r="G15" s="34"/>
      <c r="H15" s="33"/>
      <c r="I15" s="33"/>
      <c r="J15" s="40">
        <f>C37*'E Balans VL '!D15/100/3.6*1000000+C37*'E Balans VL '!E15/100/3.6*1000000</f>
        <v>45.041645709776667</v>
      </c>
      <c r="K15" s="33"/>
      <c r="L15" s="33"/>
      <c r="M15" s="33"/>
      <c r="N15" s="33">
        <f>C37*'E Balans VL '!Y15/100/3.6*1000000</f>
        <v>2017.1472661760477</v>
      </c>
      <c r="O15" s="33"/>
      <c r="P15" s="33"/>
      <c r="R15" s="32"/>
    </row>
    <row r="16" spans="1:18">
      <c r="A16" s="16" t="s">
        <v>494</v>
      </c>
      <c r="B16" s="247">
        <f>'lokale energieproductie'!N90+'lokale energieproductie'!N59</f>
        <v>7020</v>
      </c>
      <c r="C16" s="247">
        <f>'lokale energieproductie'!O90+'lokale energieproductie'!O59</f>
        <v>10028.571428571429</v>
      </c>
      <c r="D16" s="310">
        <f>('lokale energieproductie'!P59+'lokale energieproductie'!P90)*(-1)</f>
        <v>-20057.142857142859</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95808.972999999998</v>
      </c>
      <c r="C18" s="21">
        <f>C5+C16</f>
        <v>10028.571428571429</v>
      </c>
      <c r="D18" s="21">
        <f>MAX((D5+D16),0)</f>
        <v>337496.93829259597</v>
      </c>
      <c r="E18" s="21">
        <f>MAX((E5+E16),0)</f>
        <v>929.1819447579486</v>
      </c>
      <c r="F18" s="21">
        <f>MAX((F5+F16),0)</f>
        <v>5396.4625043435426</v>
      </c>
      <c r="G18" s="21"/>
      <c r="H18" s="21"/>
      <c r="I18" s="21"/>
      <c r="J18" s="21">
        <f>MAX((J5+J16),0)</f>
        <v>53.738980006669557</v>
      </c>
      <c r="K18" s="21"/>
      <c r="L18" s="21">
        <f>MAX((L5+L16),0)</f>
        <v>0</v>
      </c>
      <c r="M18" s="21"/>
      <c r="N18" s="21">
        <f>MAX((N5+N16),0)</f>
        <v>34752.031060134446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0.2110236081247864</v>
      </c>
      <c r="C20" s="25">
        <f ca="1">'EF ele_warmte'!B22</f>
        <v>0.22089745563418042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20217.955173190239</v>
      </c>
      <c r="C22" s="23">
        <f ca="1">C18*C20</f>
        <v>2215.2859122170667</v>
      </c>
      <c r="D22" s="23">
        <f>D18*D20</f>
        <v>68174.381535104389</v>
      </c>
      <c r="E22" s="23">
        <f>E18*E20</f>
        <v>210.92430146005435</v>
      </c>
      <c r="F22" s="23">
        <f>F18*F20</f>
        <v>1440.855488659726</v>
      </c>
      <c r="G22" s="23"/>
      <c r="H22" s="23"/>
      <c r="I22" s="23"/>
      <c r="J22" s="23">
        <f>J18*J20</f>
        <v>19.023598922361021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468.11279999999999</v>
      </c>
      <c r="C30" s="39">
        <f>IF(ISERROR(B30*3.6/1000000/'E Balans VL '!Z18*100),0,B30*3.6/1000000/'E Balans VL '!Z18*100)</f>
        <v>6.552019196860169E-2</v>
      </c>
      <c r="D30" s="237" t="s">
        <v>692</v>
      </c>
    </row>
    <row r="31" spans="1:18">
      <c r="A31" s="6" t="s">
        <v>33</v>
      </c>
      <c r="B31" s="37">
        <f>IF( ISERROR(IND_ander_ele_kWh/1000),0,IND_ander_ele_kWh/1000)</f>
        <v>760.93790000000001</v>
      </c>
      <c r="C31" s="39">
        <f>IF(ISERROR(B31*3.6/1000000/'E Balans VL '!Z19*100),0,B31*3.6/1000000/'E Balans VL '!Z19*100)</f>
        <v>3.3306128441334723E-2</v>
      </c>
      <c r="D31" s="237" t="s">
        <v>692</v>
      </c>
    </row>
    <row r="32" spans="1:18">
      <c r="A32" s="171" t="s">
        <v>41</v>
      </c>
      <c r="B32" s="37">
        <f>IF( ISERROR(IND_voed_ele_kWh/1000),0,IND_voed_ele_kWh/1000)</f>
        <v>363.39929999999998</v>
      </c>
      <c r="C32" s="39">
        <f>IF(ISERROR(B32*3.6/1000000/'E Balans VL '!Z20*100),0,B32*3.6/1000000/'E Balans VL '!Z20*100)</f>
        <v>8.9965598784501749E-2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76460.384999999995</v>
      </c>
      <c r="C35" s="39">
        <f>IF(ISERROR(B35*3.6/1000000/'E Balans VL '!Z22*100),0,B35*3.6/1000000/'E Balans VL '!Z22*100)</f>
        <v>2.1696337846943319</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10736.138000000001</v>
      </c>
      <c r="C37" s="39">
        <f>IF(ISERROR(B37*3.6/1000000/'E Balans VL '!Z15*100),0,B37*3.6/1000000/'E Balans VL '!Z15*100)</f>
        <v>7.9606625165392367E-2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9806.2261999999992</v>
      </c>
      <c r="C5" s="17">
        <f>'Eigen informatie GS &amp; warmtenet'!B60</f>
        <v>0</v>
      </c>
      <c r="D5" s="30">
        <f>IF(ISERROR(SUM(LB_lb_gas_kWh,LB_rest_gas_kWh)/1000),0,SUM(LB_lb_gas_kWh,LB_rest_gas_kWh)/1000)*0.902</f>
        <v>241914.97287582653</v>
      </c>
      <c r="E5" s="17">
        <f>B17*'E Balans VL '!I25/3.6*1000000/100</f>
        <v>90.829374289476604</v>
      </c>
      <c r="F5" s="17">
        <f>B17*('E Balans VL '!L25/3.6*1000000+'E Balans VL '!N25/3.6*1000000)/100</f>
        <v>24880.263953574035</v>
      </c>
      <c r="G5" s="18"/>
      <c r="H5" s="17"/>
      <c r="I5" s="17"/>
      <c r="J5" s="17">
        <f>('E Balans VL '!D25+'E Balans VL '!E25)/3.6*1000000*landbouw!B17/100</f>
        <v>1503.4039142637967</v>
      </c>
      <c r="K5" s="17"/>
      <c r="L5" s="17">
        <f>L6*(-1)</f>
        <v>0</v>
      </c>
      <c r="M5" s="17"/>
      <c r="N5" s="17">
        <f>N6*(-1)</f>
        <v>17572.5</v>
      </c>
      <c r="O5" s="17"/>
      <c r="P5" s="17"/>
      <c r="R5" s="32"/>
    </row>
    <row r="6" spans="1:18">
      <c r="A6" s="16" t="s">
        <v>494</v>
      </c>
      <c r="B6" s="17" t="s">
        <v>211</v>
      </c>
      <c r="C6" s="17">
        <f>'lokale energieproductie'!O92+'lokale energieproductie'!O61</f>
        <v>113754.05357142857</v>
      </c>
      <c r="D6" s="310">
        <f>('lokale energieproductie'!P61+'lokale energieproductie'!P92)*(-1)</f>
        <v>-211692.85714285716</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-17572.5</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9806.2261999999992</v>
      </c>
      <c r="C8" s="21">
        <f>C5+C6</f>
        <v>113754.05357142857</v>
      </c>
      <c r="D8" s="21">
        <f>MAX((D5+D6),0)</f>
        <v>30222.115732969367</v>
      </c>
      <c r="E8" s="21">
        <f>MAX((E5+E6),0)</f>
        <v>90.829374289476604</v>
      </c>
      <c r="F8" s="21">
        <f>MAX((F5+F6),0)</f>
        <v>24880.263953574035</v>
      </c>
      <c r="G8" s="21"/>
      <c r="H8" s="21"/>
      <c r="I8" s="21"/>
      <c r="J8" s="21">
        <f>MAX((J5+J6),0)</f>
        <v>1503.4039142637967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0.2110236081247864</v>
      </c>
      <c r="C10" s="31">
        <f ca="1">'EF ele_warmte'!B22</f>
        <v>0.22089745563418042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2069.345234811813</v>
      </c>
      <c r="C12" s="23">
        <f ca="1">C8*C10</f>
        <v>25127.981002002824</v>
      </c>
      <c r="D12" s="23">
        <f>D8*D10</f>
        <v>6104.8673780598128</v>
      </c>
      <c r="E12" s="23">
        <f>E8*E10</f>
        <v>20.61826796371119</v>
      </c>
      <c r="F12" s="23">
        <f>F8*F10</f>
        <v>6643.0304756042678</v>
      </c>
      <c r="G12" s="23"/>
      <c r="H12" s="23"/>
      <c r="I12" s="23"/>
      <c r="J12" s="23">
        <f>J8*J10</f>
        <v>532.20498564938396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1.3942374377044098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47.279382534411553</v>
      </c>
      <c r="C26" s="247">
        <f>B26*'GWP N2O_CH4'!B5</f>
        <v>992.86703322264259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6.6488240975282169</v>
      </c>
      <c r="C27" s="247">
        <f>B27*'GWP N2O_CH4'!B5</f>
        <v>139.62530604809257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0.59028810501563844</v>
      </c>
      <c r="C28" s="247">
        <f>B28*'GWP N2O_CH4'!B4</f>
        <v>182.98931255484791</v>
      </c>
      <c r="D28" s="50"/>
    </row>
    <row r="29" spans="1:4">
      <c r="A29" s="41" t="s">
        <v>277</v>
      </c>
      <c r="B29" s="247">
        <f>B34*'ha_N2O bodem landbouw'!B4</f>
        <v>4.6073718547222065</v>
      </c>
      <c r="C29" s="247">
        <f>B29*'GWP N2O_CH4'!B4</f>
        <v>1428.2852749638839</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1.0333523375142531E-3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2.8079278157473041E-5</v>
      </c>
      <c r="C5" s="464" t="s">
        <v>211</v>
      </c>
      <c r="D5" s="449">
        <f>SUM(D6:D11)</f>
        <v>6.9889521016869549E-5</v>
      </c>
      <c r="E5" s="449">
        <f>SUM(E6:E11)</f>
        <v>4.4937290067309271E-4</v>
      </c>
      <c r="F5" s="462" t="s">
        <v>211</v>
      </c>
      <c r="G5" s="449">
        <f>SUM(G6:G11)</f>
        <v>0.13666780592120772</v>
      </c>
      <c r="H5" s="449">
        <f>SUM(H6:H11)</f>
        <v>2.6520424372841314E-2</v>
      </c>
      <c r="I5" s="464" t="s">
        <v>211</v>
      </c>
      <c r="J5" s="464" t="s">
        <v>211</v>
      </c>
      <c r="K5" s="464" t="s">
        <v>211</v>
      </c>
      <c r="L5" s="464" t="s">
        <v>211</v>
      </c>
      <c r="M5" s="449">
        <f>SUM(M6:M11)</f>
        <v>8.7220087644696871E-3</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2.5301569656341921E-5</v>
      </c>
      <c r="C6" s="450"/>
      <c r="D6" s="893">
        <f>vkm_2011_GW_PW*SUMIFS(TableVerdeelsleutelVkm[CNG],TableVerdeelsleutelVkm[Voertuigtype],"Lichte voertuigen")*SUMIFS(TableECFTransport[EnergieConsumptieFactor (PJ per km)],TableECFTransport[Index],CONCATENATE($A6,"_CNG_CNG"))</f>
        <v>5.8525316202545924E-5</v>
      </c>
      <c r="E6" s="893">
        <f>vkm_2011_GW_PW*SUMIFS(TableVerdeelsleutelVkm[LPG],TableVerdeelsleutelVkm[Voertuigtype],"Lichte voertuigen")*SUMIFS(TableECFTransport[EnergieConsumptieFactor (PJ per km)],TableECFTransport[Index],CONCATENATE($A6,"_LPG_LPG"))</f>
        <v>3.810815166624907E-4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7.916686574271381E-2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2.2315503420710217E-2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5.2664088819007185E-3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4.1994579146713652E-2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1.4361383411092453E-5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2.4296244397143843E-3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2.7777085011311206E-6</v>
      </c>
      <c r="C8" s="450"/>
      <c r="D8" s="452">
        <f>vkm_2011_NGW_PW*SUMIFS(TableVerdeelsleutelVkm[CNG],TableVerdeelsleutelVkm[Voertuigtype],"Lichte voertuigen")*SUMIFS(TableECFTransport[EnergieConsumptieFactor (PJ per km)],TableECFTransport[Index],CONCATENATE($A8,"_CNG_CNG"))</f>
        <v>1.1364204814323631E-5</v>
      </c>
      <c r="E8" s="452">
        <f>vkm_2011_NGW_PW*SUMIFS(TableVerdeelsleutelVkm[LPG],TableVerdeelsleutelVkm[Voertuigtype],"Lichte voertuigen")*SUMIFS(TableECFTransport[EnergieConsumptieFactor (PJ per km)],TableECFTransport[Index],CONCATENATE($A8,"_LPG_LPG"))</f>
        <v>6.8291384010602031E-5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1.3262086450409371E-2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4.1898333476083219E-3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8.9613270801676436E-4</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2.2442745813708821E-3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7.2622111168458363E-7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1.2984273483782126E-4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7.7997994881869559</v>
      </c>
      <c r="C14" s="21"/>
      <c r="D14" s="21">
        <f t="shared" ref="D14:M14" si="0">((D5)*10^9/3600)+D12</f>
        <v>19.41375583801932</v>
      </c>
      <c r="E14" s="21">
        <f t="shared" si="0"/>
        <v>124.82580574252574</v>
      </c>
      <c r="F14" s="21"/>
      <c r="G14" s="21">
        <f t="shared" si="0"/>
        <v>37963.279422557702</v>
      </c>
      <c r="H14" s="21">
        <f t="shared" si="0"/>
        <v>7366.7845480114756</v>
      </c>
      <c r="I14" s="21"/>
      <c r="J14" s="21"/>
      <c r="K14" s="21"/>
      <c r="L14" s="21"/>
      <c r="M14" s="21">
        <f t="shared" si="0"/>
        <v>2422.7802123526908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0.2110236081247864</v>
      </c>
      <c r="C16" s="56">
        <f ca="1">'EF ele_warmte'!B22</f>
        <v>0.22089745563418042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1.6459418306470737</v>
      </c>
      <c r="C18" s="23"/>
      <c r="D18" s="23">
        <f t="shared" ref="D18:M18" si="1">D14*D16</f>
        <v>3.9215786792799028</v>
      </c>
      <c r="E18" s="23">
        <f t="shared" si="1"/>
        <v>28.335457903553344</v>
      </c>
      <c r="F18" s="23"/>
      <c r="G18" s="23">
        <f t="shared" si="1"/>
        <v>10136.195605822906</v>
      </c>
      <c r="H18" s="23">
        <f t="shared" si="1"/>
        <v>1834.3293524548574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4.7288619961376385E-3</v>
      </c>
      <c r="H50" s="321">
        <f t="shared" si="2"/>
        <v>0</v>
      </c>
      <c r="I50" s="321">
        <f t="shared" si="2"/>
        <v>0</v>
      </c>
      <c r="J50" s="321">
        <f t="shared" si="2"/>
        <v>0</v>
      </c>
      <c r="K50" s="321">
        <f t="shared" si="2"/>
        <v>0</v>
      </c>
      <c r="L50" s="321">
        <f t="shared" si="2"/>
        <v>0</v>
      </c>
      <c r="M50" s="321">
        <f t="shared" si="2"/>
        <v>2.6967321426232821E-4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4.7288619961376385E-3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2.6967321426232821E-4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1313.5727767048995</v>
      </c>
      <c r="H54" s="21">
        <f t="shared" si="3"/>
        <v>0</v>
      </c>
      <c r="I54" s="21">
        <f t="shared" si="3"/>
        <v>0</v>
      </c>
      <c r="J54" s="21">
        <f t="shared" si="3"/>
        <v>0</v>
      </c>
      <c r="K54" s="21">
        <f t="shared" si="3"/>
        <v>0</v>
      </c>
      <c r="L54" s="21">
        <f t="shared" si="3"/>
        <v>0</v>
      </c>
      <c r="M54" s="21">
        <f t="shared" si="3"/>
        <v>74.909226183980067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0.2110236081247864</v>
      </c>
      <c r="C56" s="56">
        <f ca="1">'EF ele_warmte'!B22</f>
        <v>0.22089745563418042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350.72393138020817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7710.8278793112877</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88141.5</v>
      </c>
      <c r="C8" s="571">
        <f>B101</f>
        <v>96387.292503861958</v>
      </c>
      <c r="D8" s="1056"/>
      <c r="E8" s="1056">
        <f>E101</f>
        <v>0</v>
      </c>
      <c r="F8" s="1057"/>
      <c r="G8" s="572"/>
      <c r="H8" s="1056">
        <f>I101</f>
        <v>0</v>
      </c>
      <c r="I8" s="1056">
        <f>G101+F101</f>
        <v>0</v>
      </c>
      <c r="J8" s="1056">
        <f>H101+D101+C101</f>
        <v>7308.5898490792406</v>
      </c>
      <c r="K8" s="1056"/>
      <c r="L8" s="1056"/>
      <c r="M8" s="1056"/>
      <c r="N8" s="573"/>
      <c r="O8" s="574">
        <f>C8*$C$12+D8*$D$12+E8*$E$12+F8*$F$12+G8*$G$12+H8*$H$12+I8*$I$12+J8*$J$12</f>
        <v>19470.233085780117</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95852.327879311284</v>
      </c>
      <c r="C10" s="584">
        <f t="shared" ref="C10:L10" si="0">SUM(C8:C9)</f>
        <v>96387.292503861958</v>
      </c>
      <c r="D10" s="584">
        <f t="shared" si="0"/>
        <v>0</v>
      </c>
      <c r="E10" s="584">
        <f t="shared" si="0"/>
        <v>0</v>
      </c>
      <c r="F10" s="584">
        <f t="shared" si="0"/>
        <v>0</v>
      </c>
      <c r="G10" s="584">
        <f t="shared" si="0"/>
        <v>0</v>
      </c>
      <c r="H10" s="584">
        <f t="shared" si="0"/>
        <v>0</v>
      </c>
      <c r="I10" s="584">
        <f t="shared" si="0"/>
        <v>0</v>
      </c>
      <c r="J10" s="584">
        <f t="shared" si="0"/>
        <v>7308.5898490792406</v>
      </c>
      <c r="K10" s="584">
        <f t="shared" si="0"/>
        <v>0</v>
      </c>
      <c r="L10" s="584">
        <f t="shared" si="0"/>
        <v>0</v>
      </c>
      <c r="M10" s="1059"/>
      <c r="N10" s="1059"/>
      <c r="O10" s="585">
        <f>SUM(O4:O9)</f>
        <v>19470.233085780117</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123782.625</v>
      </c>
      <c r="C17" s="596">
        <f>B102</f>
        <v>135362.70749613809</v>
      </c>
      <c r="D17" s="597"/>
      <c r="E17" s="597">
        <f>E102</f>
        <v>0</v>
      </c>
      <c r="F17" s="1062"/>
      <c r="G17" s="598"/>
      <c r="H17" s="596">
        <f>I102</f>
        <v>0</v>
      </c>
      <c r="I17" s="597">
        <f>G102+F102</f>
        <v>0</v>
      </c>
      <c r="J17" s="597">
        <f>H102+D102+C102</f>
        <v>10263.910150920761</v>
      </c>
      <c r="K17" s="597"/>
      <c r="L17" s="597"/>
      <c r="M17" s="597"/>
      <c r="N17" s="1063"/>
      <c r="O17" s="599">
        <f>C17*$C$22+E17*$E$22+H17*$H$22+I17*$I$22+J17*$J$22+D17*$D$22+F17*$F$22+G17*$G$22+K17*$K$22+L17*$L$22</f>
        <v>27343.266914219894</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123782.625</v>
      </c>
      <c r="C20" s="583">
        <f>SUM(C17:C19)</f>
        <v>135362.70749613809</v>
      </c>
      <c r="D20" s="583">
        <f t="shared" ref="D20:L20" si="1">SUM(D17:D19)</f>
        <v>0</v>
      </c>
      <c r="E20" s="583">
        <f t="shared" si="1"/>
        <v>0</v>
      </c>
      <c r="F20" s="583">
        <f t="shared" si="1"/>
        <v>0</v>
      </c>
      <c r="G20" s="583">
        <f t="shared" si="1"/>
        <v>0</v>
      </c>
      <c r="H20" s="583">
        <f t="shared" si="1"/>
        <v>0</v>
      </c>
      <c r="I20" s="583">
        <f t="shared" si="1"/>
        <v>0</v>
      </c>
      <c r="J20" s="583">
        <f t="shared" si="1"/>
        <v>10263.910150920761</v>
      </c>
      <c r="K20" s="583">
        <f t="shared" si="1"/>
        <v>0</v>
      </c>
      <c r="L20" s="583">
        <f t="shared" si="1"/>
        <v>0</v>
      </c>
      <c r="M20" s="583"/>
      <c r="N20" s="583"/>
      <c r="O20" s="602">
        <f>SUM(O17:O19)</f>
        <v>27343.266914219894</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12009</v>
      </c>
      <c r="C28" s="797">
        <v>2570</v>
      </c>
      <c r="D28" s="654" t="s">
        <v>907</v>
      </c>
      <c r="E28" s="653" t="s">
        <v>908</v>
      </c>
      <c r="F28" s="653" t="s">
        <v>909</v>
      </c>
      <c r="G28" s="653" t="s">
        <v>910</v>
      </c>
      <c r="H28" s="653" t="s">
        <v>911</v>
      </c>
      <c r="I28" s="653" t="s">
        <v>908</v>
      </c>
      <c r="J28" s="796">
        <v>39142</v>
      </c>
      <c r="K28" s="796">
        <v>39150</v>
      </c>
      <c r="L28" s="653" t="s">
        <v>912</v>
      </c>
      <c r="M28" s="653">
        <v>2000</v>
      </c>
      <c r="N28" s="653">
        <v>9000</v>
      </c>
      <c r="O28" s="653">
        <v>12857.142857142857</v>
      </c>
      <c r="P28" s="653">
        <v>25714.285714285717</v>
      </c>
      <c r="Q28" s="653">
        <v>0</v>
      </c>
      <c r="R28" s="653">
        <v>0</v>
      </c>
      <c r="S28" s="653">
        <v>0</v>
      </c>
      <c r="T28" s="653">
        <v>0</v>
      </c>
      <c r="U28" s="653">
        <v>0</v>
      </c>
      <c r="V28" s="653">
        <v>0</v>
      </c>
      <c r="W28" s="653">
        <v>0</v>
      </c>
      <c r="X28" s="653">
        <v>10</v>
      </c>
      <c r="Y28" s="653" t="s">
        <v>112</v>
      </c>
      <c r="Z28" s="655" t="s">
        <v>112</v>
      </c>
    </row>
    <row r="29" spans="1:26" s="607" customFormat="1" ht="25.5">
      <c r="A29" s="606"/>
      <c r="B29" s="797">
        <v>12009</v>
      </c>
      <c r="C29" s="797">
        <v>2570</v>
      </c>
      <c r="D29" s="654" t="s">
        <v>913</v>
      </c>
      <c r="E29" s="653" t="s">
        <v>914</v>
      </c>
      <c r="F29" s="653" t="s">
        <v>915</v>
      </c>
      <c r="G29" s="653" t="s">
        <v>910</v>
      </c>
      <c r="H29" s="653" t="s">
        <v>911</v>
      </c>
      <c r="I29" s="653" t="s">
        <v>914</v>
      </c>
      <c r="J29" s="796">
        <v>39241</v>
      </c>
      <c r="K29" s="796">
        <v>39253</v>
      </c>
      <c r="L29" s="653" t="s">
        <v>912</v>
      </c>
      <c r="M29" s="653">
        <v>1147</v>
      </c>
      <c r="N29" s="653">
        <v>5161.5</v>
      </c>
      <c r="O29" s="653">
        <v>7373.5714285714284</v>
      </c>
      <c r="P29" s="653">
        <v>14747.142857142859</v>
      </c>
      <c r="Q29" s="653">
        <v>0</v>
      </c>
      <c r="R29" s="653">
        <v>0</v>
      </c>
      <c r="S29" s="653">
        <v>0</v>
      </c>
      <c r="T29" s="653">
        <v>0</v>
      </c>
      <c r="U29" s="653">
        <v>0</v>
      </c>
      <c r="V29" s="653">
        <v>0</v>
      </c>
      <c r="W29" s="653">
        <v>0</v>
      </c>
      <c r="X29" s="653">
        <v>10</v>
      </c>
      <c r="Y29" s="653" t="s">
        <v>112</v>
      </c>
      <c r="Z29" s="655" t="s">
        <v>112</v>
      </c>
    </row>
    <row r="30" spans="1:26" s="607" customFormat="1" ht="25.5">
      <c r="A30" s="606"/>
      <c r="B30" s="797">
        <v>12009</v>
      </c>
      <c r="C30" s="797">
        <v>2570</v>
      </c>
      <c r="D30" s="654" t="s">
        <v>916</v>
      </c>
      <c r="E30" s="653" t="s">
        <v>917</v>
      </c>
      <c r="F30" s="653" t="s">
        <v>918</v>
      </c>
      <c r="G30" s="653" t="s">
        <v>910</v>
      </c>
      <c r="H30" s="653" t="s">
        <v>911</v>
      </c>
      <c r="I30" s="653" t="s">
        <v>917</v>
      </c>
      <c r="J30" s="796">
        <v>41995</v>
      </c>
      <c r="K30" s="796">
        <v>39261</v>
      </c>
      <c r="L30" s="653" t="s">
        <v>912</v>
      </c>
      <c r="M30" s="653">
        <v>1969</v>
      </c>
      <c r="N30" s="653">
        <v>8860.5</v>
      </c>
      <c r="O30" s="653">
        <v>12657.857142857143</v>
      </c>
      <c r="P30" s="653">
        <v>25315.714285714286</v>
      </c>
      <c r="Q30" s="653">
        <v>0</v>
      </c>
      <c r="R30" s="653">
        <v>0</v>
      </c>
      <c r="S30" s="653">
        <v>0</v>
      </c>
      <c r="T30" s="653">
        <v>0</v>
      </c>
      <c r="U30" s="653">
        <v>0</v>
      </c>
      <c r="V30" s="653">
        <v>0</v>
      </c>
      <c r="W30" s="653">
        <v>0</v>
      </c>
      <c r="X30" s="653">
        <v>10</v>
      </c>
      <c r="Y30" s="653" t="s">
        <v>112</v>
      </c>
      <c r="Z30" s="655" t="s">
        <v>112</v>
      </c>
    </row>
    <row r="31" spans="1:26" s="607" customFormat="1" ht="25.5">
      <c r="A31" s="606"/>
      <c r="B31" s="797">
        <v>12009</v>
      </c>
      <c r="C31" s="797">
        <v>2570</v>
      </c>
      <c r="D31" s="654" t="s">
        <v>919</v>
      </c>
      <c r="E31" s="653" t="s">
        <v>920</v>
      </c>
      <c r="F31" s="653" t="s">
        <v>921</v>
      </c>
      <c r="G31" s="653" t="s">
        <v>910</v>
      </c>
      <c r="H31" s="653" t="s">
        <v>911</v>
      </c>
      <c r="I31" s="653" t="s">
        <v>922</v>
      </c>
      <c r="J31" s="796">
        <v>41260</v>
      </c>
      <c r="K31" s="796">
        <v>39492</v>
      </c>
      <c r="L31" s="653" t="s">
        <v>912</v>
      </c>
      <c r="M31" s="653">
        <v>3538</v>
      </c>
      <c r="N31" s="653">
        <v>15921</v>
      </c>
      <c r="O31" s="653">
        <v>22744.285714285714</v>
      </c>
      <c r="P31" s="653">
        <v>45488.571428571435</v>
      </c>
      <c r="Q31" s="653">
        <v>0</v>
      </c>
      <c r="R31" s="653">
        <v>0</v>
      </c>
      <c r="S31" s="653">
        <v>0</v>
      </c>
      <c r="T31" s="653">
        <v>0</v>
      </c>
      <c r="U31" s="653">
        <v>0</v>
      </c>
      <c r="V31" s="653">
        <v>0</v>
      </c>
      <c r="W31" s="653">
        <v>0</v>
      </c>
      <c r="X31" s="653">
        <v>10</v>
      </c>
      <c r="Y31" s="653" t="s">
        <v>112</v>
      </c>
      <c r="Z31" s="655" t="s">
        <v>112</v>
      </c>
    </row>
    <row r="32" spans="1:26" s="607" customFormat="1" ht="25.5">
      <c r="A32" s="606"/>
      <c r="B32" s="797">
        <v>12009</v>
      </c>
      <c r="C32" s="797">
        <v>2570</v>
      </c>
      <c r="D32" s="654" t="s">
        <v>923</v>
      </c>
      <c r="E32" s="653" t="s">
        <v>924</v>
      </c>
      <c r="F32" s="653" t="s">
        <v>925</v>
      </c>
      <c r="G32" s="653" t="s">
        <v>910</v>
      </c>
      <c r="H32" s="653" t="s">
        <v>911</v>
      </c>
      <c r="I32" s="653" t="s">
        <v>924</v>
      </c>
      <c r="J32" s="796">
        <v>39573</v>
      </c>
      <c r="K32" s="796">
        <v>39573</v>
      </c>
      <c r="L32" s="653" t="s">
        <v>912</v>
      </c>
      <c r="M32" s="653">
        <v>2789</v>
      </c>
      <c r="N32" s="653">
        <v>12550.5</v>
      </c>
      <c r="O32" s="653">
        <v>17929.285714285714</v>
      </c>
      <c r="P32" s="653">
        <v>35858.571428571428</v>
      </c>
      <c r="Q32" s="653">
        <v>0</v>
      </c>
      <c r="R32" s="653">
        <v>0</v>
      </c>
      <c r="S32" s="653">
        <v>0</v>
      </c>
      <c r="T32" s="653">
        <v>0</v>
      </c>
      <c r="U32" s="653">
        <v>0</v>
      </c>
      <c r="V32" s="653">
        <v>0</v>
      </c>
      <c r="W32" s="653">
        <v>0</v>
      </c>
      <c r="X32" s="653">
        <v>10</v>
      </c>
      <c r="Y32" s="653" t="s">
        <v>112</v>
      </c>
      <c r="Z32" s="655" t="s">
        <v>112</v>
      </c>
    </row>
    <row r="33" spans="1:26" s="607" customFormat="1" ht="25.5">
      <c r="A33" s="606"/>
      <c r="B33" s="797">
        <v>12009</v>
      </c>
      <c r="C33" s="797">
        <v>2570</v>
      </c>
      <c r="D33" s="654" t="s">
        <v>926</v>
      </c>
      <c r="E33" s="653" t="s">
        <v>927</v>
      </c>
      <c r="F33" s="653" t="s">
        <v>928</v>
      </c>
      <c r="G33" s="653" t="s">
        <v>910</v>
      </c>
      <c r="H33" s="653" t="s">
        <v>911</v>
      </c>
      <c r="I33" s="653" t="s">
        <v>927</v>
      </c>
      <c r="J33" s="796">
        <v>39594</v>
      </c>
      <c r="K33" s="796">
        <v>39594</v>
      </c>
      <c r="L33" s="653" t="s">
        <v>912</v>
      </c>
      <c r="M33" s="653">
        <v>2000</v>
      </c>
      <c r="N33" s="653">
        <v>9000</v>
      </c>
      <c r="O33" s="653">
        <v>12857.142857142857</v>
      </c>
      <c r="P33" s="653">
        <v>25714.285714285717</v>
      </c>
      <c r="Q33" s="653">
        <v>0</v>
      </c>
      <c r="R33" s="653">
        <v>0</v>
      </c>
      <c r="S33" s="653">
        <v>0</v>
      </c>
      <c r="T33" s="653">
        <v>0</v>
      </c>
      <c r="U33" s="653">
        <v>0</v>
      </c>
      <c r="V33" s="653">
        <v>0</v>
      </c>
      <c r="W33" s="653">
        <v>0</v>
      </c>
      <c r="X33" s="653">
        <v>10</v>
      </c>
      <c r="Y33" s="653" t="s">
        <v>112</v>
      </c>
      <c r="Z33" s="655" t="s">
        <v>112</v>
      </c>
    </row>
    <row r="34" spans="1:26" s="607" customFormat="1" ht="25.5">
      <c r="A34" s="606"/>
      <c r="B34" s="797">
        <v>12009</v>
      </c>
      <c r="C34" s="797">
        <v>2570</v>
      </c>
      <c r="D34" s="654" t="s">
        <v>929</v>
      </c>
      <c r="E34" s="653" t="s">
        <v>930</v>
      </c>
      <c r="F34" s="653" t="s">
        <v>931</v>
      </c>
      <c r="G34" s="653" t="s">
        <v>910</v>
      </c>
      <c r="H34" s="653" t="s">
        <v>911</v>
      </c>
      <c r="I34" s="653" t="s">
        <v>932</v>
      </c>
      <c r="J34" s="796">
        <v>39843</v>
      </c>
      <c r="K34" s="796">
        <v>39848</v>
      </c>
      <c r="L34" s="653" t="s">
        <v>912</v>
      </c>
      <c r="M34" s="653">
        <v>2014</v>
      </c>
      <c r="N34" s="653">
        <v>9062.9999999999982</v>
      </c>
      <c r="O34" s="653">
        <v>12947.142857142855</v>
      </c>
      <c r="P34" s="653">
        <v>25894.28571428571</v>
      </c>
      <c r="Q34" s="653">
        <v>0</v>
      </c>
      <c r="R34" s="653">
        <v>0</v>
      </c>
      <c r="S34" s="653">
        <v>0</v>
      </c>
      <c r="T34" s="653">
        <v>0</v>
      </c>
      <c r="U34" s="653">
        <v>0</v>
      </c>
      <c r="V34" s="653">
        <v>0</v>
      </c>
      <c r="W34" s="653">
        <v>0</v>
      </c>
      <c r="X34" s="653">
        <v>10</v>
      </c>
      <c r="Y34" s="653" t="s">
        <v>112</v>
      </c>
      <c r="Z34" s="655" t="s">
        <v>112</v>
      </c>
    </row>
    <row r="35" spans="1:26" s="607" customFormat="1" ht="25.5">
      <c r="A35" s="606"/>
      <c r="B35" s="797">
        <v>12009</v>
      </c>
      <c r="C35" s="797">
        <v>2570</v>
      </c>
      <c r="D35" s="654" t="s">
        <v>933</v>
      </c>
      <c r="E35" s="653" t="s">
        <v>934</v>
      </c>
      <c r="F35" s="653" t="s">
        <v>935</v>
      </c>
      <c r="G35" s="653" t="s">
        <v>910</v>
      </c>
      <c r="H35" s="653" t="s">
        <v>911</v>
      </c>
      <c r="I35" s="653" t="s">
        <v>936</v>
      </c>
      <c r="J35" s="796">
        <v>40443</v>
      </c>
      <c r="K35" s="796">
        <v>40443</v>
      </c>
      <c r="L35" s="653" t="s">
        <v>912</v>
      </c>
      <c r="M35" s="653">
        <v>1008</v>
      </c>
      <c r="N35" s="653">
        <v>4536</v>
      </c>
      <c r="O35" s="653">
        <v>6480</v>
      </c>
      <c r="P35" s="653">
        <v>12960</v>
      </c>
      <c r="Q35" s="653">
        <v>0</v>
      </c>
      <c r="R35" s="653">
        <v>0</v>
      </c>
      <c r="S35" s="653">
        <v>0</v>
      </c>
      <c r="T35" s="653">
        <v>0</v>
      </c>
      <c r="U35" s="653">
        <v>0</v>
      </c>
      <c r="V35" s="653">
        <v>0</v>
      </c>
      <c r="W35" s="653">
        <v>0</v>
      </c>
      <c r="X35" s="653">
        <v>10</v>
      </c>
      <c r="Y35" s="653" t="s">
        <v>112</v>
      </c>
      <c r="Z35" s="655" t="s">
        <v>112</v>
      </c>
    </row>
    <row r="36" spans="1:26" s="607" customFormat="1" ht="25.5">
      <c r="A36" s="606"/>
      <c r="B36" s="797">
        <v>12009</v>
      </c>
      <c r="C36" s="797">
        <v>2570</v>
      </c>
      <c r="D36" s="654" t="s">
        <v>937</v>
      </c>
      <c r="E36" s="653" t="s">
        <v>938</v>
      </c>
      <c r="F36" s="653" t="s">
        <v>939</v>
      </c>
      <c r="G36" s="653" t="s">
        <v>910</v>
      </c>
      <c r="H36" s="653" t="s">
        <v>911</v>
      </c>
      <c r="I36" s="653" t="s">
        <v>938</v>
      </c>
      <c r="J36" s="796">
        <v>40763</v>
      </c>
      <c r="K36" s="796">
        <v>40763</v>
      </c>
      <c r="L36" s="653" t="s">
        <v>912</v>
      </c>
      <c r="M36" s="653">
        <v>1560</v>
      </c>
      <c r="N36" s="653">
        <v>7020</v>
      </c>
      <c r="O36" s="653">
        <v>10028.571428571429</v>
      </c>
      <c r="P36" s="653">
        <v>20057.142857142859</v>
      </c>
      <c r="Q36" s="653">
        <v>0</v>
      </c>
      <c r="R36" s="653">
        <v>0</v>
      </c>
      <c r="S36" s="653">
        <v>0</v>
      </c>
      <c r="T36" s="653">
        <v>0</v>
      </c>
      <c r="U36" s="653">
        <v>0</v>
      </c>
      <c r="V36" s="653">
        <v>0</v>
      </c>
      <c r="W36" s="653">
        <v>0</v>
      </c>
      <c r="X36" s="653">
        <v>16000</v>
      </c>
      <c r="Y36" s="653" t="s">
        <v>33</v>
      </c>
      <c r="Z36" s="655" t="s">
        <v>389</v>
      </c>
    </row>
    <row r="37" spans="1:26" s="607" customFormat="1" ht="38.25">
      <c r="A37" s="606"/>
      <c r="B37" s="797">
        <v>12009</v>
      </c>
      <c r="C37" s="797">
        <v>2570</v>
      </c>
      <c r="D37" s="654" t="s">
        <v>940</v>
      </c>
      <c r="E37" s="653" t="s">
        <v>941</v>
      </c>
      <c r="F37" s="653" t="s">
        <v>942</v>
      </c>
      <c r="G37" s="653" t="s">
        <v>910</v>
      </c>
      <c r="H37" s="653" t="s">
        <v>943</v>
      </c>
      <c r="I37" s="653" t="s">
        <v>941</v>
      </c>
      <c r="J37" s="796">
        <v>41313</v>
      </c>
      <c r="K37" s="796">
        <v>41316</v>
      </c>
      <c r="L37" s="653" t="s">
        <v>912</v>
      </c>
      <c r="M37" s="653">
        <v>1562</v>
      </c>
      <c r="N37" s="653">
        <v>7029</v>
      </c>
      <c r="O37" s="653">
        <v>7907.625</v>
      </c>
      <c r="P37" s="653">
        <v>0</v>
      </c>
      <c r="Q37" s="653">
        <v>17572.5</v>
      </c>
      <c r="R37" s="653">
        <v>0</v>
      </c>
      <c r="S37" s="653">
        <v>0</v>
      </c>
      <c r="T37" s="653">
        <v>0</v>
      </c>
      <c r="U37" s="653">
        <v>0</v>
      </c>
      <c r="V37" s="653">
        <v>0</v>
      </c>
      <c r="W37" s="653">
        <v>0</v>
      </c>
      <c r="X37" s="653">
        <v>10</v>
      </c>
      <c r="Y37" s="653" t="s">
        <v>112</v>
      </c>
      <c r="Z37" s="655" t="s">
        <v>112</v>
      </c>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19587</v>
      </c>
      <c r="N58" s="611">
        <f>SUM(N28:N57)</f>
        <v>88141.5</v>
      </c>
      <c r="O58" s="611">
        <f t="shared" ref="O58:W58" si="2">SUM(O28:O57)</f>
        <v>123782.625</v>
      </c>
      <c r="P58" s="611">
        <f t="shared" si="2"/>
        <v>231750.00000000003</v>
      </c>
      <c r="Q58" s="611">
        <f t="shared" si="2"/>
        <v>17572.5</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1560</v>
      </c>
      <c r="N59" s="611">
        <f t="shared" si="3"/>
        <v>7020</v>
      </c>
      <c r="O59" s="611">
        <f t="shared" si="3"/>
        <v>10028.571428571429</v>
      </c>
      <c r="P59" s="611">
        <f t="shared" si="3"/>
        <v>20057.142857142859</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18027</v>
      </c>
      <c r="N61" s="616">
        <f t="shared" si="4"/>
        <v>81121.5</v>
      </c>
      <c r="O61" s="616">
        <f t="shared" si="4"/>
        <v>113754.05357142857</v>
      </c>
      <c r="P61" s="616">
        <f t="shared" si="4"/>
        <v>211692.85714285716</v>
      </c>
      <c r="Q61" s="616">
        <f t="shared" si="4"/>
        <v>17572.5</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0.58408935273414486</v>
      </c>
      <c r="C98" s="636">
        <f>IF(ISERROR(N58/(O58+N58)),0,N58/(N58+O58))</f>
        <v>0.41591064726585519</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96387.292503861958</v>
      </c>
      <c r="C101" s="645">
        <f t="shared" si="9"/>
        <v>7308.5898490792406</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135362.70749613809</v>
      </c>
      <c r="C102" s="648">
        <f t="shared" si="10"/>
        <v>10263.910150920761</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2019-08-12T08:06:43Z</dcterms:modified>
</cp:coreProperties>
</file>