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<sst xmlns="http://schemas.openxmlformats.org/spreadsheetml/2006/main" count="2419" uniqueCount="907">
  <si>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</si>
  <si>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</si>
  <si>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</si>
  <si>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</si>
  <si>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</si>
  <si>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</si>
  <si>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</si>
  <si>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</si>
  <si>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</si>
  <si>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</si>
  <si>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</si>
  <si>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</si>
  <si>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</si>
  <si>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</si>
  <si>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</si>
  <si>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</si>
  <si>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</si>
  <si>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</si>
  <si>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</si>
  <si>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</si>
  <si>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</si>
  <si>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</si>
  <si>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</si>
  <si>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</si>
  <si>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</si>
  <si>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</si>
  <si>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</si>
  <si>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</si>
  <si>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</si>
  <si>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</si>
  <si>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</si>
  <si>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</si>
  <si>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</si>
  <si>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</si>
  <si>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</si>
  <si>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</si>
  <si>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</si>
  <si>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</si>
  <si>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</si>
  <si>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</si>
  <si>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</si>
  <si>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</si>
  <si>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</si>
  <si>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</si>
  <si>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</si>
  <si>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</si>
  <si>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</si>
  <si>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</si>
  <si>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</si>
  <si>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</si>
  <si>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</si>
  <si>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</si>
  <si>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</si>
  <si>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</si>
  <si>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</si>
  <si>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</si>
  <si>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</si>
  <si>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</si>
  <si>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</si>
  <si>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</si>
  <si>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</si>
  <si>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</si>
  <si>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</si>
  <si>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</si>
  <si>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</si>
  <si>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</si>
  <si>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</si>
  <si>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</si>
  <si>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</si>
  <si>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</si>
  <si>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</si>
  <si>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</si>
  <si>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</si>
  <si>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</si>
  <si>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</si>
  <si>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</si>
  <si>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</si>
  <si>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</si>
  <si>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</si>
  <si>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</si>
  <si>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</si>
  <si>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</si>
  <si>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</si>
  <si>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</si>
  <si>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</si>
  <si>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</si>
  <si>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</si>
  <si>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</si>
  <si>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</si>
  <si>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</si>
  <si>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</si>
  <si>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</si>
  <si>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</si>
  <si>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</si>
  <si>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</si>
  <si>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</si>
  <si>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</si>
  <si>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</si>
  <si>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</si>
  <si>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</si>
  <si>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</si>
  <si>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</si>
  <si>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</si>
  <si>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</si>
  <si>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</si>
  <si>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</si>
  <si>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</si>
  <si>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</si>
  <si>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</si>
  <si>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</si>
  <si>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</si>
  <si>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</si>
  <si>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</si>
  <si>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</si>
  <si>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</si>
  <si>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</si>
  <si>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</si>
  <si>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</si>
  <si>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</si>
  <si>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</si>
  <si>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</si>
  <si>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</si>
  <si>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</si>
  <si>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</si>
  <si>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</si>
  <si>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</si>
  <si>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</si>
  <si>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</si>
  <si>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</si>
  <si>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</si>
  <si>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</si>
  <si>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</si>
  <si>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</si>
  <si>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</si>
  <si>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</si>
  <si>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</si>
  <si>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</si>
  <si>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</si>
  <si>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</si>
  <si>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</si>
  <si>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</si>
  <si>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</si>
  <si>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</si>
  <si>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</si>
  <si>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</si>
  <si>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</si>
  <si>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</si>
  <si>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</si>
  <si>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</si>
  <si>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</si>
  <si>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</si>
  <si>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</si>
  <si>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</si>
  <si>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</si>
  <si>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</si>
  <si>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</si>
  <si>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</si>
  <si>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</si>
  <si>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</si>
  <si>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</si>
  <si>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</si>
  <si>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</si>
  <si>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</si>
  <si>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</si>
  <si>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</si>
  <si>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</si>
  <si>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</si>
  <si>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</si>
  <si>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</si>
  <si>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</si>
  <si>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</si>
  <si>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</si>
  <si>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</si>
  <si>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</si>
  <si>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</si>
  <si>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</si>
  <si>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</si>
  <si>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</si>
  <si>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</si>
  <si>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</si>
  <si>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</si>
  <si>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</si>
  <si>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</si>
  <si>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</si>
  <si>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</si>
  <si>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</si>
  <si>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</si>
  <si>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</si>
  <si>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</si>
  <si>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</si>
  <si>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</si>
  <si>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</si>
  <si>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</si>
  <si>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</si>
  <si>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</si>
  <si>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</si>
  <si>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</si>
  <si>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</si>
  <si>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</si>
  <si>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</si>
  <si>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</si>
  <si>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</si>
  <si>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</si>
  <si>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</si>
  <si>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</si>
  <si>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</si>
  <si>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</si>
  <si>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</si>
  <si>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</si>
  <si>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</si>
  <si>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</si>
  <si>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</si>
  <si>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</si>
  <si>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</si>
  <si>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</si>
  <si>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</si>
  <si>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</si>
  <si>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</si>
  <si>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</si>
  <si>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</si>
  <si>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</si>
  <si>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</si>
  <si>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</si>
  <si>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</si>
  <si>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</si>
  <si>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</si>
  <si>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</si>
  <si>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</si>
  <si>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</si>
  <si>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</si>
  <si>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</si>
  <si>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</si>
  <si>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</si>
  <si>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</si>
  <si>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</si>
  <si>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</si>
  <si>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</si>
  <si>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</si>
  <si>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</si>
  <si>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</si>
  <si>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</si>
  <si>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</si>
  <si>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</si>
  <si>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</si>
  <si>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</si>
  <si>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</si>
  <si>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</si>
  <si>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</si>
  <si>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</si>
  <si>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</si>
  <si>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</si>
  <si>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</si>
  <si>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</si>
  <si>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</si>
  <si>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</si>
  <si>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</si>
  <si>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</si>
  <si>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</si>
  <si>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</si>
  <si>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</si>
  <si>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</si>
  <si>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</si>
  <si>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</si>
  <si>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</si>
  <si>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</si>
  <si>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</si>
  <si>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</si>
  <si>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</si>
  <si>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</si>
  <si>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</si>
  <si>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</si>
  <si>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</si>
  <si>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</si>
  <si>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</si>
  <si>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</si>
  <si>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</si>
  <si>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</si>
  <si>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</si>
  <si>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</si>
  <si>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</si>
  <si>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</si>
  <si>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</si>
  <si>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</si>
  <si>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</si>
  <si>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</si>
  <si>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</si>
  <si>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</si>
  <si>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</si>
  <si>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</si>
  <si>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</si>
  <si>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</si>
  <si>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</si>
  <si>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</si>
  <si>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</si>
  <si>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</si>
  <si>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</si>
  <si>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</si>
  <si>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</si>
  <si>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</si>
  <si>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</si>
  <si>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</si>
  <si>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</si>
  <si>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</si>
  <si>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</si>
  <si>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</si>
  <si>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</si>
  <si>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</si>
  <si>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</si>
  <si>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</si>
  <si>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</si>
  <si>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</si>
  <si>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</si>
  <si>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</si>
  <si>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</si>
  <si>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</si>
  <si>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</si>
  <si>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</si>
  <si>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</si>
  <si>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</si>
  <si>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</si>
  <si>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</si>
  <si>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</si>
  <si>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</si>
  <si>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</si>
  <si>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</si>
  <si>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</si>
  <si>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</si>
  <si>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</si>
  <si>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</si>
  <si>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</si>
  <si>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</si>
  <si>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</si>
  <si>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</si>
  <si>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</si>
  <si>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</si>
  <si>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</si>
  <si>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</si>
  <si>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</si>
  <si>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</si>
  <si>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</si>
  <si>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</si>
  <si>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</si>
  <si>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</si>
  <si>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</si>
  <si>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</si>
  <si>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</si>
  <si>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</si>
  <si>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</si>
  <si>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</si>
  <si>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</si>
  <si>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</si>
  <si>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</si>
  <si>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</si>
  <si>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</si>
  <si>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</si>
  <si>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</si>
  <si>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</si>
  <si>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</si>
  <si>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</si>
  <si>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</si>
  <si>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</si>
  <si>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</si>
  <si>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</si>
  <si>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</si>
  <si>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</si>
  <si>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</si>
  <si>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</si>
  <si>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</si>
  <si>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</si>
  <si>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</si>
  <si>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</si>
  <si>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</si>
  <si>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</si>
  <si>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</si>
  <si>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</si>
  <si>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</si>
  <si>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</si>
  <si>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</si>
  <si>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</si>
  <si>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</si>
  <si>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</si>
  <si>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</si>
  <si>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</si>
  <si>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</si>
  <si>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</si>
  <si>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</si>
  <si>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</si>
  <si>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</si>
  <si>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</si>
  <si>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</si>
  <si>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</si>
  <si>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</si>
  <si>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</si>
  <si>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</si>
  <si>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</si>
  <si>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</si>
  <si>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</si>
  <si>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</si>
  <si>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</si>
  <si>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</si>
  <si>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</si>
  <si>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</si>
  <si>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</si>
  <si>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</si>
  <si>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</si>
  <si>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</si>
  <si>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</si>
  <si>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</si>
  <si>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</si>
  <si>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</si>
  <si>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</si>
  <si>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</si>
  <si>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</si>
  <si>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</si>
  <si>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</si>
  <si>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</si>
  <si>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</si>
  <si>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</si>
  <si>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</si>
  <si>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</si>
  <si>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</si>
  <si>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</si>
  <si>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</si>
  <si>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</si>
  <si>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</si>
  <si>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</si>
  <si>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</si>
  <si>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</si>
  <si>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</si>
  <si>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</si>
  <si>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</si>
  <si>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</si>
  <si>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</si>
  <si>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</si>
  <si>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</si>
  <si>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</si>
  <si>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</si>
  <si>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</si>
  <si>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</si>
  <si>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</si>
  <si>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</si>
  <si>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</si>
  <si>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</si>
  <si>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</si>
  <si>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</si>
  <si>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</si>
  <si>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</si>
  <si>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</si>
  <si>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</si>
  <si>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</si>
  <si>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</si>
  <si>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</si>
  <si>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</si>
  <si>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</si>
  <si>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</si>
  <si>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</si>
  <si>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</si>
  <si>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</si>
  <si>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</si>
  <si>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</si>
  <si>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</si>
  <si>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</si>
  <si>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</si>
  <si>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</si>
  <si>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</si>
  <si>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</si>
  <si>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</si>
  <si>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</si>
  <si>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</si>
  <si>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</si>
  <si>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</si>
  <si>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</si>
  <si>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</si>
  <si>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</si>
  <si>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</si>
  <si>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</si>
  <si>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</si>
  <si>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</si>
  <si>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</si>
  <si>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</si>
  <si>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</si>
  <si>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</si>
  <si>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</si>
  <si>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</si>
  <si>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</si>
  <si>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</si>
  <si>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</si>
  <si>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</si>
  <si>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</si>
  <si>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</si>
  <si>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</si>
  <si>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</si>
  <si>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</si>
  <si>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</si>
  <si>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</si>
  <si>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</si>
  <si>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</si>
  <si>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</si>
  <si>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</si>
  <si>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</si>
  <si>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</si>
  <si>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</si>
  <si>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</si>
  <si>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</si>
  <si>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</si>
  <si>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</si>
  <si>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</si>
  <si>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</si>
  <si>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</si>
  <si>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</si>
  <si>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</si>
  <si>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</si>
  <si>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</si>
  <si>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</si>
  <si>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</si>
  <si>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</si>
  <si>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</si>
  <si>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</si>
  <si>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</si>
  <si>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</si>
  <si>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</si>
  <si>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</si>
  <si>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</si>
  <si>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</si>
  <si>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</si>
  <si>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</si>
  <si>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</si>
  <si>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</si>
  <si>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</si>
  <si>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</si>
  <si>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</si>
  <si>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</si>
  <si>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</si>
  <si>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</si>
  <si>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</si>
  <si>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</si>
  <si>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</si>
  <si>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</si>
  <si>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</si>
  <si>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</si>
  <si>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</si>
  <si>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</si>
  <si>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</si>
  <si>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</si>
  <si>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</si>
  <si>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</si>
  <si>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</si>
  <si>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</si>
  <si>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</si>
  <si>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</si>
  <si>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</si>
  <si>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</si>
  <si>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</si>
  <si>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</si>
  <si>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</si>
  <si>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</si>
  <si>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</si>
  <si>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</si>
  <si>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</si>
  <si>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</si>
  <si>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</si>
  <si>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</si>
  <si>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</si>
  <si>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</si>
  <si>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</si>
  <si>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</si>
  <si>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</si>
  <si>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</si>
  <si>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</si>
  <si>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</si>
  <si>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</si>
  <si>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</si>
  <si>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</si>
  <si>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</si>
  <si>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</si>
  <si>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</si>
  <si>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</si>
  <si>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</si>
  <si>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</si>
  <si>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</si>
  <si>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</si>
  <si>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</si>
  <si>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</si>
  <si>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</si>
  <si>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</si>
  <si>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</si>
  <si>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</si>
  <si>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</si>
  <si>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</si>
  <si>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</si>
  <si>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</si>
  <si>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</si>
  <si>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</si>
  <si>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</si>
  <si>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</si>
  <si>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</si>
  <si>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</si>
  <si>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</si>
  <si>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</si>
  <si>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</si>
  <si>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</si>
  <si>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</si>
  <si>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</si>
  <si>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</si>
  <si>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</si>
  <si>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</si>
  <si>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</si>
  <si>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</si>
  <si>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</si>
  <si>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</si>
  <si>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</si>
  <si>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</si>
  <si>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</si>
  <si>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</si>
  <si>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</si>
  <si>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</si>
  <si>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</si>
  <si>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</si>
  <si>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</si>
  <si>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</si>
  <si>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</si>
  <si>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</si>
  <si>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</si>
  <si>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</si>
  <si>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</si>
  <si>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</si>
  <si>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</si>
  <si>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</si>
  <si>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</si>
  <si>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</si>
  <si>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</si>
  <si>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</si>
  <si>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</si>
  <si>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</si>
  <si>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</si>
  <si>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</si>
  <si>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</si>
  <si>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</si>
  <si>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</si>
  <si>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</si>
  <si>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</si>
  <si>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</si>
  <si>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</si>
  <si>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</si>
  <si>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</si>
  <si>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</si>
  <si>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</si>
  <si>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</si>
  <si>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</si>
  <si>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</si>
  <si>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</si>
  <si>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</si>
  <si>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</si>
  <si>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</si>
  <si>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</si>
  <si>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</si>
  <si>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</si>
  <si>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</si>
  <si>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</si>
  <si>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</si>
  <si>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</si>
  <si>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</si>
  <si>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</si>
  <si>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</si>
  <si>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</si>
  <si>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</si>
  <si>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</si>
  <si>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</si>
  <si>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</si>
  <si>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</si>
  <si>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</si>
  <si>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</si>
  <si>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</si>
  <si>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</si>
  <si>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</si>
  <si>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</si>
  <si>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</si>
  <si>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</si>
  <si>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</si>
  <si>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</si>
  <si>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</si>
  <si>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</si>
  <si>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</si>
  <si>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</si>
  <si>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</si>
  <si>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</si>
  <si>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</si>
  <si>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</si>
  <si>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</si>
  <si>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</si>
  <si>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</si>
  <si>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</si>
  <si>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</si>
  <si>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</si>
  <si>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</si>
  <si>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</si>
  <si>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</si>
  <si>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</si>
  <si>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</si>
  <si>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</si>
  <si>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</si>
  <si>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</si>
  <si>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</si>
  <si>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</si>
  <si>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</si>
  <si>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</si>
  <si>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</si>
  <si>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</si>
  <si>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</si>
  <si>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</si>
  <si>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</si>
  <si>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</si>
  <si>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</si>
  <si>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</si>
  <si>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</si>
  <si>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</si>
  <si>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</si>
  <si>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</si>
  <si>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</si>
  <si>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</si>
  <si>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</si>
  <si>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</si>
  <si>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</si>
  <si>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</si>
  <si>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</si>
  <si>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</si>
  <si>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</si>
  <si>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</si>
  <si>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</si>
  <si>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</si>
  <si>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</si>
  <si>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</si>
  <si>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</si>
  <si>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</si>
  <si>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</si>
  <si>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</si>
  <si>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</si>
  <si>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</si>
  <si>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</si>
  <si>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</si>
  <si>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</si>
  <si>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</si>
  <si>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</si>
  <si>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</si>
  <si>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</si>
  <si>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</si>
  <si>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</si>
  <si>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</si>
  <si>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</si>
  <si>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</si>
  <si>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</si>
  <si>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</si>
  <si>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</si>
  <si>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</si>
  <si>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</si>
  <si>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</si>
  <si>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</si>
  <si>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</si>
  <si>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</si>
  <si>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</si>
  <si>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</si>
  <si>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</si>
  <si>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</si>
  <si>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</si>
  <si>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</si>
  <si>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</si>
  <si>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</si>
  <si>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</si>
  <si>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</si>
  <si>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</si>
  <si>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</si>
  <si>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</si>
  <si>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</si>
  <si>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</si>
  <si>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</si>
  <si>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</si>
  <si>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</si>
  <si>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</si>
  <si>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</si>
  <si>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</si>
  <si>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</si>
  <si>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</si>
  <si>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</si>
  <si>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</si>
  <si>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</si>
  <si>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</si>
  <si>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</si>
  <si>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</si>
  <si>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</si>
  <si>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</si>
  <si>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</si>
  <si>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</si>
  <si>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</si>
  <si>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</si>
  <si>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</si>
  <si>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</si>
  <si>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</si>
  <si>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</si>
  <si>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</si>
  <si>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</si>
  <si>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</si>
  <si>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</si>
  <si>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</si>
  <si>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</si>
  <si>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</si>
  <si>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</si>
  <si>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</si>
  <si>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</si>
  <si>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</si>
  <si>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</si>
  <si>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</si>
  <si>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</si>
  <si>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</si>
  <si>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</si>
  <si>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</si>
  <si>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</si>
  <si>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</si>
  <si>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</si>
  <si>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</si>
  <si>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</si>
  <si>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</si>
  <si>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</si>
  <si>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</si>
  <si>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</si>
  <si>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</si>
  <si>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</si>
  <si>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</si>
  <si>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</si>
  <si>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</si>
  <si>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</si>
  <si>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</si>
  <si>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</si>
  <si>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</si>
  <si>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</si>
  <si>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</si>
  <si>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</si>
  <si>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</si>
  <si>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</si>
  <si>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</si>
  <si>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</si>
  <si>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</si>
  <si>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</si>
  <si>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</si>
  <si>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</si>
  <si>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</si>
  <si>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</si>
  <si>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</si>
  <si>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</si>
  <si>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</si>
  <si>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</si>
  <si>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</si>
  <si>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</si>
  <si>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</si>
  <si>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</si>
  <si>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</si>
  <si>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</si>
  <si>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</si>
  <si>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</si>
  <si>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</si>
  <si>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</si>
  <si>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</si>
  <si>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</si>
  <si>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</si>
  <si>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</si>
  <si>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</si>
  <si>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</si>
  <si>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</si>
  <si>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</si>
  <si>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</si>
  <si>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</si>
  <si>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</si>
  <si>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</si>
  <si>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</si>
  <si>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</si>
  <si>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</si>
  <si>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</si>
  <si>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</si>
  <si>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</si>
  <si>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</si>
  <si>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</si>
  <si>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</si>
  <si>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</si>
  <si>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</si>
  <si>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</si>
  <si>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</si>
  <si>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</si>
  <si>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</si>
  <si>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</si>
  <si>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</si>
  <si>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</si>
  <si>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</si>
  <si>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</si>
  <si>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</si>
  <si>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</si>
  <si>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</si>
  <si>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</si>
  <si>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</si>
  <si>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</si>
  <si>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</si>
  <si>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12007</t>
  </si>
  <si>
    <t>BORNEM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</si>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</sst>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145310.17072096028</c:v>
                </c:pt>
                <c:pt idx="1">
                  <c:v>78775.303649774432</c:v>
                </c:pt>
                <c:pt idx="2">
                  <c:v>1746.597</c:v>
                </c:pt>
                <c:pt idx="3">
                  <c:v>3271.2779284602025</c:v>
                </c:pt>
                <c:pt idx="4">
                  <c:v>188434.29624495626</c:v>
                </c:pt>
                <c:pt idx="5">
                  <c:v>108125.36551897677</c:v>
                </c:pt>
                <c:pt idx="6">
                  <c:v>661.9555950291965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3264"/>
        <c:axId val="181884800"/>
      </c:barChart>
      <c:catAx>
        <c:axId val="181883264"/>
        <c:scaling>
          <c:orientation val="minMax"/>
        </c:scaling>
        <c:axPos val="b"/>
        <c:numFmt formatCode="General" sourceLinked="0"/>
        <c:tickLblPos val="nextTo"/>
        <c:crossAx val="181884800"/>
        <c:crosses val="autoZero"/>
        <c:auto val="1"/>
        <c:lblAlgn val="ctr"/>
        <c:lblOffset val="100"/>
      </c:catAx>
      <c:valAx>
        <c:axId val="181884800"/>
        <c:scaling>
          <c:orientation val="minMax"/>
        </c:scaling>
        <c:axPos val="l"/>
        <c:majorGridlines/>
        <c:numFmt formatCode="#,##0" sourceLinked="1"/>
        <c:tickLblPos val="nextTo"/>
        <c:crossAx val="181883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145310.17072096028</c:v>
                </c:pt>
                <c:pt idx="1">
                  <c:v>78775.303649774432</c:v>
                </c:pt>
                <c:pt idx="2">
                  <c:v>1746.597</c:v>
                </c:pt>
                <c:pt idx="3">
                  <c:v>3271.2779284602025</c:v>
                </c:pt>
                <c:pt idx="4">
                  <c:v>188434.29624495626</c:v>
                </c:pt>
                <c:pt idx="5">
                  <c:v>108125.36551897677</c:v>
                </c:pt>
                <c:pt idx="6">
                  <c:v>661.9555950291965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25836.43394785807</c:v>
                </c:pt>
                <c:pt idx="2">
                  <c:v>15660.197521936774</c:v>
                </c:pt>
                <c:pt idx="3">
                  <c:v>353.08114544973745</c:v>
                </c:pt>
                <c:pt idx="4">
                  <c:v>790.19407664219227</c:v>
                </c:pt>
                <c:pt idx="5">
                  <c:v>37040.40987920083</c:v>
                </c:pt>
                <c:pt idx="6">
                  <c:v>27097.11056333355</c:v>
                </c:pt>
                <c:pt idx="7">
                  <c:v>167.20682601915217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0496"/>
        <c:axId val="182276864"/>
      </c:barChart>
      <c:catAx>
        <c:axId val="182250496"/>
        <c:scaling>
          <c:orientation val="minMax"/>
        </c:scaling>
        <c:axPos val="b"/>
        <c:numFmt formatCode="General" sourceLinked="0"/>
        <c:tickLblPos val="nextTo"/>
        <c:crossAx val="182276864"/>
        <c:crosses val="autoZero"/>
        <c:auto val="1"/>
        <c:lblAlgn val="ctr"/>
        <c:lblOffset val="100"/>
      </c:catAx>
      <c:valAx>
        <c:axId val="182276864"/>
        <c:scaling>
          <c:orientation val="minMax"/>
        </c:scaling>
        <c:axPos val="l"/>
        <c:majorGridlines/>
        <c:numFmt formatCode="#,##0" sourceLinked="1"/>
        <c:tickLblPos val="nextTo"/>
        <c:crossAx val="1822504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25836.43394785807</c:v>
                </c:pt>
                <c:pt idx="2">
                  <c:v>15660.197521936774</c:v>
                </c:pt>
                <c:pt idx="3">
                  <c:v>353.08114544973745</c:v>
                </c:pt>
                <c:pt idx="4">
                  <c:v>790.19407664219227</c:v>
                </c:pt>
                <c:pt idx="5">
                  <c:v>37040.40987920083</c:v>
                </c:pt>
                <c:pt idx="6">
                  <c:v>27097.11056333355</c:v>
                </c:pt>
                <c:pt idx="7">
                  <c:v>167.20682601915217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12007</v>
      </c>
      <c r="B6" s="416"/>
      <c r="C6" s="417"/>
    </row>
    <row r="7" spans="1:7" s="414" customFormat="1" ht="15.75" customHeight="1">
      <c r="A7" s="418" t="str">
        <f>txtMunicipality</f>
        <v>BORNEM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0.2021537569626751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0.2021537569626751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8719</v>
      </c>
      <c r="C9" s="342">
        <v>9088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1305</v>
      </c>
    </row>
    <row r="15" spans="1:6">
      <c r="A15" s="348" t="s">
        <v>184</v>
      </c>
      <c r="B15" s="334">
        <v>4</v>
      </c>
    </row>
    <row r="16" spans="1:6">
      <c r="A16" s="348" t="s">
        <v>6</v>
      </c>
      <c r="B16" s="334">
        <v>225</v>
      </c>
    </row>
    <row r="17" spans="1:6">
      <c r="A17" s="348" t="s">
        <v>7</v>
      </c>
      <c r="B17" s="334">
        <v>164</v>
      </c>
    </row>
    <row r="18" spans="1:6">
      <c r="A18" s="348" t="s">
        <v>8</v>
      </c>
      <c r="B18" s="334">
        <v>485</v>
      </c>
    </row>
    <row r="19" spans="1:6">
      <c r="A19" s="348" t="s">
        <v>9</v>
      </c>
      <c r="B19" s="334">
        <v>487</v>
      </c>
    </row>
    <row r="20" spans="1:6">
      <c r="A20" s="348" t="s">
        <v>10</v>
      </c>
      <c r="B20" s="334">
        <v>263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1</v>
      </c>
    </row>
    <row r="26" spans="1:6">
      <c r="A26" s="348" t="s">
        <v>16</v>
      </c>
      <c r="B26" s="334">
        <v>245</v>
      </c>
    </row>
    <row r="27" spans="1:6">
      <c r="A27" s="348" t="s">
        <v>17</v>
      </c>
      <c r="B27" s="334">
        <v>6</v>
      </c>
    </row>
    <row r="28" spans="1:6" s="356" customFormat="1">
      <c r="A28" s="355" t="s">
        <v>18</v>
      </c>
      <c r="B28" s="355">
        <v>10</v>
      </c>
    </row>
    <row r="29" spans="1:6">
      <c r="A29" s="355" t="s">
        <v>901</v>
      </c>
      <c r="B29" s="355">
        <v>43</v>
      </c>
      <c r="C29" s="356"/>
      <c r="D29" s="356"/>
      <c r="E29" s="356"/>
      <c r="F29" s="356"/>
    </row>
    <row r="30" spans="1:6">
      <c r="A30" s="341" t="s">
        <v>902</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1506450</v>
      </c>
    </row>
    <row r="39" spans="1:6">
      <c r="A39" s="348" t="s">
        <v>30</v>
      </c>
      <c r="B39" s="348" t="s">
        <v>31</v>
      </c>
      <c r="C39" s="334">
        <v>6707</v>
      </c>
      <c r="D39" s="334">
        <v>97392920.890052095</v>
      </c>
      <c r="E39" s="334">
        <v>8736</v>
      </c>
      <c r="F39" s="334">
        <v>33726844</v>
      </c>
    </row>
    <row r="40" spans="1:6">
      <c r="A40" s="348" t="s">
        <v>30</v>
      </c>
      <c r="B40" s="348" t="s">
        <v>29</v>
      </c>
      <c r="C40" s="334">
        <v>0</v>
      </c>
      <c r="D40" s="334">
        <v>0</v>
      </c>
      <c r="E40" s="334">
        <v>0</v>
      </c>
      <c r="F40" s="334">
        <v>0</v>
      </c>
    </row>
    <row r="41" spans="1:6">
      <c r="A41" s="348" t="s">
        <v>32</v>
      </c>
      <c r="B41" s="348" t="s">
        <v>33</v>
      </c>
      <c r="C41" s="334">
        <v>66</v>
      </c>
      <c r="D41" s="334">
        <v>7450765.9129176997</v>
      </c>
      <c r="E41" s="334">
        <v>164</v>
      </c>
      <c r="F41" s="334">
        <v>26921517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202425.46038311301</v>
      </c>
      <c r="E44" s="334">
        <v>13</v>
      </c>
      <c r="F44" s="334">
        <v>226423.4</v>
      </c>
    </row>
    <row r="45" spans="1:6">
      <c r="A45" s="348" t="s">
        <v>32</v>
      </c>
      <c r="B45" s="348" t="s">
        <v>37</v>
      </c>
      <c r="C45" s="334">
        <v>4</v>
      </c>
      <c r="D45" s="334">
        <v>242754.180744652</v>
      </c>
      <c r="E45" s="334">
        <v>3</v>
      </c>
      <c r="F45" s="334">
        <v>1084860</v>
      </c>
    </row>
    <row r="46" spans="1:6">
      <c r="A46" s="348" t="s">
        <v>32</v>
      </c>
      <c r="B46" s="348" t="s">
        <v>38</v>
      </c>
      <c r="C46" s="334">
        <v>0</v>
      </c>
      <c r="D46" s="334">
        <v>0</v>
      </c>
      <c r="E46" s="334">
        <v>0</v>
      </c>
      <c r="F46" s="334">
        <v>0</v>
      </c>
    </row>
    <row r="47" spans="1:6">
      <c r="A47" s="348" t="s">
        <v>32</v>
      </c>
      <c r="B47" s="348" t="s">
        <v>39</v>
      </c>
      <c r="C47" s="334">
        <v>3</v>
      </c>
      <c r="D47" s="334">
        <v>512452.04600742803</v>
      </c>
      <c r="E47" s="334">
        <v>0</v>
      </c>
      <c r="F47" s="334">
        <v>0</v>
      </c>
    </row>
    <row r="48" spans="1:6">
      <c r="A48" s="348" t="s">
        <v>32</v>
      </c>
      <c r="B48" s="348" t="s">
        <v>29</v>
      </c>
      <c r="C48" s="334">
        <v>33</v>
      </c>
      <c r="D48" s="334">
        <v>58751908.8775732</v>
      </c>
      <c r="E48" s="334">
        <v>43</v>
      </c>
      <c r="F48" s="334">
        <v>40288945</v>
      </c>
    </row>
    <row r="49" spans="1:6">
      <c r="A49" s="348" t="s">
        <v>32</v>
      </c>
      <c r="B49" s="348" t="s">
        <v>40</v>
      </c>
      <c r="C49" s="334">
        <v>0</v>
      </c>
      <c r="D49" s="334">
        <v>0</v>
      </c>
      <c r="E49" s="334">
        <v>0</v>
      </c>
      <c r="F49" s="334">
        <v>0</v>
      </c>
    </row>
    <row r="50" spans="1:6">
      <c r="A50" s="348" t="s">
        <v>32</v>
      </c>
      <c r="B50" s="348" t="s">
        <v>41</v>
      </c>
      <c r="C50" s="334">
        <v>5</v>
      </c>
      <c r="D50" s="334">
        <v>1074892.8228177</v>
      </c>
      <c r="E50" s="334">
        <v>12</v>
      </c>
      <c r="F50" s="334">
        <v>560909.1</v>
      </c>
    </row>
    <row r="51" spans="1:6">
      <c r="A51" s="348" t="s">
        <v>42</v>
      </c>
      <c r="B51" s="348" t="s">
        <v>43</v>
      </c>
      <c r="C51" s="334">
        <v>5</v>
      </c>
      <c r="D51" s="334">
        <v>79861.766755310106</v>
      </c>
      <c r="E51" s="334">
        <v>34</v>
      </c>
      <c r="F51" s="334">
        <v>353395.5</v>
      </c>
    </row>
    <row r="52" spans="1:6">
      <c r="A52" s="348" t="s">
        <v>42</v>
      </c>
      <c r="B52" s="348" t="s">
        <v>29</v>
      </c>
      <c r="C52" s="334">
        <v>9</v>
      </c>
      <c r="D52" s="334">
        <v>732776.84275295795</v>
      </c>
      <c r="E52" s="334">
        <v>7</v>
      </c>
      <c r="F52" s="334">
        <v>332669.3</v>
      </c>
    </row>
    <row r="53" spans="1:6">
      <c r="A53" s="348" t="s">
        <v>44</v>
      </c>
      <c r="B53" s="348" t="s">
        <v>45</v>
      </c>
      <c r="C53" s="334">
        <v>149</v>
      </c>
      <c r="D53" s="334">
        <v>3198439.6266362299</v>
      </c>
      <c r="E53" s="334">
        <v>290</v>
      </c>
      <c r="F53" s="334">
        <v>980086.5</v>
      </c>
    </row>
    <row r="54" spans="1:6">
      <c r="A54" s="348" t="s">
        <v>46</v>
      </c>
      <c r="B54" s="348" t="s">
        <v>47</v>
      </c>
      <c r="C54" s="334">
        <v>0</v>
      </c>
      <c r="D54" s="334">
        <v>0</v>
      </c>
      <c r="E54" s="334">
        <v>1</v>
      </c>
      <c r="F54" s="334">
        <v>1746597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5027363.0133143496</v>
      </c>
      <c r="E57" s="334">
        <v>101</v>
      </c>
      <c r="F57" s="334">
        <v>3240291</v>
      </c>
    </row>
    <row r="58" spans="1:6">
      <c r="A58" s="348" t="s">
        <v>49</v>
      </c>
      <c r="B58" s="348" t="s">
        <v>51</v>
      </c>
      <c r="C58" s="334">
        <v>38</v>
      </c>
      <c r="D58" s="334">
        <v>3106454.7137438501</v>
      </c>
      <c r="E58" s="334">
        <v>46</v>
      </c>
      <c r="F58" s="334">
        <v>2159140</v>
      </c>
    </row>
    <row r="59" spans="1:6">
      <c r="A59" s="348" t="s">
        <v>49</v>
      </c>
      <c r="B59" s="348" t="s">
        <v>52</v>
      </c>
      <c r="C59" s="334">
        <v>152</v>
      </c>
      <c r="D59" s="334">
        <v>9232617.3663033303</v>
      </c>
      <c r="E59" s="334">
        <v>255</v>
      </c>
      <c r="F59" s="334">
        <v>11554094</v>
      </c>
    </row>
    <row r="60" spans="1:6">
      <c r="A60" s="348" t="s">
        <v>49</v>
      </c>
      <c r="B60" s="348" t="s">
        <v>53</v>
      </c>
      <c r="C60" s="334">
        <v>57</v>
      </c>
      <c r="D60" s="334">
        <v>2617807.4693865101</v>
      </c>
      <c r="E60" s="334">
        <v>77</v>
      </c>
      <c r="F60" s="334">
        <v>2365131</v>
      </c>
    </row>
    <row r="61" spans="1:6">
      <c r="A61" s="348" t="s">
        <v>49</v>
      </c>
      <c r="B61" s="348" t="s">
        <v>54</v>
      </c>
      <c r="C61" s="334">
        <v>200</v>
      </c>
      <c r="D61" s="334">
        <v>10537345.9561265</v>
      </c>
      <c r="E61" s="334">
        <v>453</v>
      </c>
      <c r="F61" s="334">
        <v>10484760</v>
      </c>
    </row>
    <row r="62" spans="1:6">
      <c r="A62" s="348" t="s">
        <v>49</v>
      </c>
      <c r="B62" s="348" t="s">
        <v>55</v>
      </c>
      <c r="C62" s="334">
        <v>14</v>
      </c>
      <c r="D62" s="334">
        <v>2048779.5628408701</v>
      </c>
      <c r="E62" s="334">
        <v>20</v>
      </c>
      <c r="F62" s="334">
        <v>505383.8</v>
      </c>
    </row>
    <row r="63" spans="1:6">
      <c r="A63" s="348" t="s">
        <v>49</v>
      </c>
      <c r="B63" s="348" t="s">
        <v>29</v>
      </c>
      <c r="C63" s="334">
        <v>103</v>
      </c>
      <c r="D63" s="334">
        <v>8189430.0335394396</v>
      </c>
      <c r="E63" s="334">
        <v>105</v>
      </c>
      <c r="F63" s="334">
        <v>3676363</v>
      </c>
    </row>
    <row r="64" spans="1:6">
      <c r="A64" s="348" t="s">
        <v>56</v>
      </c>
      <c r="B64" s="348" t="s">
        <v>57</v>
      </c>
      <c r="C64" s="334">
        <v>0</v>
      </c>
      <c r="D64" s="334">
        <v>0</v>
      </c>
      <c r="E64" s="334">
        <v>0</v>
      </c>
      <c r="F64" s="334">
        <v>0</v>
      </c>
    </row>
    <row r="65" spans="1:6">
      <c r="A65" s="348" t="s">
        <v>56</v>
      </c>
      <c r="B65" s="348" t="s">
        <v>29</v>
      </c>
      <c r="C65" s="334">
        <v>4</v>
      </c>
      <c r="D65" s="334">
        <v>83581.217555918207</v>
      </c>
      <c r="E65" s="334">
        <v>3</v>
      </c>
      <c r="F65" s="334">
        <v>19625.11</v>
      </c>
    </row>
    <row r="66" spans="1:6">
      <c r="A66" s="348" t="s">
        <v>56</v>
      </c>
      <c r="B66" s="348" t="s">
        <v>58</v>
      </c>
      <c r="C66" s="334">
        <v>0</v>
      </c>
      <c r="D66" s="334">
        <v>0</v>
      </c>
      <c r="E66" s="334">
        <v>6</v>
      </c>
      <c r="F66" s="334">
        <v>313210.59999999998</v>
      </c>
    </row>
    <row r="67" spans="1:6">
      <c r="A67" s="355" t="s">
        <v>56</v>
      </c>
      <c r="B67" s="355" t="s">
        <v>59</v>
      </c>
      <c r="C67" s="334">
        <v>0</v>
      </c>
      <c r="D67" s="334">
        <v>0</v>
      </c>
      <c r="E67" s="334">
        <v>0</v>
      </c>
      <c r="F67" s="334">
        <v>0</v>
      </c>
    </row>
    <row r="68" spans="1:6">
      <c r="A68" s="341" t="s">
        <v>56</v>
      </c>
      <c r="B68" s="341" t="s">
        <v>60</v>
      </c>
      <c r="C68" s="334">
        <v>7</v>
      </c>
      <c r="D68" s="334">
        <v>329317.39528681402</v>
      </c>
      <c r="E68" s="334">
        <v>11</v>
      </c>
      <c r="F68" s="334">
        <v>135691.4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97017661</v>
      </c>
      <c r="E73" s="476">
        <v>97157085.383778051</v>
      </c>
    </row>
    <row r="74" spans="1:6">
      <c r="A74" s="348" t="s">
        <v>64</v>
      </c>
      <c r="B74" s="348" t="s">
        <v>714</v>
      </c>
      <c r="C74" s="1311" t="s">
        <v>716</v>
      </c>
      <c r="D74" s="476">
        <v>10612827.830558943</v>
      </c>
      <c r="E74" s="476">
        <v>10264612.331060009</v>
      </c>
    </row>
    <row r="75" spans="1:6">
      <c r="A75" s="348" t="s">
        <v>65</v>
      </c>
      <c r="B75" s="348" t="s">
        <v>713</v>
      </c>
      <c r="C75" s="1311" t="s">
        <v>717</v>
      </c>
      <c r="D75" s="476">
        <v>22761062</v>
      </c>
      <c r="E75" s="476">
        <v>22276507.802568998</v>
      </c>
    </row>
    <row r="76" spans="1:6">
      <c r="A76" s="348" t="s">
        <v>65</v>
      </c>
      <c r="B76" s="348" t="s">
        <v>714</v>
      </c>
      <c r="C76" s="1311" t="s">
        <v>718</v>
      </c>
      <c r="D76" s="476">
        <v>566470.83055894251</v>
      </c>
      <c r="E76" s="476">
        <v>590663.09117037524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176890.33888211488</v>
      </c>
      <c r="C83" s="476">
        <v>174886.15657300476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4080.4680246965468</v>
      </c>
    </row>
    <row r="92" spans="1:6">
      <c r="A92" s="341" t="s">
        <v>69</v>
      </c>
      <c r="B92" s="342">
        <v>8225.3862322485165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4626</v>
      </c>
    </row>
    <row r="98" spans="1:6">
      <c r="A98" s="348" t="s">
        <v>72</v>
      </c>
      <c r="B98" s="334">
        <v>9</v>
      </c>
    </row>
    <row r="99" spans="1:6">
      <c r="A99" s="348" t="s">
        <v>73</v>
      </c>
      <c r="B99" s="334">
        <v>51</v>
      </c>
    </row>
    <row r="100" spans="1:6">
      <c r="A100" s="348" t="s">
        <v>74</v>
      </c>
      <c r="B100" s="334">
        <v>600</v>
      </c>
    </row>
    <row r="101" spans="1:6">
      <c r="A101" s="348" t="s">
        <v>75</v>
      </c>
      <c r="B101" s="334">
        <v>116</v>
      </c>
    </row>
    <row r="102" spans="1:6">
      <c r="A102" s="348" t="s">
        <v>76</v>
      </c>
      <c r="B102" s="334">
        <v>71</v>
      </c>
    </row>
    <row r="103" spans="1:6">
      <c r="A103" s="348" t="s">
        <v>77</v>
      </c>
      <c r="B103" s="334">
        <v>183</v>
      </c>
    </row>
    <row r="104" spans="1:6">
      <c r="A104" s="348" t="s">
        <v>78</v>
      </c>
      <c r="B104" s="334">
        <v>2061</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122</v>
      </c>
    </row>
    <row r="130" spans="1:6">
      <c r="A130" s="348" t="s">
        <v>295</v>
      </c>
      <c r="B130" s="334">
        <v>2</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144304.29372043602</v>
      </c>
      <c r="C3" s="43" t="s">
        <v>170</v>
      </c>
      <c r="D3" s="43"/>
      <c r="E3" s="154"/>
      <c r="F3" s="43"/>
      <c r="G3" s="43"/>
      <c r="H3" s="43"/>
      <c r="I3" s="43"/>
      <c r="J3" s="43"/>
      <c r="K3" s="96"/>
    </row>
    <row r="4" spans="1:11">
      <c r="A4" s="384" t="s">
        <v>171</v>
      </c>
      <c r="B4" s="49">
        <f>IF(ISERROR('SEAP template'!B78+'SEAP template'!C78),0,'SEAP template'!B78+'SEAP template'!C78)</f>
        <v>12305.854256945064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0.2021537569626751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1746.597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1746.597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0.2021537569626751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353.08114544973745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33726.843999999997</v>
      </c>
      <c r="C5" s="17">
        <f>IF(ISERROR('Eigen informatie GS &amp; warmtenet'!B57),0,'Eigen informatie GS &amp; warmtenet'!B57)</f>
        <v>0</v>
      </c>
      <c r="D5" s="30">
        <f>(SUM(HH_hh_gas_kWh,HH_rest_gas_kWh)/1000)*0.902</f>
        <v>87848.414642826989</v>
      </c>
      <c r="E5" s="17">
        <f>B46*B57</f>
        <v>1974.2908526629324</v>
      </c>
      <c r="F5" s="17">
        <f>B51*B62</f>
        <v>0</v>
      </c>
      <c r="G5" s="18"/>
      <c r="H5" s="17"/>
      <c r="I5" s="17"/>
      <c r="J5" s="17">
        <f>B50*B61+C50*C61</f>
        <v>0</v>
      </c>
      <c r="K5" s="17"/>
      <c r="L5" s="17"/>
      <c r="M5" s="17"/>
      <c r="N5" s="17">
        <f>B48*B59+C48*C59</f>
        <v>17029.313200773817</v>
      </c>
      <c r="O5" s="17">
        <f>B69*B70*B71</f>
        <v>231.37333333333333</v>
      </c>
      <c r="P5" s="17">
        <f>B77*B78*B79/1000-B77*B78*B79/1000/B80</f>
        <v>419.4666666666667</v>
      </c>
    </row>
    <row r="6" spans="1:16">
      <c r="A6" s="16" t="s">
        <v>631</v>
      </c>
      <c r="B6" s="789">
        <f>kWh_PV_kleiner_dan_10kW</f>
        <v>4080.4680246965468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37807.312024696541</v>
      </c>
      <c r="C8" s="21">
        <f>C5</f>
        <v>0</v>
      </c>
      <c r="D8" s="21">
        <f>D5</f>
        <v>87848.414642826989</v>
      </c>
      <c r="E8" s="21">
        <f>E5</f>
        <v>1974.2908526629324</v>
      </c>
      <c r="F8" s="21">
        <f>F5</f>
        <v>0</v>
      </c>
      <c r="G8" s="21"/>
      <c r="H8" s="21"/>
      <c r="I8" s="21"/>
      <c r="J8" s="21">
        <f>J5</f>
        <v>0</v>
      </c>
      <c r="K8" s="21"/>
      <c r="L8" s="21">
        <f>L5</f>
        <v>0</v>
      </c>
      <c r="M8" s="21">
        <f>M5</f>
        <v>0</v>
      </c>
      <c r="N8" s="21">
        <f>N5</f>
        <v>17029.313200773817</v>
      </c>
      <c r="O8" s="21">
        <f>O5</f>
        <v>231.37333333333333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0.2021537569626751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7642.8901664525283</v>
      </c>
      <c r="C12" s="23">
        <f ca="1">C10*C8</f>
        <v>0</v>
      </c>
      <c r="D12" s="23">
        <f>D8*D10</f>
        <v>17745.379757851053</v>
      </c>
      <c r="E12" s="23">
        <f>E10*E8</f>
        <v>448.16402355448565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4626</v>
      </c>
      <c r="C18" s="166" t="s">
        <v>111</v>
      </c>
      <c r="D18" s="228"/>
      <c r="E18" s="15"/>
    </row>
    <row r="19" spans="1:7">
      <c r="A19" s="171" t="s">
        <v>72</v>
      </c>
      <c r="B19" s="37">
        <f>aantalw2001_ander</f>
        <v>9</v>
      </c>
      <c r="C19" s="166" t="s">
        <v>111</v>
      </c>
      <c r="D19" s="229"/>
      <c r="E19" s="15"/>
    </row>
    <row r="20" spans="1:7">
      <c r="A20" s="171" t="s">
        <v>73</v>
      </c>
      <c r="B20" s="37">
        <f>aantalw2001_propaan</f>
        <v>51</v>
      </c>
      <c r="C20" s="167">
        <f>IF(ISERROR(B20/SUM($B$20,$B$21,$B$22)*100),0,B20/SUM($B$20,$B$21,$B$22)*100)</f>
        <v>6.6492829204693615</v>
      </c>
      <c r="D20" s="229"/>
      <c r="E20" s="15"/>
    </row>
    <row r="21" spans="1:7">
      <c r="A21" s="171" t="s">
        <v>74</v>
      </c>
      <c r="B21" s="37">
        <f>aantalw2001_elektriciteit</f>
        <v>600</v>
      </c>
      <c r="C21" s="167">
        <f>IF(ISERROR(B21/SUM($B$20,$B$21,$B$22)*100),0,B21/SUM($B$20,$B$21,$B$22)*100)</f>
        <v>78.226857887874829</v>
      </c>
      <c r="D21" s="229"/>
      <c r="E21" s="15"/>
    </row>
    <row r="22" spans="1:7">
      <c r="A22" s="171" t="s">
        <v>75</v>
      </c>
      <c r="B22" s="37">
        <f>aantalw2001_hout</f>
        <v>116</v>
      </c>
      <c r="C22" s="167">
        <f>IF(ISERROR(B22/SUM($B$20,$B$21,$B$22)*100),0,B22/SUM($B$20,$B$21,$B$22)*100)</f>
        <v>15.123859191655804</v>
      </c>
      <c r="D22" s="229"/>
      <c r="E22" s="15"/>
    </row>
    <row r="23" spans="1:7">
      <c r="A23" s="171" t="s">
        <v>76</v>
      </c>
      <c r="B23" s="37">
        <f>aantalw2001_niet_gespec</f>
        <v>71</v>
      </c>
      <c r="C23" s="166" t="s">
        <v>111</v>
      </c>
      <c r="D23" s="228"/>
      <c r="E23" s="15"/>
    </row>
    <row r="24" spans="1:7">
      <c r="A24" s="171" t="s">
        <v>77</v>
      </c>
      <c r="B24" s="37">
        <f>aantalw2001_steenkool</f>
        <v>183</v>
      </c>
      <c r="C24" s="166" t="s">
        <v>111</v>
      </c>
      <c r="D24" s="229"/>
      <c r="E24" s="15"/>
    </row>
    <row r="25" spans="1:7">
      <c r="A25" s="171" t="s">
        <v>78</v>
      </c>
      <c r="B25" s="37">
        <f>aantalw2001_stookolie</f>
        <v>2061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8719</v>
      </c>
      <c r="C28" s="36"/>
      <c r="D28" s="228"/>
    </row>
    <row r="29" spans="1:7" s="15" customFormat="1">
      <c r="A29" s="230" t="s">
        <v>741</v>
      </c>
      <c r="B29" s="37">
        <f>SUM(HH_hh_gas_aantal,HH_rest_gas_aantal)</f>
        <v>6707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6707</v>
      </c>
      <c r="C32" s="167">
        <f>IF(ISERROR(B32/SUM($B$32,$B$34,$B$35,$B$36,$B$38,$B$39)*100),0,B32/SUM($B$32,$B$34,$B$35,$B$36,$B$38,$B$39)*100)</f>
        <v>77.118546625273083</v>
      </c>
      <c r="D32" s="233"/>
      <c r="G32" s="15"/>
    </row>
    <row r="33" spans="1:7">
      <c r="A33" s="171" t="s">
        <v>72</v>
      </c>
      <c r="B33" s="34" t="s">
        <v>111</v>
      </c>
      <c r="C33" s="167"/>
      <c r="D33" s="233"/>
      <c r="G33" s="15"/>
    </row>
    <row r="34" spans="1:7">
      <c r="A34" s="171" t="s">
        <v>73</v>
      </c>
      <c r="B34" s="33">
        <f>IF((($B$28-$B$32-$B$39-$B$77-$B$38)*C20/100)&lt;0,0,($B$28-$B$32-$B$39-$B$77-$B$38)*C20/100)</f>
        <v>132.3207301173403</v>
      </c>
      <c r="C34" s="167">
        <f>IF(ISERROR(B34/SUM($B$32,$B$34,$B$35,$B$36,$B$38,$B$39)*100),0,B34/SUM($B$32,$B$34,$B$35,$B$36,$B$38,$B$39)*100)</f>
        <v>1.5214525712008775</v>
      </c>
      <c r="D34" s="233"/>
      <c r="G34" s="15"/>
    </row>
    <row r="35" spans="1:7">
      <c r="A35" s="171" t="s">
        <v>74</v>
      </c>
      <c r="B35" s="33">
        <f>IF((($B$28-$B$32-$B$39-$B$77-$B$38)*C21/100)&lt;0,0,($B$28-$B$32-$B$39-$B$77-$B$38)*C21/100)</f>
        <v>1556.7144719687089</v>
      </c>
      <c r="C35" s="167">
        <f>IF(ISERROR(B35/SUM($B$32,$B$34,$B$35,$B$36,$B$38,$B$39)*100),0,B35/SUM($B$32,$B$34,$B$35,$B$36,$B$38,$B$39)*100)</f>
        <v>17.899442014127963</v>
      </c>
      <c r="D35" s="233"/>
      <c r="G35" s="15"/>
    </row>
    <row r="36" spans="1:7">
      <c r="A36" s="171" t="s">
        <v>75</v>
      </c>
      <c r="B36" s="33">
        <f>IF((($B$28-$B$32-$B$39-$B$77-$B$38)*C22/100)&lt;0,0,($B$28-$B$32-$B$39-$B$77-$B$38)*C22/100)</f>
        <v>300.96479791395052</v>
      </c>
      <c r="C36" s="167">
        <f>IF(ISERROR(B36/SUM($B$32,$B$34,$B$35,$B$36,$B$38,$B$39)*100),0,B36/SUM($B$32,$B$34,$B$35,$B$36,$B$38,$B$39)*100)</f>
        <v>3.4605587893980743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6707</v>
      </c>
      <c r="C44" s="34" t="s">
        <v>111</v>
      </c>
      <c r="D44" s="174"/>
    </row>
    <row r="45" spans="1:7">
      <c r="A45" s="171" t="s">
        <v>72</v>
      </c>
      <c r="B45" s="33" t="str">
        <f t="shared" si="0"/>
        <v>-</v>
      </c>
      <c r="C45" s="34" t="s">
        <v>111</v>
      </c>
      <c r="D45" s="174"/>
    </row>
    <row r="46" spans="1:7">
      <c r="A46" s="171" t="s">
        <v>73</v>
      </c>
      <c r="B46" s="33">
        <f t="shared" si="0"/>
        <v>132.3207301173403</v>
      </c>
      <c r="C46" s="34" t="s">
        <v>111</v>
      </c>
      <c r="D46" s="174"/>
    </row>
    <row r="47" spans="1:7">
      <c r="A47" s="171" t="s">
        <v>74</v>
      </c>
      <c r="B47" s="33">
        <f t="shared" si="0"/>
        <v>1556.7144719687089</v>
      </c>
      <c r="C47" s="34" t="s">
        <v>111</v>
      </c>
      <c r="D47" s="174"/>
    </row>
    <row r="48" spans="1:7">
      <c r="A48" s="171" t="s">
        <v>75</v>
      </c>
      <c r="B48" s="33">
        <f t="shared" si="0"/>
        <v>300.96479791395052</v>
      </c>
      <c r="C48" s="33">
        <f>B48*10</f>
        <v>3009.647979139505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33985.162799999998</v>
      </c>
      <c r="C5" s="17">
        <f>IF(ISERROR('Eigen informatie GS &amp; warmtenet'!B58),0,'Eigen informatie GS &amp; warmtenet'!B58)</f>
        <v>0</v>
      </c>
      <c r="D5" s="30">
        <f>SUM(D6:D12)</f>
        <v>36765.337899959872</v>
      </c>
      <c r="E5" s="17">
        <f>SUM(E6:E12)</f>
        <v>300.16943455713823</v>
      </c>
      <c r="F5" s="17">
        <f>SUM(F6:F12)</f>
        <v>4851.0579157013581</v>
      </c>
      <c r="G5" s="18"/>
      <c r="H5" s="17"/>
      <c r="I5" s="17"/>
      <c r="J5" s="17">
        <f>SUM(J6:J12)</f>
        <v>0</v>
      </c>
      <c r="K5" s="17"/>
      <c r="L5" s="17"/>
      <c r="M5" s="17"/>
      <c r="N5" s="17">
        <f>SUM(N6:N12)</f>
        <v>2813.2489328893935</v>
      </c>
      <c r="O5" s="17">
        <f>B38*B39*B40</f>
        <v>3.1266666666666669</v>
      </c>
      <c r="P5" s="17">
        <f>B46*B47*B48/1000-B46*B47*B48/1000/B49</f>
        <v>57.2</v>
      </c>
      <c r="R5" s="32"/>
    </row>
    <row r="6" spans="1:18">
      <c r="A6" s="32" t="s">
        <v>54</v>
      </c>
      <c r="B6" s="37">
        <f>B26</f>
        <v>10484.76</v>
      </c>
      <c r="C6" s="33"/>
      <c r="D6" s="37">
        <f>IF(ISERROR(TER_kantoor_gas_kWh/1000),0,TER_kantoor_gas_kWh/1000)*0.902</f>
        <v>9504.6860524261047</v>
      </c>
      <c r="E6" s="33">
        <f>$C$26*'E Balans VL '!I12/100/3.6*1000000</f>
        <v>30.375888052416148</v>
      </c>
      <c r="F6" s="33">
        <f>$C$26*('E Balans VL '!L12+'E Balans VL '!N12)/100/3.6*1000000</f>
        <v>1186.6438348274473</v>
      </c>
      <c r="G6" s="34"/>
      <c r="H6" s="33"/>
      <c r="I6" s="33"/>
      <c r="J6" s="33">
        <f>$C$26*('E Balans VL '!D12+'E Balans VL '!E12)/100/3.6*1000000</f>
        <v>0</v>
      </c>
      <c r="K6" s="33"/>
      <c r="L6" s="33"/>
      <c r="M6" s="33"/>
      <c r="N6" s="33">
        <f>$C$26*'E Balans VL '!Y12/100/3.6*1000000</f>
        <v>104.94472208389722</v>
      </c>
      <c r="O6" s="33"/>
      <c r="P6" s="33"/>
      <c r="R6" s="32"/>
    </row>
    <row r="7" spans="1:18">
      <c r="A7" s="32" t="s">
        <v>53</v>
      </c>
      <c r="B7" s="37">
        <f t="shared" ref="B7:B12" si="0">B27</f>
        <v>2365.1309999999999</v>
      </c>
      <c r="C7" s="33"/>
      <c r="D7" s="37">
        <f>IF(ISERROR(TER_horeca_gas_kWh/1000),0,TER_horeca_gas_kWh/1000)*0.902</f>
        <v>2361.2623373866322</v>
      </c>
      <c r="E7" s="33">
        <f>$C$27*'E Balans VL '!I9/100/3.6*1000000</f>
        <v>99.281591334586295</v>
      </c>
      <c r="F7" s="33">
        <f>$C$27*('E Balans VL '!L9+'E Balans VL '!N9)/100/3.6*1000000</f>
        <v>508.19689692917672</v>
      </c>
      <c r="G7" s="34"/>
      <c r="H7" s="33"/>
      <c r="I7" s="33"/>
      <c r="J7" s="33">
        <f>$C$27*('E Balans VL '!D9+'E Balans VL '!E9)/100/3.6*1000000</f>
        <v>0</v>
      </c>
      <c r="K7" s="33"/>
      <c r="L7" s="33"/>
      <c r="M7" s="33"/>
      <c r="N7" s="33">
        <f>$C$27*'E Balans VL '!Y9/100/3.6*1000000</f>
        <v>0.60947357487905141</v>
      </c>
      <c r="O7" s="33"/>
      <c r="P7" s="33"/>
      <c r="R7" s="32"/>
    </row>
    <row r="8" spans="1:18">
      <c r="A8" s="6" t="s">
        <v>52</v>
      </c>
      <c r="B8" s="37">
        <f t="shared" si="0"/>
        <v>11554.093999999999</v>
      </c>
      <c r="C8" s="33"/>
      <c r="D8" s="37">
        <f>IF(ISERROR(TER_handel_gas_kWh/1000),0,TER_handel_gas_kWh/1000)*0.902</f>
        <v>8327.8208644056031</v>
      </c>
      <c r="E8" s="33">
        <f>$C$28*'E Balans VL '!I13/100/3.6*1000000</f>
        <v>124.10058575908043</v>
      </c>
      <c r="F8" s="33">
        <f>$C$28*('E Balans VL '!L13+'E Balans VL '!N13)/100/3.6*1000000</f>
        <v>1495.7728800413588</v>
      </c>
      <c r="G8" s="34"/>
      <c r="H8" s="33"/>
      <c r="I8" s="33"/>
      <c r="J8" s="33">
        <f>$C$28*('E Balans VL '!D13+'E Balans VL '!E13)/100/3.6*1000000</f>
        <v>0</v>
      </c>
      <c r="K8" s="33"/>
      <c r="L8" s="33"/>
      <c r="M8" s="33"/>
      <c r="N8" s="33">
        <f>$C$28*'E Balans VL '!Y13/100/3.6*1000000</f>
        <v>93.727441408962804</v>
      </c>
      <c r="O8" s="33"/>
      <c r="P8" s="33"/>
      <c r="R8" s="32"/>
    </row>
    <row r="9" spans="1:18">
      <c r="A9" s="32" t="s">
        <v>51</v>
      </c>
      <c r="B9" s="37">
        <f t="shared" si="0"/>
        <v>2159.14</v>
      </c>
      <c r="C9" s="33"/>
      <c r="D9" s="37">
        <f>IF(ISERROR(TER_gezond_gas_kWh/1000),0,TER_gezond_gas_kWh/1000)*0.902</f>
        <v>2802.022151796953</v>
      </c>
      <c r="E9" s="33">
        <f>$C$29*'E Balans VL '!I10/100/3.6*1000000</f>
        <v>1.7188150894338812</v>
      </c>
      <c r="F9" s="33">
        <f>$C$29*('E Balans VL '!L10+'E Balans VL '!N10)/100/3.6*1000000</f>
        <v>262.47466938341131</v>
      </c>
      <c r="G9" s="34"/>
      <c r="H9" s="33"/>
      <c r="I9" s="33"/>
      <c r="J9" s="33">
        <f>$C$29*('E Balans VL '!D10+'E Balans VL '!E10)/100/3.6*1000000</f>
        <v>0</v>
      </c>
      <c r="K9" s="33"/>
      <c r="L9" s="33"/>
      <c r="M9" s="33"/>
      <c r="N9" s="33">
        <f>$C$29*'E Balans VL '!Y10/100/3.6*1000000</f>
        <v>17.440960893441265</v>
      </c>
      <c r="O9" s="33"/>
      <c r="P9" s="33"/>
      <c r="R9" s="32"/>
    </row>
    <row r="10" spans="1:18">
      <c r="A10" s="32" t="s">
        <v>50</v>
      </c>
      <c r="B10" s="37">
        <f t="shared" si="0"/>
        <v>3240.2910000000002</v>
      </c>
      <c r="C10" s="33"/>
      <c r="D10" s="37">
        <f>IF(ISERROR(TER_ander_gas_kWh/1000),0,TER_ander_gas_kWh/1000)*0.902</f>
        <v>4534.6814380095439</v>
      </c>
      <c r="E10" s="33">
        <f>$C$30*'E Balans VL '!I14/100/3.6*1000000</f>
        <v>11.104647480068936</v>
      </c>
      <c r="F10" s="33">
        <f>$C$30*('E Balans VL '!L14+'E Balans VL '!N14)/100/3.6*1000000</f>
        <v>723.74933948401565</v>
      </c>
      <c r="G10" s="34"/>
      <c r="H10" s="33"/>
      <c r="I10" s="33"/>
      <c r="J10" s="33">
        <f>$C$30*('E Balans VL '!D14+'E Balans VL '!E14)/100/3.6*1000000</f>
        <v>0</v>
      </c>
      <c r="K10" s="33"/>
      <c r="L10" s="33"/>
      <c r="M10" s="33"/>
      <c r="N10" s="33">
        <f>$C$30*'E Balans VL '!Y14/100/3.6*1000000</f>
        <v>2282.47868176372</v>
      </c>
      <c r="O10" s="33"/>
      <c r="P10" s="33"/>
      <c r="R10" s="32"/>
    </row>
    <row r="11" spans="1:18">
      <c r="A11" s="32" t="s">
        <v>55</v>
      </c>
      <c r="B11" s="37">
        <f t="shared" si="0"/>
        <v>505.38380000000001</v>
      </c>
      <c r="C11" s="33"/>
      <c r="D11" s="37">
        <f>IF(ISERROR(TER_onderwijs_gas_kWh/1000),0,TER_onderwijs_gas_kWh/1000)*0.902</f>
        <v>1847.999165682465</v>
      </c>
      <c r="E11" s="33">
        <f>$C$31*'E Balans VL '!I11/100/3.6*1000000</f>
        <v>0.34935625634391304</v>
      </c>
      <c r="F11" s="33">
        <f>$C$31*('E Balans VL '!L11+'E Balans VL '!N11)/100/3.6*1000000</f>
        <v>132.29479843669927</v>
      </c>
      <c r="G11" s="34"/>
      <c r="H11" s="33"/>
      <c r="I11" s="33"/>
      <c r="J11" s="33">
        <f>$C$31*('E Balans VL '!D11+'E Balans VL '!E11)/100/3.6*1000000</f>
        <v>0</v>
      </c>
      <c r="K11" s="33"/>
      <c r="L11" s="33"/>
      <c r="M11" s="33"/>
      <c r="N11" s="33">
        <f>$C$31*'E Balans VL '!Y11/100/3.6*1000000</f>
        <v>0.50306652766579985</v>
      </c>
      <c r="O11" s="33"/>
      <c r="P11" s="33"/>
      <c r="R11" s="32"/>
    </row>
    <row r="12" spans="1:18">
      <c r="A12" s="32" t="s">
        <v>260</v>
      </c>
      <c r="B12" s="37">
        <f t="shared" si="0"/>
        <v>3676.3629999999998</v>
      </c>
      <c r="C12" s="33"/>
      <c r="D12" s="37">
        <f>IF(ISERROR(TER_rest_gas_kWh/1000),0,TER_rest_gas_kWh/1000)*0.902</f>
        <v>7386.865890252574</v>
      </c>
      <c r="E12" s="33">
        <f>$C$32*'E Balans VL '!I8/100/3.6*1000000</f>
        <v>33.238550585208593</v>
      </c>
      <c r="F12" s="33">
        <f>$C$32*('E Balans VL '!L8+'E Balans VL '!N8)/100/3.6*1000000</f>
        <v>541.92549659924816</v>
      </c>
      <c r="G12" s="34"/>
      <c r="H12" s="33"/>
      <c r="I12" s="33"/>
      <c r="J12" s="33">
        <f>$C$32*('E Balans VL '!D8+'E Balans VL '!E8)/100/3.6*1000000</f>
        <v>0</v>
      </c>
      <c r="K12" s="33"/>
      <c r="L12" s="33"/>
      <c r="M12" s="33"/>
      <c r="N12" s="33">
        <f>$C$32*'E Balans VL '!Y8/100/3.6*1000000</f>
        <v>313.54458663682703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33985.162799999998</v>
      </c>
      <c r="C16" s="21">
        <f t="shared" ca="1" si="1"/>
        <v>0</v>
      </c>
      <c r="D16" s="21">
        <f t="shared" ca="1" si="1"/>
        <v>36765.337899959872</v>
      </c>
      <c r="E16" s="21">
        <f t="shared" si="1"/>
        <v>300.16943455713823</v>
      </c>
      <c r="F16" s="21">
        <f t="shared" ca="1" si="1"/>
        <v>4851.0579157013581</v>
      </c>
      <c r="G16" s="21">
        <f t="shared" si="1"/>
        <v>0</v>
      </c>
      <c r="H16" s="21">
        <f t="shared" si="1"/>
        <v>0</v>
      </c>
      <c r="I16" s="21">
        <f t="shared" si="1"/>
        <v>0</v>
      </c>
      <c r="J16" s="21">
        <f t="shared" si="1"/>
        <v>0</v>
      </c>
      <c r="K16" s="21">
        <f t="shared" si="1"/>
        <v>0</v>
      </c>
      <c r="L16" s="21">
        <f t="shared" ca="1" si="1"/>
        <v>0</v>
      </c>
      <c r="M16" s="21">
        <f t="shared" si="1"/>
        <v>0</v>
      </c>
      <c r="N16" s="21">
        <f t="shared" ca="1" si="1"/>
        <v>2813.2489328893935</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0.2021537569626751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6870.2283410081463</v>
      </c>
      <c r="C20" s="23">
        <f t="shared" ref="C20:P20" ca="1" si="2">C16*C18</f>
        <v>0</v>
      </c>
      <c r="D20" s="23">
        <f t="shared" ca="1" si="2"/>
        <v>7426.5982557918942</v>
      </c>
      <c r="E20" s="23">
        <f t="shared" si="2"/>
        <v>68.138461644470382</v>
      </c>
      <c r="F20" s="23">
        <f t="shared" ca="1" si="2"/>
        <v>1295.2324634922627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10484.76</v>
      </c>
      <c r="C26" s="39">
        <f>IF(ISERROR(B26*3.6/1000000/'E Balans VL '!Z12*100),0,B26*3.6/1000000/'E Balans VL '!Z12*100)</f>
        <v>0.23030987499638322</v>
      </c>
      <c r="D26" s="237" t="s">
        <v>692</v>
      </c>
      <c r="F26" s="6"/>
    </row>
    <row r="27" spans="1:18">
      <c r="A27" s="231" t="s">
        <v>53</v>
      </c>
      <c r="B27" s="33">
        <f>IF(ISERROR(TER_horeca_ele_kWh/1000),0,TER_horeca_ele_kWh/1000)</f>
        <v>2365.1309999999999</v>
      </c>
      <c r="C27" s="39">
        <f>IF(ISERROR(B27*3.6/1000000/'E Balans VL '!Z9*100),0,B27*3.6/1000000/'E Balans VL '!Z9*100)</f>
        <v>0.19006185175426485</v>
      </c>
      <c r="D27" s="237" t="s">
        <v>692</v>
      </c>
      <c r="F27" s="6"/>
    </row>
    <row r="28" spans="1:18">
      <c r="A28" s="171" t="s">
        <v>52</v>
      </c>
      <c r="B28" s="33">
        <f>IF(ISERROR(TER_handel_ele_kWh/1000),0,TER_handel_ele_kWh/1000)</f>
        <v>11554.093999999999</v>
      </c>
      <c r="C28" s="39">
        <f>IF(ISERROR(B28*3.6/1000000/'E Balans VL '!Z13*100),0,B28*3.6/1000000/'E Balans VL '!Z13*100)</f>
        <v>0.3416464877204502</v>
      </c>
      <c r="D28" s="237" t="s">
        <v>692</v>
      </c>
      <c r="F28" s="6"/>
    </row>
    <row r="29" spans="1:18">
      <c r="A29" s="231" t="s">
        <v>51</v>
      </c>
      <c r="B29" s="33">
        <f>IF(ISERROR(TER_gezond_ele_kWh/1000),0,TER_gezond_ele_kWh/1000)</f>
        <v>2159.14</v>
      </c>
      <c r="C29" s="39">
        <f>IF(ISERROR(B29*3.6/1000000/'E Balans VL '!Z10*100),0,B29*3.6/1000000/'E Balans VL '!Z10*100)</f>
        <v>0.24327933391905315</v>
      </c>
      <c r="D29" s="237" t="s">
        <v>692</v>
      </c>
      <c r="F29" s="6"/>
    </row>
    <row r="30" spans="1:18">
      <c r="A30" s="231" t="s">
        <v>50</v>
      </c>
      <c r="B30" s="33">
        <f>IF(ISERROR(TER_ander_ele_kWh/1000),0,TER_ander_ele_kWh/1000)</f>
        <v>3240.2910000000002</v>
      </c>
      <c r="C30" s="39">
        <f>IF(ISERROR(B30*3.6/1000000/'E Balans VL '!Z14*100),0,B30*3.6/1000000/'E Balans VL '!Z14*100)</f>
        <v>0.24505766930273376</v>
      </c>
      <c r="D30" s="237" t="s">
        <v>692</v>
      </c>
      <c r="F30" s="6"/>
    </row>
    <row r="31" spans="1:18">
      <c r="A31" s="231" t="s">
        <v>55</v>
      </c>
      <c r="B31" s="33">
        <f>IF(ISERROR(TER_onderwijs_ele_kWh/1000),0,TER_onderwijs_ele_kWh/1000)</f>
        <v>505.38380000000001</v>
      </c>
      <c r="C31" s="39">
        <f>IF(ISERROR(B31*3.6/1000000/'E Balans VL '!Z11*100),0,B31*3.6/1000000/'E Balans VL '!Z11*100)</f>
        <v>0.10490594489874193</v>
      </c>
      <c r="D31" s="237" t="s">
        <v>692</v>
      </c>
    </row>
    <row r="32" spans="1:18">
      <c r="A32" s="231" t="s">
        <v>260</v>
      </c>
      <c r="B32" s="33">
        <f>IF(ISERROR(TER_rest_ele_kWh/1000),0,TER_rest_ele_kWh/1000)</f>
        <v>3676.3629999999998</v>
      </c>
      <c r="C32" s="39">
        <f>IF(ISERROR(B32*3.6/1000000/'E Balans VL '!Z8*100),0,B32*3.6/1000000/'E Balans VL '!Z8*100)</f>
        <v>3.0971195543887216E-2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69082.654500000004</v>
      </c>
      <c r="C5" s="17">
        <f>IF(ISERROR('Eigen informatie GS &amp; warmtenet'!B59),0,'Eigen informatie GS &amp; warmtenet'!B59)</f>
        <v>0</v>
      </c>
      <c r="D5" s="30">
        <f>SUM(D6:D15)</f>
        <v>61548.149769000302</v>
      </c>
      <c r="E5" s="17">
        <f>SUM(E6:E15)</f>
        <v>9466.6072270016011</v>
      </c>
      <c r="F5" s="17">
        <f>SUM(F6:F15)</f>
        <v>31566.625291034103</v>
      </c>
      <c r="G5" s="18"/>
      <c r="H5" s="17"/>
      <c r="I5" s="17"/>
      <c r="J5" s="17">
        <f>SUM(J6:J15)</f>
        <v>184.05843078486973</v>
      </c>
      <c r="K5" s="17"/>
      <c r="L5" s="17"/>
      <c r="M5" s="17"/>
      <c r="N5" s="17">
        <f>SUM(N6:N15)</f>
        <v>16586.20102713535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226.42339999999999</v>
      </c>
      <c r="C8" s="33"/>
      <c r="D8" s="37">
        <f>IF( ISERROR(IND_metaal_Gas_kWH/1000),0,IND_metaal_Gas_kWH/1000)*0.902</f>
        <v>182.58776526556792</v>
      </c>
      <c r="E8" s="33">
        <f>C30*'E Balans VL '!I18/100/3.6*1000000</f>
        <v>5.6665852370774532</v>
      </c>
      <c r="F8" s="33">
        <f>C30*'E Balans VL '!L18/100/3.6*1000000+C30*'E Balans VL '!N18/100/3.6*1000000</f>
        <v>70.962219847914284</v>
      </c>
      <c r="G8" s="34"/>
      <c r="H8" s="33"/>
      <c r="I8" s="33"/>
      <c r="J8" s="40">
        <f>C30*'E Balans VL '!D18/100/3.6*1000000+C30*'E Balans VL '!E18/100/3.6*1000000</f>
        <v>0</v>
      </c>
      <c r="K8" s="33"/>
      <c r="L8" s="33"/>
      <c r="M8" s="33"/>
      <c r="N8" s="33">
        <f>C30*'E Balans VL '!Y18/100/3.6*1000000</f>
        <v>5.6883434279638552</v>
      </c>
      <c r="O8" s="33"/>
      <c r="P8" s="33"/>
      <c r="R8" s="32"/>
    </row>
    <row r="9" spans="1:18">
      <c r="A9" s="6" t="s">
        <v>33</v>
      </c>
      <c r="B9" s="37">
        <f t="shared" si="0"/>
        <v>26921.517</v>
      </c>
      <c r="C9" s="33"/>
      <c r="D9" s="37">
        <f>IF( ISERROR(IND_andere_gas_kWh/1000),0,IND_andere_gas_kWh/1000)*0.902</f>
        <v>6720.5908534517657</v>
      </c>
      <c r="E9" s="33">
        <f>C31*'E Balans VL '!I19/100/3.6*1000000</f>
        <v>7402.3129874835649</v>
      </c>
      <c r="F9" s="33">
        <f>C31*'E Balans VL '!L19/100/3.6*1000000+C31*'E Balans VL '!N19/100/3.6*1000000</f>
        <v>21218.840076308486</v>
      </c>
      <c r="G9" s="34"/>
      <c r="H9" s="33"/>
      <c r="I9" s="33"/>
      <c r="J9" s="40">
        <f>C31*'E Balans VL '!D19/100/3.6*1000000+C31*'E Balans VL '!E19/100/3.6*1000000</f>
        <v>0</v>
      </c>
      <c r="K9" s="33"/>
      <c r="L9" s="33"/>
      <c r="M9" s="33"/>
      <c r="N9" s="33">
        <f>C31*'E Balans VL '!Y19/100/3.6*1000000</f>
        <v>8715.2056620360745</v>
      </c>
      <c r="O9" s="33"/>
      <c r="P9" s="33"/>
      <c r="R9" s="32"/>
    </row>
    <row r="10" spans="1:18">
      <c r="A10" s="6" t="s">
        <v>41</v>
      </c>
      <c r="B10" s="37">
        <f t="shared" si="0"/>
        <v>560.90909999999997</v>
      </c>
      <c r="C10" s="33"/>
      <c r="D10" s="37">
        <f>IF( ISERROR(IND_voed_gas_kWh/1000),0,IND_voed_gas_kWh/1000)*0.902</f>
        <v>969.55332618156535</v>
      </c>
      <c r="E10" s="33">
        <f>C32*'E Balans VL '!I20/100/3.6*1000000</f>
        <v>5.7181592679136113</v>
      </c>
      <c r="F10" s="33">
        <f>C32*'E Balans VL '!L20/100/3.6*1000000+C32*'E Balans VL '!N20/100/3.6*1000000</f>
        <v>1059.5537817522245</v>
      </c>
      <c r="G10" s="34"/>
      <c r="H10" s="33"/>
      <c r="I10" s="33"/>
      <c r="J10" s="40">
        <f>C32*'E Balans VL '!D20/100/3.6*1000000+C32*'E Balans VL '!E20/100/3.6*1000000</f>
        <v>13.424390065884346</v>
      </c>
      <c r="K10" s="33"/>
      <c r="L10" s="33"/>
      <c r="M10" s="33"/>
      <c r="N10" s="33">
        <f>C32*'E Balans VL '!Y20/100/3.6*1000000</f>
        <v>295.66370450575783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1084.8599999999999</v>
      </c>
      <c r="C12" s="33"/>
      <c r="D12" s="37">
        <f>IF( ISERROR(IND_min_gas_kWh/1000),0,IND_min_gas_kWh/1000)*0.902</f>
        <v>218.96427103167611</v>
      </c>
      <c r="E12" s="33">
        <f>C34*'E Balans VL '!I22/100/3.6*1000000</f>
        <v>3.2855502003972457</v>
      </c>
      <c r="F12" s="33">
        <f>C34*'E Balans VL '!L22/100/3.6*1000000+C34*'E Balans VL '!N22/100/3.6*1000000</f>
        <v>33.902807693310876</v>
      </c>
      <c r="G12" s="34"/>
      <c r="H12" s="33"/>
      <c r="I12" s="33"/>
      <c r="J12" s="40">
        <f>C34*'E Balans VL '!D22/100/3.6*1000000+C34*'E Balans VL '!E22/100/3.6*1000000</f>
        <v>1.6086065534895571</v>
      </c>
      <c r="K12" s="33"/>
      <c r="L12" s="33"/>
      <c r="M12" s="33"/>
      <c r="N12" s="33">
        <f>C34*'E Balans VL '!Y22/100/3.6*1000000</f>
        <v>0</v>
      </c>
      <c r="O12" s="33"/>
      <c r="P12" s="33"/>
      <c r="R12" s="32"/>
    </row>
    <row r="13" spans="1:18">
      <c r="A13" s="6" t="s">
        <v>39</v>
      </c>
      <c r="B13" s="37">
        <f t="shared" si="0"/>
        <v>0</v>
      </c>
      <c r="C13" s="33"/>
      <c r="D13" s="37">
        <f>IF( ISERROR(IND_papier_gas_kWh/1000),0,IND_papier_gas_kWh/1000)*0.902</f>
        <v>462.23174549870015</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40288.945</v>
      </c>
      <c r="C15" s="33"/>
      <c r="D15" s="37">
        <f>IF( ISERROR(IND_rest_gas_kWh/1000),0,IND_rest_gas_kWh/1000)*0.902</f>
        <v>52994.221807571026</v>
      </c>
      <c r="E15" s="33">
        <f>C37*'E Balans VL '!I15/100/3.6*1000000</f>
        <v>2049.6239448126485</v>
      </c>
      <c r="F15" s="33">
        <f>C37*'E Balans VL '!L15/100/3.6*1000000+C37*'E Balans VL '!N15/100/3.6*1000000</f>
        <v>9183.3664054321671</v>
      </c>
      <c r="G15" s="34"/>
      <c r="H15" s="33"/>
      <c r="I15" s="33"/>
      <c r="J15" s="40">
        <f>C37*'E Balans VL '!D15/100/3.6*1000000+C37*'E Balans VL '!E15/100/3.6*1000000</f>
        <v>169.02543416549582</v>
      </c>
      <c r="K15" s="33"/>
      <c r="L15" s="33"/>
      <c r="M15" s="33"/>
      <c r="N15" s="33">
        <f>C37*'E Balans VL '!Y15/100/3.6*1000000</f>
        <v>7569.6433171655517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69082.654500000004</v>
      </c>
      <c r="C18" s="21">
        <f>C5+C16</f>
        <v>0</v>
      </c>
      <c r="D18" s="21">
        <f>MAX((D5+D16),0)</f>
        <v>61548.149769000302</v>
      </c>
      <c r="E18" s="21">
        <f>MAX((E5+E16),0)</f>
        <v>9466.6072270016011</v>
      </c>
      <c r="F18" s="21">
        <f>MAX((F5+F16),0)</f>
        <v>31566.625291034103</v>
      </c>
      <c r="G18" s="21"/>
      <c r="H18" s="21"/>
      <c r="I18" s="21"/>
      <c r="J18" s="21">
        <f>MAX((J5+J16),0)</f>
        <v>184.05843078486973</v>
      </c>
      <c r="K18" s="21"/>
      <c r="L18" s="21">
        <f>MAX((L5+L16),0)</f>
        <v>0</v>
      </c>
      <c r="M18" s="21"/>
      <c r="N18" s="21">
        <f>MAX((N5+N16),0)</f>
        <v>16586.20102713535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0.2021537569626751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13965.318148129454</v>
      </c>
      <c r="C22" s="23">
        <f ca="1">C18*C20</f>
        <v>0</v>
      </c>
      <c r="D22" s="23">
        <f>D18*D20</f>
        <v>12432.726253338062</v>
      </c>
      <c r="E22" s="23">
        <f>E18*E20</f>
        <v>2148.9198405293637</v>
      </c>
      <c r="F22" s="23">
        <f>F18*F20</f>
        <v>8428.2889527061052</v>
      </c>
      <c r="G22" s="23"/>
      <c r="H22" s="23"/>
      <c r="I22" s="23"/>
      <c r="J22" s="23">
        <f>J18*J20</f>
        <v>65.156684497843884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226.42339999999999</v>
      </c>
      <c r="C30" s="39">
        <f>IF(ISERROR(B30*3.6/1000000/'E Balans VL '!Z18*100),0,B30*3.6/1000000/'E Balans VL '!Z18*100)</f>
        <v>3.1691730356835972E-2</v>
      </c>
      <c r="D30" s="237" t="s">
        <v>692</v>
      </c>
    </row>
    <row r="31" spans="1:18">
      <c r="A31" s="6" t="s">
        <v>33</v>
      </c>
      <c r="B31" s="37">
        <f>IF( ISERROR(IND_ander_ele_kWh/1000),0,IND_ander_ele_kWh/1000)</f>
        <v>26921.517</v>
      </c>
      <c r="C31" s="39">
        <f>IF(ISERROR(B31*3.6/1000000/'E Balans VL '!Z19*100),0,B31*3.6/1000000/'E Balans VL '!Z19*100)</f>
        <v>1.1783504317994626</v>
      </c>
      <c r="D31" s="237" t="s">
        <v>692</v>
      </c>
    </row>
    <row r="32" spans="1:18">
      <c r="A32" s="171" t="s">
        <v>41</v>
      </c>
      <c r="B32" s="37">
        <f>IF( ISERROR(IND_voed_ele_kWh/1000),0,IND_voed_ele_kWh/1000)</f>
        <v>560.90909999999997</v>
      </c>
      <c r="C32" s="39">
        <f>IF(ISERROR(B32*3.6/1000000/'E Balans VL '!Z20*100),0,B32*3.6/1000000/'E Balans VL '!Z20*100)</f>
        <v>0.13886246628756843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1084.8599999999999</v>
      </c>
      <c r="C34" s="39">
        <f>IF(ISERROR(B34*3.6/1000000/'E Balans VL '!Z22*100),0,B34*3.6/1000000/'E Balans VL '!Z22*100)</f>
        <v>3.0783900809072468E-2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40288.945</v>
      </c>
      <c r="C37" s="39">
        <f>IF(ISERROR(B37*3.6/1000000/'E Balans VL '!Z15*100),0,B37*3.6/1000000/'E Balans VL '!Z15*100)</f>
        <v>0.29873562941572734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686.06479999999999</v>
      </c>
      <c r="C5" s="17">
        <f>'Eigen informatie GS &amp; warmtenet'!B60</f>
        <v>0</v>
      </c>
      <c r="D5" s="30">
        <f>IF(ISERROR(SUM(LB_lb_gas_kWh,LB_rest_gas_kWh)/1000),0,SUM(LB_lb_gas_kWh,LB_rest_gas_kWh)/1000)*0.902</f>
        <v>733.00002577645773</v>
      </c>
      <c r="E5" s="17">
        <f>B17*'E Balans VL '!I25/3.6*1000000/100</f>
        <v>6.3546195279520372</v>
      </c>
      <c r="F5" s="17">
        <f>B17*('E Balans VL '!L25/3.6*1000000+'E Balans VL '!N25/3.6*1000000)/100</f>
        <v>1740.6770928102785</v>
      </c>
      <c r="G5" s="18"/>
      <c r="H5" s="17"/>
      <c r="I5" s="17"/>
      <c r="J5" s="17">
        <f>('E Balans VL '!D25+'E Balans VL '!E25)/3.6*1000000*landbouw!B17/100</f>
        <v>105.18139034551426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686.06479999999999</v>
      </c>
      <c r="C8" s="21">
        <f>C5+C6</f>
        <v>0</v>
      </c>
      <c r="D8" s="21">
        <f>MAX((D5+D6),0)</f>
        <v>733.00002577645773</v>
      </c>
      <c r="E8" s="21">
        <f>MAX((E5+E6),0)</f>
        <v>6.3546195279520372</v>
      </c>
      <c r="F8" s="21">
        <f>MAX((F5+F6),0)</f>
        <v>1740.6770928102785</v>
      </c>
      <c r="G8" s="21"/>
      <c r="H8" s="21"/>
      <c r="I8" s="21"/>
      <c r="J8" s="21">
        <f>MAX((J5+J6),0)</f>
        <v>105.18139034551426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0.2021537569626751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138.6905768398463</v>
      </c>
      <c r="C12" s="23">
        <f ca="1">C8*C10</f>
        <v>0</v>
      </c>
      <c r="D12" s="23">
        <f>D8*D10</f>
        <v>148.06600520684447</v>
      </c>
      <c r="E12" s="23">
        <f>E8*E10</f>
        <v>1.4424986328451126</v>
      </c>
      <c r="F12" s="23">
        <f>F8*F10</f>
        <v>464.76078378034441</v>
      </c>
      <c r="G12" s="23"/>
      <c r="H12" s="23"/>
      <c r="I12" s="23"/>
      <c r="J12" s="23">
        <f>J8*J10</f>
        <v>37.234212182312049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9.754386747178935E-2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101.51779319317133</v>
      </c>
      <c r="C26" s="247">
        <f>B26*'GWP N2O_CH4'!B5</f>
        <v>2131.8736570565979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15.078160030425188</v>
      </c>
      <c r="C27" s="247">
        <f>B27*'GWP N2O_CH4'!B5</f>
        <v>316.64136063892897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1.4852266494832604</v>
      </c>
      <c r="C28" s="247">
        <f>B28*'GWP N2O_CH4'!B4</f>
        <v>460.42026133981074</v>
      </c>
      <c r="D28" s="50"/>
    </row>
    <row r="29" spans="1:4">
      <c r="A29" s="41" t="s">
        <v>277</v>
      </c>
      <c r="B29" s="247">
        <f>B34*'ha_N2O bodem landbouw'!B4</f>
        <v>8.6388222276041375</v>
      </c>
      <c r="C29" s="247">
        <f>B29*'GWP N2O_CH4'!B4</f>
        <v>2678.0348905572828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1.9375356328392246E-3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5.9097944662057102E-5</v>
      </c>
      <c r="C5" s="464" t="s">
        <v>211</v>
      </c>
      <c r="D5" s="449">
        <f>SUM(D6:D11)</f>
        <v>1.5666843032663457E-4</v>
      </c>
      <c r="E5" s="449">
        <f>SUM(E6:E11)</f>
        <v>9.9706332955939157E-4</v>
      </c>
      <c r="F5" s="462" t="s">
        <v>211</v>
      </c>
      <c r="G5" s="449">
        <f>SUM(G6:G11)</f>
        <v>0.30914010522930829</v>
      </c>
      <c r="H5" s="449">
        <f>SUM(H6:H11)</f>
        <v>5.919382594978826E-2</v>
      </c>
      <c r="I5" s="464" t="s">
        <v>211</v>
      </c>
      <c r="J5" s="464" t="s">
        <v>211</v>
      </c>
      <c r="K5" s="464" t="s">
        <v>211</v>
      </c>
      <c r="L5" s="464" t="s">
        <v>211</v>
      </c>
      <c r="M5" s="449">
        <f>SUM(M6:M11)</f>
        <v>1.9704554984671753E-2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4.7867803374562737E-5</v>
      </c>
      <c r="C6" s="450"/>
      <c r="D6" s="893">
        <f>vkm_2011_GW_PW*SUMIFS(TableVerdeelsleutelVkm[CNG],TableVerdeelsleutelVkm[Voertuigtype],"Lichte voertuigen")*SUMIFS(TableECFTransport[EnergieConsumptieFactor (PJ per km)],TableECFTransport[Index],CONCATENATE($A6,"_CNG_CNG"))</f>
        <v>1.1072349923220593E-4</v>
      </c>
      <c r="E6" s="893">
        <f>vkm_2011_GW_PW*SUMIFS(TableVerdeelsleutelVkm[LPG],TableVerdeelsleutelVkm[Voertuigtype],"Lichte voertuigen")*SUMIFS(TableECFTransport[EnergieConsumptieFactor (PJ per km)],TableECFTransport[Index],CONCATENATE($A6,"_LPG_LPG"))</f>
        <v>7.2096456295184675E-4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0.14977505406281269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4.2218492546338617E-2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9.9634697875626427E-3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9.9005420215840856E-2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3.3858055691630473E-5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5.7280247476756479E-3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1.1230141287494363E-5</v>
      </c>
      <c r="C8" s="450"/>
      <c r="D8" s="452">
        <f>vkm_2011_NGW_PW*SUMIFS(TableVerdeelsleutelVkm[CNG],TableVerdeelsleutelVkm[Voertuigtype],"Lichte voertuigen")*SUMIFS(TableECFTransport[EnergieConsumptieFactor (PJ per km)],TableECFTransport[Index],CONCATENATE($A8,"_CNG_CNG"))</f>
        <v>4.5944931094428655E-5</v>
      </c>
      <c r="E8" s="452">
        <f>vkm_2011_NGW_PW*SUMIFS(TableVerdeelsleutelVkm[LPG],TableVerdeelsleutelVkm[Voertuigtype],"Lichte voertuigen")*SUMIFS(TableECFTransport[EnergieConsumptieFactor (PJ per km)],TableECFTransport[Index],CONCATENATE($A8,"_LPG_LPG"))</f>
        <v>2.7609876660754482E-4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5.3617974868282056E-2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1.693929382638119E-2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3.6230212490889965E-3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6.7416560823727132E-3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2.1815213768295847E-6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3.9003920034446379E-4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16.416095739460307</v>
      </c>
      <c r="C14" s="21"/>
      <c r="D14" s="21">
        <f t="shared" ref="D14:M14" si="0">((D5)*10^9/3600)+D12</f>
        <v>43.519008424065163</v>
      </c>
      <c r="E14" s="21">
        <f t="shared" si="0"/>
        <v>276.96203598871989</v>
      </c>
      <c r="F14" s="21"/>
      <c r="G14" s="21">
        <f t="shared" si="0"/>
        <v>85872.251452585639</v>
      </c>
      <c r="H14" s="21">
        <f t="shared" si="0"/>
        <v>16442.72943049674</v>
      </c>
      <c r="I14" s="21"/>
      <c r="J14" s="21"/>
      <c r="K14" s="21"/>
      <c r="L14" s="21"/>
      <c r="M14" s="21">
        <f t="shared" si="0"/>
        <v>5473.4874957421534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0.2021537569626751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3.3185754283908651</v>
      </c>
      <c r="C18" s="23"/>
      <c r="D18" s="23">
        <f t="shared" ref="D18:M18" si="1">D14*D16</f>
        <v>8.790839701661163</v>
      </c>
      <c r="E18" s="23">
        <f t="shared" si="1"/>
        <v>62.870382169439416</v>
      </c>
      <c r="F18" s="23"/>
      <c r="G18" s="23">
        <f t="shared" si="1"/>
        <v>22927.891137840368</v>
      </c>
      <c r="H18" s="23">
        <f t="shared" si="1"/>
        <v>4094.2396281936881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2.2544740586851976E-3</v>
      </c>
      <c r="H50" s="321">
        <f t="shared" si="2"/>
        <v>0</v>
      </c>
      <c r="I50" s="321">
        <f t="shared" si="2"/>
        <v>0</v>
      </c>
      <c r="J50" s="321">
        <f t="shared" si="2"/>
        <v>0</v>
      </c>
      <c r="K50" s="321">
        <f t="shared" si="2"/>
        <v>0</v>
      </c>
      <c r="L50" s="321">
        <f t="shared" si="2"/>
        <v>0</v>
      </c>
      <c r="M50" s="321">
        <f t="shared" si="2"/>
        <v>1.2856608341991002E-4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2.2544740586851976E-3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1.2856608341991002E-4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626.24279407922154</v>
      </c>
      <c r="H54" s="21">
        <f t="shared" si="3"/>
        <v>0</v>
      </c>
      <c r="I54" s="21">
        <f t="shared" si="3"/>
        <v>0</v>
      </c>
      <c r="J54" s="21">
        <f t="shared" si="3"/>
        <v>0</v>
      </c>
      <c r="K54" s="21">
        <f t="shared" si="3"/>
        <v>0</v>
      </c>
      <c r="L54" s="21">
        <f t="shared" si="3"/>
        <v>0</v>
      </c>
      <c r="M54" s="21">
        <f t="shared" si="3"/>
        <v>35.712800949975005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0.2021537569626751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167.20682601915217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35731.7598</v>
      </c>
      <c r="D10" s="1025">
        <f ca="1">tertiair!C16</f>
        <v>0</v>
      </c>
      <c r="E10" s="1025">
        <f ca="1">tertiair!D16</f>
        <v>36765.337899959872</v>
      </c>
      <c r="F10" s="1025">
        <f>tertiair!E16</f>
        <v>300.16943455713823</v>
      </c>
      <c r="G10" s="1025">
        <f ca="1">tertiair!F16</f>
        <v>4851.0579157013581</v>
      </c>
      <c r="H10" s="1025">
        <f>tertiair!G16</f>
        <v>0</v>
      </c>
      <c r="I10" s="1025">
        <f>tertiair!H16</f>
        <v>0</v>
      </c>
      <c r="J10" s="1025">
        <f>tertiair!I16</f>
        <v>0</v>
      </c>
      <c r="K10" s="1025">
        <f>tertiair!J16</f>
        <v>0</v>
      </c>
      <c r="L10" s="1025">
        <f>tertiair!K16</f>
        <v>0</v>
      </c>
      <c r="M10" s="1025">
        <f ca="1">tertiair!L16</f>
        <v>0</v>
      </c>
      <c r="N10" s="1025">
        <f>tertiair!M16</f>
        <v>0</v>
      </c>
      <c r="O10" s="1025">
        <f ca="1">tertiair!N16</f>
        <v>2813.2489328893935</v>
      </c>
      <c r="P10" s="1025">
        <f>tertiair!O16</f>
        <v>3.1266666666666669</v>
      </c>
      <c r="Q10" s="1026">
        <f>tertiair!P16</f>
        <v>57.2</v>
      </c>
      <c r="R10" s="701">
        <f ca="1">SUM(C10:Q10)</f>
        <v>80521.900649774441</v>
      </c>
      <c r="S10" s="67"/>
    </row>
    <row r="11" spans="1:19" s="474" customFormat="1">
      <c r="A11" s="810" t="s">
        <v>225</v>
      </c>
      <c r="B11" s="815"/>
      <c r="C11" s="1025">
        <f>huishoudens!B8</f>
        <v>37807.312024696541</v>
      </c>
      <c r="D11" s="1025">
        <f>huishoudens!C8</f>
        <v>0</v>
      </c>
      <c r="E11" s="1025">
        <f>huishoudens!D8</f>
        <v>87848.414642826989</v>
      </c>
      <c r="F11" s="1025">
        <f>huishoudens!E8</f>
        <v>1974.2908526629324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17029.313200773817</v>
      </c>
      <c r="P11" s="1025">
        <f>huishoudens!O8</f>
        <v>231.37333333333333</v>
      </c>
      <c r="Q11" s="1026">
        <f>huishoudens!P8</f>
        <v>419.4666666666667</v>
      </c>
      <c r="R11" s="701">
        <f>SUM(C11:Q11)</f>
        <v>145310.17072096028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69082.654500000004</v>
      </c>
      <c r="D13" s="1025">
        <f>industrie!C18</f>
        <v>0</v>
      </c>
      <c r="E13" s="1025">
        <f>industrie!D18</f>
        <v>61548.149769000302</v>
      </c>
      <c r="F13" s="1025">
        <f>industrie!E18</f>
        <v>9466.6072270016011</v>
      </c>
      <c r="G13" s="1025">
        <f>industrie!F18</f>
        <v>31566.625291034103</v>
      </c>
      <c r="H13" s="1025">
        <f>industrie!G18</f>
        <v>0</v>
      </c>
      <c r="I13" s="1025">
        <f>industrie!H18</f>
        <v>0</v>
      </c>
      <c r="J13" s="1025">
        <f>industrie!I18</f>
        <v>0</v>
      </c>
      <c r="K13" s="1025">
        <f>industrie!J18</f>
        <v>184.05843078486973</v>
      </c>
      <c r="L13" s="1025">
        <f>industrie!K18</f>
        <v>0</v>
      </c>
      <c r="M13" s="1025">
        <f>industrie!L18</f>
        <v>0</v>
      </c>
      <c r="N13" s="1025">
        <f>industrie!M18</f>
        <v>0</v>
      </c>
      <c r="O13" s="1025">
        <f>industrie!N18</f>
        <v>16586.20102713535</v>
      </c>
      <c r="P13" s="1025">
        <f>industrie!O18</f>
        <v>0</v>
      </c>
      <c r="Q13" s="1026">
        <f>industrie!P18</f>
        <v>0</v>
      </c>
      <c r="R13" s="701">
        <f>SUM(C13:Q13)</f>
        <v>188434.29624495626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142621.72632469656</v>
      </c>
      <c r="D16" s="733">
        <f t="shared" ref="D16:R16" ca="1" si="0">SUM(D9:D15)</f>
        <v>0</v>
      </c>
      <c r="E16" s="733">
        <f t="shared" ca="1" si="0"/>
        <v>186161.90231178715</v>
      </c>
      <c r="F16" s="733">
        <f t="shared" si="0"/>
        <v>11741.067514221671</v>
      </c>
      <c r="G16" s="733">
        <f t="shared" ca="1" si="0"/>
        <v>36417.683206735463</v>
      </c>
      <c r="H16" s="733">
        <f t="shared" si="0"/>
        <v>0</v>
      </c>
      <c r="I16" s="733">
        <f t="shared" si="0"/>
        <v>0</v>
      </c>
      <c r="J16" s="733">
        <f t="shared" si="0"/>
        <v>0</v>
      </c>
      <c r="K16" s="733">
        <f t="shared" si="0"/>
        <v>184.05843078486973</v>
      </c>
      <c r="L16" s="733">
        <f t="shared" si="0"/>
        <v>0</v>
      </c>
      <c r="M16" s="733">
        <f t="shared" ca="1" si="0"/>
        <v>0</v>
      </c>
      <c r="N16" s="733">
        <f t="shared" si="0"/>
        <v>0</v>
      </c>
      <c r="O16" s="733">
        <f t="shared" ca="1" si="0"/>
        <v>36428.76316079856</v>
      </c>
      <c r="P16" s="733">
        <f t="shared" si="0"/>
        <v>234.5</v>
      </c>
      <c r="Q16" s="733">
        <f t="shared" si="0"/>
        <v>476.66666666666669</v>
      </c>
      <c r="R16" s="733">
        <f t="shared" ca="1" si="0"/>
        <v>414266.36761569098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626.24279407922154</v>
      </c>
      <c r="I19" s="1025">
        <f>transport!H54</f>
        <v>0</v>
      </c>
      <c r="J19" s="1025">
        <f>transport!I54</f>
        <v>0</v>
      </c>
      <c r="K19" s="1025">
        <f>transport!J54</f>
        <v>0</v>
      </c>
      <c r="L19" s="1025">
        <f>transport!K54</f>
        <v>0</v>
      </c>
      <c r="M19" s="1025">
        <f>transport!L54</f>
        <v>0</v>
      </c>
      <c r="N19" s="1025">
        <f>transport!M54</f>
        <v>35.712800949975005</v>
      </c>
      <c r="O19" s="1025">
        <f>transport!N54</f>
        <v>0</v>
      </c>
      <c r="P19" s="1025">
        <f>transport!O54</f>
        <v>0</v>
      </c>
      <c r="Q19" s="1026">
        <f>transport!P54</f>
        <v>0</v>
      </c>
      <c r="R19" s="701">
        <f>SUM(C19:Q19)</f>
        <v>661.9555950291965</v>
      </c>
      <c r="S19" s="67"/>
    </row>
    <row r="20" spans="1:19" s="474" customFormat="1">
      <c r="A20" s="810" t="s">
        <v>307</v>
      </c>
      <c r="B20" s="815"/>
      <c r="C20" s="1025">
        <f>transport!B14</f>
        <v>16.416095739460307</v>
      </c>
      <c r="D20" s="1025">
        <f>transport!C14</f>
        <v>0</v>
      </c>
      <c r="E20" s="1025">
        <f>transport!D14</f>
        <v>43.519008424065163</v>
      </c>
      <c r="F20" s="1025">
        <f>transport!E14</f>
        <v>276.96203598871989</v>
      </c>
      <c r="G20" s="1025">
        <f>transport!F14</f>
        <v>0</v>
      </c>
      <c r="H20" s="1025">
        <f>transport!G14</f>
        <v>85872.251452585639</v>
      </c>
      <c r="I20" s="1025">
        <f>transport!H14</f>
        <v>16442.72943049674</v>
      </c>
      <c r="J20" s="1025">
        <f>transport!I14</f>
        <v>0</v>
      </c>
      <c r="K20" s="1025">
        <f>transport!J14</f>
        <v>0</v>
      </c>
      <c r="L20" s="1025">
        <f>transport!K14</f>
        <v>0</v>
      </c>
      <c r="M20" s="1025">
        <f>transport!L14</f>
        <v>0</v>
      </c>
      <c r="N20" s="1025">
        <f>transport!M14</f>
        <v>5473.4874957421534</v>
      </c>
      <c r="O20" s="1025">
        <f>transport!N14</f>
        <v>0</v>
      </c>
      <c r="P20" s="1025">
        <f>transport!O14</f>
        <v>0</v>
      </c>
      <c r="Q20" s="1026">
        <f>transport!P14</f>
        <v>0</v>
      </c>
      <c r="R20" s="701">
        <f>SUM(C20:Q20)</f>
        <v>108125.36551897677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16.416095739460307</v>
      </c>
      <c r="D22" s="813">
        <f t="shared" ref="D22:R22" si="1">SUM(D18:D21)</f>
        <v>0</v>
      </c>
      <c r="E22" s="813">
        <f t="shared" si="1"/>
        <v>43.519008424065163</v>
      </c>
      <c r="F22" s="813">
        <f t="shared" si="1"/>
        <v>276.96203598871989</v>
      </c>
      <c r="G22" s="813">
        <f t="shared" si="1"/>
        <v>0</v>
      </c>
      <c r="H22" s="813">
        <f t="shared" si="1"/>
        <v>86498.494246664864</v>
      </c>
      <c r="I22" s="813">
        <f t="shared" si="1"/>
        <v>16442.72943049674</v>
      </c>
      <c r="J22" s="813">
        <f t="shared" si="1"/>
        <v>0</v>
      </c>
      <c r="K22" s="813">
        <f t="shared" si="1"/>
        <v>0</v>
      </c>
      <c r="L22" s="813">
        <f t="shared" si="1"/>
        <v>0</v>
      </c>
      <c r="M22" s="813">
        <f t="shared" si="1"/>
        <v>0</v>
      </c>
      <c r="N22" s="813">
        <f t="shared" si="1"/>
        <v>5509.2002966921282</v>
      </c>
      <c r="O22" s="813">
        <f t="shared" si="1"/>
        <v>0</v>
      </c>
      <c r="P22" s="813">
        <f t="shared" si="1"/>
        <v>0</v>
      </c>
      <c r="Q22" s="813">
        <f t="shared" si="1"/>
        <v>0</v>
      </c>
      <c r="R22" s="813">
        <f t="shared" si="1"/>
        <v>108787.32111400597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686.06479999999999</v>
      </c>
      <c r="D24" s="1025">
        <f>+landbouw!C8</f>
        <v>0</v>
      </c>
      <c r="E24" s="1025">
        <f>+landbouw!D8</f>
        <v>733.00002577645773</v>
      </c>
      <c r="F24" s="1025">
        <f>+landbouw!E8</f>
        <v>6.3546195279520372</v>
      </c>
      <c r="G24" s="1025">
        <f>+landbouw!F8</f>
        <v>1740.6770928102785</v>
      </c>
      <c r="H24" s="1025">
        <f>+landbouw!G8</f>
        <v>0</v>
      </c>
      <c r="I24" s="1025">
        <f>+landbouw!H8</f>
        <v>0</v>
      </c>
      <c r="J24" s="1025">
        <f>+landbouw!I8</f>
        <v>0</v>
      </c>
      <c r="K24" s="1025">
        <f>+landbouw!J8</f>
        <v>105.18139034551426</v>
      </c>
      <c r="L24" s="1025">
        <f>+landbouw!K8</f>
        <v>0</v>
      </c>
      <c r="M24" s="1025">
        <f>+landbouw!L8</f>
        <v>0</v>
      </c>
      <c r="N24" s="1025">
        <f>+landbouw!M8</f>
        <v>0</v>
      </c>
      <c r="O24" s="1025">
        <f>+landbouw!N8</f>
        <v>0</v>
      </c>
      <c r="P24" s="1025">
        <f>+landbouw!O8</f>
        <v>0</v>
      </c>
      <c r="Q24" s="1026">
        <f>+landbouw!P8</f>
        <v>0</v>
      </c>
      <c r="R24" s="701">
        <f>SUM(C24:Q24)</f>
        <v>3271.2779284602025</v>
      </c>
      <c r="S24" s="67"/>
    </row>
    <row r="25" spans="1:19" s="474" customFormat="1" ht="15" thickBot="1">
      <c r="A25" s="832" t="s">
        <v>864</v>
      </c>
      <c r="B25" s="1028"/>
      <c r="C25" s="1029">
        <f>IF(Onbekend_ele_kWh="---",0,Onbekend_ele_kWh)/1000+IF(REST_rest_ele_kWh="---",0,REST_rest_ele_kWh)/1000</f>
        <v>980.0865</v>
      </c>
      <c r="D25" s="1029"/>
      <c r="E25" s="1029">
        <f>IF(onbekend_gas_kWh="---",0,onbekend_gas_kWh)/1000+IF(REST_rest_gas_kWh="---",0,REST_rest_gas_kWh)/1000</f>
        <v>3198.4396266362301</v>
      </c>
      <c r="F25" s="1029"/>
      <c r="G25" s="1029"/>
      <c r="H25" s="1029"/>
      <c r="I25" s="1029"/>
      <c r="J25" s="1029"/>
      <c r="K25" s="1029"/>
      <c r="L25" s="1029"/>
      <c r="M25" s="1029"/>
      <c r="N25" s="1029"/>
      <c r="O25" s="1029"/>
      <c r="P25" s="1029"/>
      <c r="Q25" s="1030"/>
      <c r="R25" s="701">
        <f>SUM(C25:Q25)</f>
        <v>4178.5261266362304</v>
      </c>
      <c r="S25" s="67"/>
    </row>
    <row r="26" spans="1:19" s="474" customFormat="1" ht="15.75" thickBot="1">
      <c r="A26" s="706" t="s">
        <v>865</v>
      </c>
      <c r="B26" s="818"/>
      <c r="C26" s="813">
        <f>SUM(C24:C25)</f>
        <v>1666.1513</v>
      </c>
      <c r="D26" s="813">
        <f t="shared" ref="D26:R26" si="2">SUM(D24:D25)</f>
        <v>0</v>
      </c>
      <c r="E26" s="813">
        <f t="shared" si="2"/>
        <v>3931.4396524126878</v>
      </c>
      <c r="F26" s="813">
        <f t="shared" si="2"/>
        <v>6.3546195279520372</v>
      </c>
      <c r="G26" s="813">
        <f t="shared" si="2"/>
        <v>1740.6770928102785</v>
      </c>
      <c r="H26" s="813">
        <f t="shared" si="2"/>
        <v>0</v>
      </c>
      <c r="I26" s="813">
        <f t="shared" si="2"/>
        <v>0</v>
      </c>
      <c r="J26" s="813">
        <f t="shared" si="2"/>
        <v>0</v>
      </c>
      <c r="K26" s="813">
        <f t="shared" si="2"/>
        <v>105.18139034551426</v>
      </c>
      <c r="L26" s="813">
        <f t="shared" si="2"/>
        <v>0</v>
      </c>
      <c r="M26" s="813">
        <f t="shared" si="2"/>
        <v>0</v>
      </c>
      <c r="N26" s="813">
        <f t="shared" si="2"/>
        <v>0</v>
      </c>
      <c r="O26" s="813">
        <f t="shared" si="2"/>
        <v>0</v>
      </c>
      <c r="P26" s="813">
        <f t="shared" si="2"/>
        <v>0</v>
      </c>
      <c r="Q26" s="813">
        <f t="shared" si="2"/>
        <v>0</v>
      </c>
      <c r="R26" s="813">
        <f t="shared" si="2"/>
        <v>7449.8040550964324</v>
      </c>
      <c r="S26" s="67"/>
    </row>
    <row r="27" spans="1:19" s="474" customFormat="1" ht="17.25" thickTop="1" thickBot="1">
      <c r="A27" s="707" t="s">
        <v>116</v>
      </c>
      <c r="B27" s="806"/>
      <c r="C27" s="708">
        <f ca="1">C22+C16+C26</f>
        <v>144304.29372043602</v>
      </c>
      <c r="D27" s="708">
        <f t="shared" ref="D27:R27" ca="1" si="3">D22+D16+D26</f>
        <v>0</v>
      </c>
      <c r="E27" s="708">
        <f t="shared" ca="1" si="3"/>
        <v>190136.86097262392</v>
      </c>
      <c r="F27" s="708">
        <f t="shared" si="3"/>
        <v>12024.384169738343</v>
      </c>
      <c r="G27" s="708">
        <f t="shared" ca="1" si="3"/>
        <v>38158.36029954574</v>
      </c>
      <c r="H27" s="708">
        <f t="shared" si="3"/>
        <v>86498.494246664864</v>
      </c>
      <c r="I27" s="708">
        <f t="shared" si="3"/>
        <v>16442.72943049674</v>
      </c>
      <c r="J27" s="708">
        <f t="shared" si="3"/>
        <v>0</v>
      </c>
      <c r="K27" s="708">
        <f t="shared" si="3"/>
        <v>289.23982113038397</v>
      </c>
      <c r="L27" s="708">
        <f t="shared" si="3"/>
        <v>0</v>
      </c>
      <c r="M27" s="708">
        <f t="shared" ca="1" si="3"/>
        <v>0</v>
      </c>
      <c r="N27" s="708">
        <f t="shared" si="3"/>
        <v>5509.2002966921282</v>
      </c>
      <c r="O27" s="708">
        <f t="shared" ca="1" si="3"/>
        <v>36428.76316079856</v>
      </c>
      <c r="P27" s="708">
        <f t="shared" si="3"/>
        <v>234.5</v>
      </c>
      <c r="Q27" s="708">
        <f t="shared" si="3"/>
        <v>476.66666666666669</v>
      </c>
      <c r="R27" s="708">
        <f t="shared" ca="1" si="3"/>
        <v>530503.49278479337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7223.3094864578834</v>
      </c>
      <c r="D40" s="1025">
        <f ca="1">tertiair!C20</f>
        <v>0</v>
      </c>
      <c r="E40" s="1025">
        <f ca="1">tertiair!D20</f>
        <v>7426.5982557918942</v>
      </c>
      <c r="F40" s="1025">
        <f>tertiair!E20</f>
        <v>68.138461644470382</v>
      </c>
      <c r="G40" s="1025">
        <f ca="1">tertiair!F20</f>
        <v>1295.2324634922627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16013.27866738651</v>
      </c>
    </row>
    <row r="41" spans="1:18">
      <c r="A41" s="823" t="s">
        <v>225</v>
      </c>
      <c r="B41" s="830"/>
      <c r="C41" s="1025">
        <f ca="1">huishoudens!B12</f>
        <v>7642.8901664525283</v>
      </c>
      <c r="D41" s="1025">
        <f ca="1">huishoudens!C12</f>
        <v>0</v>
      </c>
      <c r="E41" s="1025">
        <f>huishoudens!D12</f>
        <v>17745.379757851053</v>
      </c>
      <c r="F41" s="1025">
        <f>huishoudens!E12</f>
        <v>448.16402355448565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25836.43394785807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13965.318148129454</v>
      </c>
      <c r="D43" s="1025">
        <f ca="1">industrie!C22</f>
        <v>0</v>
      </c>
      <c r="E43" s="1025">
        <f>industrie!D22</f>
        <v>12432.726253338062</v>
      </c>
      <c r="F43" s="1025">
        <f>industrie!E22</f>
        <v>2148.9198405293637</v>
      </c>
      <c r="G43" s="1025">
        <f>industrie!F22</f>
        <v>8428.2889527061052</v>
      </c>
      <c r="H43" s="1025">
        <f>industrie!G22</f>
        <v>0</v>
      </c>
      <c r="I43" s="1025">
        <f>industrie!H22</f>
        <v>0</v>
      </c>
      <c r="J43" s="1025">
        <f>industrie!I22</f>
        <v>0</v>
      </c>
      <c r="K43" s="1025">
        <f>industrie!J22</f>
        <v>65.156684497843884</v>
      </c>
      <c r="L43" s="1025">
        <f>industrie!K22</f>
        <v>0</v>
      </c>
      <c r="M43" s="1025">
        <f>industrie!L22</f>
        <v>0</v>
      </c>
      <c r="N43" s="1025">
        <f>industrie!M22</f>
        <v>0</v>
      </c>
      <c r="O43" s="1025">
        <f>industrie!N22</f>
        <v>0</v>
      </c>
      <c r="P43" s="1025">
        <f>industrie!O22</f>
        <v>0</v>
      </c>
      <c r="Q43" s="775">
        <f>industrie!P22</f>
        <v>0</v>
      </c>
      <c r="R43" s="850">
        <f t="shared" ca="1" si="4"/>
        <v>37040.40987920083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28831.517801039867</v>
      </c>
      <c r="D46" s="733">
        <f t="shared" ref="D46:Q46" ca="1" si="5">SUM(D39:D45)</f>
        <v>0</v>
      </c>
      <c r="E46" s="733">
        <f t="shared" ca="1" si="5"/>
        <v>37604.704266981011</v>
      </c>
      <c r="F46" s="733">
        <f t="shared" si="5"/>
        <v>2665.2223257283194</v>
      </c>
      <c r="G46" s="733">
        <f t="shared" ca="1" si="5"/>
        <v>9723.5214161983677</v>
      </c>
      <c r="H46" s="733">
        <f t="shared" si="5"/>
        <v>0</v>
      </c>
      <c r="I46" s="733">
        <f t="shared" si="5"/>
        <v>0</v>
      </c>
      <c r="J46" s="733">
        <f t="shared" si="5"/>
        <v>0</v>
      </c>
      <c r="K46" s="733">
        <f t="shared" si="5"/>
        <v>65.156684497843884</v>
      </c>
      <c r="L46" s="733">
        <f t="shared" si="5"/>
        <v>0</v>
      </c>
      <c r="M46" s="733">
        <f t="shared" ca="1" si="5"/>
        <v>0</v>
      </c>
      <c r="N46" s="733">
        <f t="shared" si="5"/>
        <v>0</v>
      </c>
      <c r="O46" s="733">
        <f t="shared" ca="1" si="5"/>
        <v>0</v>
      </c>
      <c r="P46" s="733">
        <f t="shared" si="5"/>
        <v>0</v>
      </c>
      <c r="Q46" s="733">
        <f t="shared" si="5"/>
        <v>0</v>
      </c>
      <c r="R46" s="733">
        <f ca="1">SUM(R39:R45)</f>
        <v>78890.122494445415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167.20682601915217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167.20682601915217</v>
      </c>
    </row>
    <row r="50" spans="1:18">
      <c r="A50" s="826" t="s">
        <v>307</v>
      </c>
      <c r="B50" s="836"/>
      <c r="C50" s="704">
        <f ca="1">transport!B18</f>
        <v>3.3185754283908651</v>
      </c>
      <c r="D50" s="704">
        <f>transport!C18</f>
        <v>0</v>
      </c>
      <c r="E50" s="704">
        <f>transport!D18</f>
        <v>8.790839701661163</v>
      </c>
      <c r="F50" s="704">
        <f>transport!E18</f>
        <v>62.870382169439416</v>
      </c>
      <c r="G50" s="704">
        <f>transport!F18</f>
        <v>0</v>
      </c>
      <c r="H50" s="704">
        <f>transport!G18</f>
        <v>22927.891137840368</v>
      </c>
      <c r="I50" s="704">
        <f>transport!H18</f>
        <v>4094.2396281936881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27097.11056333355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3.3185754283908651</v>
      </c>
      <c r="D52" s="733">
        <f t="shared" ref="D52:Q52" ca="1" si="6">SUM(D48:D51)</f>
        <v>0</v>
      </c>
      <c r="E52" s="733">
        <f t="shared" si="6"/>
        <v>8.790839701661163</v>
      </c>
      <c r="F52" s="733">
        <f t="shared" si="6"/>
        <v>62.870382169439416</v>
      </c>
      <c r="G52" s="733">
        <f t="shared" si="6"/>
        <v>0</v>
      </c>
      <c r="H52" s="733">
        <f t="shared" si="6"/>
        <v>23095.09796385952</v>
      </c>
      <c r="I52" s="733">
        <f t="shared" si="6"/>
        <v>4094.2396281936881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27264.317389352702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138.6905768398463</v>
      </c>
      <c r="D54" s="704">
        <f ca="1">+landbouw!C12</f>
        <v>0</v>
      </c>
      <c r="E54" s="704">
        <f>+landbouw!D12</f>
        <v>148.06600520684447</v>
      </c>
      <c r="F54" s="704">
        <f>+landbouw!E12</f>
        <v>1.4424986328451126</v>
      </c>
      <c r="G54" s="704">
        <f>+landbouw!F12</f>
        <v>464.76078378034441</v>
      </c>
      <c r="H54" s="704">
        <f>+landbouw!G12</f>
        <v>0</v>
      </c>
      <c r="I54" s="704">
        <f>+landbouw!H12</f>
        <v>0</v>
      </c>
      <c r="J54" s="704">
        <f>+landbouw!I12</f>
        <v>0</v>
      </c>
      <c r="K54" s="704">
        <f>+landbouw!J12</f>
        <v>37.234212182312049</v>
      </c>
      <c r="L54" s="704">
        <f>+landbouw!K12</f>
        <v>0</v>
      </c>
      <c r="M54" s="704">
        <f>+landbouw!L12</f>
        <v>0</v>
      </c>
      <c r="N54" s="704">
        <f>+landbouw!M12</f>
        <v>0</v>
      </c>
      <c r="O54" s="704">
        <f>+landbouw!N12</f>
        <v>0</v>
      </c>
      <c r="P54" s="704">
        <f>+landbouw!O12</f>
        <v>0</v>
      </c>
      <c r="Q54" s="705">
        <f>+landbouw!P12</f>
        <v>0</v>
      </c>
      <c r="R54" s="732">
        <f ca="1">SUM(C54:Q54)</f>
        <v>790.19407664219227</v>
      </c>
    </row>
    <row r="55" spans="1:18" ht="15" thickBot="1">
      <c r="A55" s="826" t="s">
        <v>864</v>
      </c>
      <c r="B55" s="836"/>
      <c r="C55" s="704">
        <f ca="1">C25*'EF ele_warmte'!B12</f>
        <v>198.12816812339886</v>
      </c>
      <c r="D55" s="704"/>
      <c r="E55" s="704">
        <f>E25*EF_CO2_aardgas</f>
        <v>646.08480458051849</v>
      </c>
      <c r="F55" s="704"/>
      <c r="G55" s="704"/>
      <c r="H55" s="704"/>
      <c r="I55" s="704"/>
      <c r="J55" s="704"/>
      <c r="K55" s="704"/>
      <c r="L55" s="704"/>
      <c r="M55" s="704"/>
      <c r="N55" s="704"/>
      <c r="O55" s="704"/>
      <c r="P55" s="704"/>
      <c r="Q55" s="705"/>
      <c r="R55" s="732">
        <f ca="1">SUM(C55:Q55)</f>
        <v>844.21297270391733</v>
      </c>
    </row>
    <row r="56" spans="1:18" ht="15.75" thickBot="1">
      <c r="A56" s="824" t="s">
        <v>865</v>
      </c>
      <c r="B56" s="837"/>
      <c r="C56" s="733">
        <f ca="1">SUM(C54:C55)</f>
        <v>336.81874496324519</v>
      </c>
      <c r="D56" s="733">
        <f t="shared" ref="D56:Q56" ca="1" si="7">SUM(D54:D55)</f>
        <v>0</v>
      </c>
      <c r="E56" s="733">
        <f t="shared" si="7"/>
        <v>794.15080978736296</v>
      </c>
      <c r="F56" s="733">
        <f t="shared" si="7"/>
        <v>1.4424986328451126</v>
      </c>
      <c r="G56" s="733">
        <f t="shared" si="7"/>
        <v>464.76078378034441</v>
      </c>
      <c r="H56" s="733">
        <f t="shared" si="7"/>
        <v>0</v>
      </c>
      <c r="I56" s="733">
        <f t="shared" si="7"/>
        <v>0</v>
      </c>
      <c r="J56" s="733">
        <f t="shared" si="7"/>
        <v>0</v>
      </c>
      <c r="K56" s="733">
        <f t="shared" si="7"/>
        <v>37.234212182312049</v>
      </c>
      <c r="L56" s="733">
        <f t="shared" si="7"/>
        <v>0</v>
      </c>
      <c r="M56" s="733">
        <f t="shared" si="7"/>
        <v>0</v>
      </c>
      <c r="N56" s="733">
        <f t="shared" si="7"/>
        <v>0</v>
      </c>
      <c r="O56" s="733">
        <f t="shared" si="7"/>
        <v>0</v>
      </c>
      <c r="P56" s="733">
        <f t="shared" si="7"/>
        <v>0</v>
      </c>
      <c r="Q56" s="734">
        <f t="shared" si="7"/>
        <v>0</v>
      </c>
      <c r="R56" s="735">
        <f ca="1">SUM(R54:R55)</f>
        <v>1634.4070493461095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29171.655121431504</v>
      </c>
      <c r="D61" s="741">
        <f t="shared" ref="D61:Q61" ca="1" si="8">D46+D52+D56</f>
        <v>0</v>
      </c>
      <c r="E61" s="741">
        <f t="shared" ca="1" si="8"/>
        <v>38407.645916470035</v>
      </c>
      <c r="F61" s="741">
        <f t="shared" si="8"/>
        <v>2729.5352065306038</v>
      </c>
      <c r="G61" s="741">
        <f t="shared" ca="1" si="8"/>
        <v>10188.282199978712</v>
      </c>
      <c r="H61" s="741">
        <f t="shared" si="8"/>
        <v>23095.09796385952</v>
      </c>
      <c r="I61" s="741">
        <f t="shared" si="8"/>
        <v>4094.2396281936881</v>
      </c>
      <c r="J61" s="741">
        <f t="shared" si="8"/>
        <v>0</v>
      </c>
      <c r="K61" s="741">
        <f t="shared" si="8"/>
        <v>102.39089668015593</v>
      </c>
      <c r="L61" s="741">
        <f t="shared" si="8"/>
        <v>0</v>
      </c>
      <c r="M61" s="741">
        <f t="shared" ca="1" si="8"/>
        <v>0</v>
      </c>
      <c r="N61" s="741">
        <f t="shared" si="8"/>
        <v>0</v>
      </c>
      <c r="O61" s="741">
        <f t="shared" ca="1" si="8"/>
        <v>0</v>
      </c>
      <c r="P61" s="741">
        <f t="shared" si="8"/>
        <v>0</v>
      </c>
      <c r="Q61" s="741">
        <f t="shared" si="8"/>
        <v>0</v>
      </c>
      <c r="R61" s="741">
        <f ca="1">R46+R52+R56</f>
        <v>107788.84693314422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0.2021537569626751</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12305.854256945064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12305.854256945064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12305.854256945064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12305.854256945064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37807.312024696541</v>
      </c>
      <c r="C4" s="478">
        <f>huishoudens!C8</f>
        <v>0</v>
      </c>
      <c r="D4" s="478">
        <f>huishoudens!D8</f>
        <v>87848.414642826989</v>
      </c>
      <c r="E4" s="478">
        <f>huishoudens!E8</f>
        <v>1974.2908526629324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17029.313200773817</v>
      </c>
      <c r="O4" s="478">
        <f>huishoudens!O8</f>
        <v>231.37333333333333</v>
      </c>
      <c r="P4" s="479">
        <f>huishoudens!P8</f>
        <v>419.4666666666667</v>
      </c>
      <c r="Q4" s="480">
        <f>SUM(B4:P4)</f>
        <v>145310.17072096028</v>
      </c>
    </row>
    <row r="5" spans="1:17">
      <c r="A5" s="477" t="s">
        <v>156</v>
      </c>
      <c r="B5" s="478">
        <f ca="1">tertiair!B16</f>
        <v>33985.162799999998</v>
      </c>
      <c r="C5" s="478">
        <f ca="1">tertiair!C16</f>
        <v>0</v>
      </c>
      <c r="D5" s="478">
        <f ca="1">tertiair!D16</f>
        <v>36765.337899959872</v>
      </c>
      <c r="E5" s="478">
        <f>tertiair!E16</f>
        <v>300.16943455713823</v>
      </c>
      <c r="F5" s="478">
        <f ca="1">tertiair!F16</f>
        <v>4851.0579157013581</v>
      </c>
      <c r="G5" s="478">
        <f>tertiair!G16</f>
        <v>0</v>
      </c>
      <c r="H5" s="478">
        <f>tertiair!H16</f>
        <v>0</v>
      </c>
      <c r="I5" s="478">
        <f>tertiair!I16</f>
        <v>0</v>
      </c>
      <c r="J5" s="478">
        <f>tertiair!J16</f>
        <v>0</v>
      </c>
      <c r="K5" s="478">
        <f>tertiair!K16</f>
        <v>0</v>
      </c>
      <c r="L5" s="478">
        <f ca="1">tertiair!L16</f>
        <v>0</v>
      </c>
      <c r="M5" s="478">
        <f>tertiair!M16</f>
        <v>0</v>
      </c>
      <c r="N5" s="478">
        <f ca="1">tertiair!N16</f>
        <v>2813.2489328893935</v>
      </c>
      <c r="O5" s="478">
        <f>tertiair!O16</f>
        <v>3.1266666666666669</v>
      </c>
      <c r="P5" s="479">
        <f>tertiair!P16</f>
        <v>57.2</v>
      </c>
      <c r="Q5" s="477">
        <f t="shared" ref="Q5:Q14" ca="1" si="0">SUM(B5:P5)</f>
        <v>78775.303649774432</v>
      </c>
    </row>
    <row r="6" spans="1:17">
      <c r="A6" s="477" t="s">
        <v>194</v>
      </c>
      <c r="B6" s="478">
        <f>'openbare verlichting'!B8</f>
        <v>1746.597</v>
      </c>
      <c r="C6" s="478"/>
      <c r="D6" s="478"/>
      <c r="E6" s="478"/>
      <c r="F6" s="478"/>
      <c r="G6" s="478"/>
      <c r="H6" s="478"/>
      <c r="I6" s="478"/>
      <c r="J6" s="478"/>
      <c r="K6" s="478"/>
      <c r="L6" s="478"/>
      <c r="M6" s="478"/>
      <c r="N6" s="478"/>
      <c r="O6" s="478"/>
      <c r="P6" s="479"/>
      <c r="Q6" s="477">
        <f t="shared" si="0"/>
        <v>1746.597</v>
      </c>
    </row>
    <row r="7" spans="1:17">
      <c r="A7" s="477" t="s">
        <v>112</v>
      </c>
      <c r="B7" s="478">
        <f>landbouw!B8</f>
        <v>686.06479999999999</v>
      </c>
      <c r="C7" s="478">
        <f>landbouw!C8</f>
        <v>0</v>
      </c>
      <c r="D7" s="478">
        <f>landbouw!D8</f>
        <v>733.00002577645773</v>
      </c>
      <c r="E7" s="478">
        <f>landbouw!E8</f>
        <v>6.3546195279520372</v>
      </c>
      <c r="F7" s="478">
        <f>landbouw!F8</f>
        <v>1740.6770928102785</v>
      </c>
      <c r="G7" s="478">
        <f>landbouw!G8</f>
        <v>0</v>
      </c>
      <c r="H7" s="478">
        <f>landbouw!H8</f>
        <v>0</v>
      </c>
      <c r="I7" s="478">
        <f>landbouw!I8</f>
        <v>0</v>
      </c>
      <c r="J7" s="478">
        <f>landbouw!J8</f>
        <v>105.18139034551426</v>
      </c>
      <c r="K7" s="478">
        <f>landbouw!K8</f>
        <v>0</v>
      </c>
      <c r="L7" s="478">
        <f>landbouw!L8</f>
        <v>0</v>
      </c>
      <c r="M7" s="478">
        <f>landbouw!M8</f>
        <v>0</v>
      </c>
      <c r="N7" s="478">
        <f>landbouw!N8</f>
        <v>0</v>
      </c>
      <c r="O7" s="478">
        <f>landbouw!O8</f>
        <v>0</v>
      </c>
      <c r="P7" s="479">
        <f>landbouw!P8</f>
        <v>0</v>
      </c>
      <c r="Q7" s="477">
        <f t="shared" si="0"/>
        <v>3271.2779284602025</v>
      </c>
    </row>
    <row r="8" spans="1:17">
      <c r="A8" s="477" t="s">
        <v>650</v>
      </c>
      <c r="B8" s="478">
        <f>industrie!B18</f>
        <v>69082.654500000004</v>
      </c>
      <c r="C8" s="478">
        <f>industrie!C18</f>
        <v>0</v>
      </c>
      <c r="D8" s="478">
        <f>industrie!D18</f>
        <v>61548.149769000302</v>
      </c>
      <c r="E8" s="478">
        <f>industrie!E18</f>
        <v>9466.6072270016011</v>
      </c>
      <c r="F8" s="478">
        <f>industrie!F18</f>
        <v>31566.625291034103</v>
      </c>
      <c r="G8" s="478">
        <f>industrie!G18</f>
        <v>0</v>
      </c>
      <c r="H8" s="478">
        <f>industrie!H18</f>
        <v>0</v>
      </c>
      <c r="I8" s="478">
        <f>industrie!I18</f>
        <v>0</v>
      </c>
      <c r="J8" s="478">
        <f>industrie!J18</f>
        <v>184.05843078486973</v>
      </c>
      <c r="K8" s="478">
        <f>industrie!K18</f>
        <v>0</v>
      </c>
      <c r="L8" s="478">
        <f>industrie!L18</f>
        <v>0</v>
      </c>
      <c r="M8" s="478">
        <f>industrie!M18</f>
        <v>0</v>
      </c>
      <c r="N8" s="478">
        <f>industrie!N18</f>
        <v>16586.20102713535</v>
      </c>
      <c r="O8" s="478">
        <f>industrie!O18</f>
        <v>0</v>
      </c>
      <c r="P8" s="479">
        <f>industrie!P18</f>
        <v>0</v>
      </c>
      <c r="Q8" s="477">
        <f t="shared" si="0"/>
        <v>188434.29624495626</v>
      </c>
    </row>
    <row r="9" spans="1:17" s="483" customFormat="1">
      <c r="A9" s="481" t="s">
        <v>571</v>
      </c>
      <c r="B9" s="482">
        <f>transport!B14</f>
        <v>16.416095739460307</v>
      </c>
      <c r="C9" s="482">
        <f>transport!C14</f>
        <v>0</v>
      </c>
      <c r="D9" s="482">
        <f>transport!D14</f>
        <v>43.519008424065163</v>
      </c>
      <c r="E9" s="482">
        <f>transport!E14</f>
        <v>276.96203598871989</v>
      </c>
      <c r="F9" s="482">
        <f>transport!F14</f>
        <v>0</v>
      </c>
      <c r="G9" s="482">
        <f>transport!G14</f>
        <v>85872.251452585639</v>
      </c>
      <c r="H9" s="482">
        <f>transport!H14</f>
        <v>16442.72943049674</v>
      </c>
      <c r="I9" s="482">
        <f>transport!I14</f>
        <v>0</v>
      </c>
      <c r="J9" s="482">
        <f>transport!J14</f>
        <v>0</v>
      </c>
      <c r="K9" s="482">
        <f>transport!K14</f>
        <v>0</v>
      </c>
      <c r="L9" s="482">
        <f>transport!L14</f>
        <v>0</v>
      </c>
      <c r="M9" s="482">
        <f>transport!M14</f>
        <v>5473.4874957421534</v>
      </c>
      <c r="N9" s="482">
        <f>transport!N14</f>
        <v>0</v>
      </c>
      <c r="O9" s="482">
        <f>transport!O14</f>
        <v>0</v>
      </c>
      <c r="P9" s="482">
        <f>transport!P14</f>
        <v>0</v>
      </c>
      <c r="Q9" s="481">
        <f>SUM(B9:P9)</f>
        <v>108125.36551897677</v>
      </c>
    </row>
    <row r="10" spans="1:17">
      <c r="A10" s="477" t="s">
        <v>561</v>
      </c>
      <c r="B10" s="478">
        <f>transport!B54</f>
        <v>0</v>
      </c>
      <c r="C10" s="478">
        <f>transport!C54</f>
        <v>0</v>
      </c>
      <c r="D10" s="478">
        <f>transport!D54</f>
        <v>0</v>
      </c>
      <c r="E10" s="478">
        <f>transport!E54</f>
        <v>0</v>
      </c>
      <c r="F10" s="478">
        <f>transport!F54</f>
        <v>0</v>
      </c>
      <c r="G10" s="478">
        <f>transport!G54</f>
        <v>626.24279407922154</v>
      </c>
      <c r="H10" s="478">
        <f>transport!H54</f>
        <v>0</v>
      </c>
      <c r="I10" s="478">
        <f>transport!I54</f>
        <v>0</v>
      </c>
      <c r="J10" s="478">
        <f>transport!J54</f>
        <v>0</v>
      </c>
      <c r="K10" s="478">
        <f>transport!K54</f>
        <v>0</v>
      </c>
      <c r="L10" s="478">
        <f>transport!L54</f>
        <v>0</v>
      </c>
      <c r="M10" s="478">
        <f>transport!M54</f>
        <v>35.712800949975005</v>
      </c>
      <c r="N10" s="478">
        <f>transport!N54</f>
        <v>0</v>
      </c>
      <c r="O10" s="478">
        <f>transport!O54</f>
        <v>0</v>
      </c>
      <c r="P10" s="479">
        <f>transport!P54</f>
        <v>0</v>
      </c>
      <c r="Q10" s="477">
        <f t="shared" si="0"/>
        <v>661.9555950291965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980.0865</v>
      </c>
      <c r="C14" s="485"/>
      <c r="D14" s="485">
        <f>'SEAP template'!E25</f>
        <v>3198.4396266362301</v>
      </c>
      <c r="E14" s="485"/>
      <c r="F14" s="485"/>
      <c r="G14" s="485"/>
      <c r="H14" s="485"/>
      <c r="I14" s="485"/>
      <c r="J14" s="485"/>
      <c r="K14" s="485"/>
      <c r="L14" s="485"/>
      <c r="M14" s="485"/>
      <c r="N14" s="485"/>
      <c r="O14" s="485"/>
      <c r="P14" s="486"/>
      <c r="Q14" s="477">
        <f t="shared" si="0"/>
        <v>4178.5261266362304</v>
      </c>
    </row>
    <row r="15" spans="1:17" s="487" customFormat="1">
      <c r="A15" s="1051" t="s">
        <v>565</v>
      </c>
      <c r="B15" s="991">
        <f ca="1">SUM(B4:B14)</f>
        <v>144304.29372043602</v>
      </c>
      <c r="C15" s="991">
        <f t="shared" ref="C15:Q15" ca="1" si="1">SUM(C4:C14)</f>
        <v>0</v>
      </c>
      <c r="D15" s="991">
        <f t="shared" ca="1" si="1"/>
        <v>190136.86097262392</v>
      </c>
      <c r="E15" s="991">
        <f t="shared" si="1"/>
        <v>12024.384169738343</v>
      </c>
      <c r="F15" s="991">
        <f t="shared" ca="1" si="1"/>
        <v>38158.36029954574</v>
      </c>
      <c r="G15" s="991">
        <f t="shared" si="1"/>
        <v>86498.494246664864</v>
      </c>
      <c r="H15" s="991">
        <f t="shared" si="1"/>
        <v>16442.72943049674</v>
      </c>
      <c r="I15" s="991">
        <f t="shared" si="1"/>
        <v>0</v>
      </c>
      <c r="J15" s="991">
        <f t="shared" si="1"/>
        <v>289.23982113038397</v>
      </c>
      <c r="K15" s="991">
        <f t="shared" si="1"/>
        <v>0</v>
      </c>
      <c r="L15" s="991">
        <f t="shared" ca="1" si="1"/>
        <v>0</v>
      </c>
      <c r="M15" s="991">
        <f t="shared" si="1"/>
        <v>5509.2002966921282</v>
      </c>
      <c r="N15" s="991">
        <f t="shared" ca="1" si="1"/>
        <v>36428.76316079856</v>
      </c>
      <c r="O15" s="991">
        <f t="shared" si="1"/>
        <v>234.5</v>
      </c>
      <c r="P15" s="991">
        <f t="shared" si="1"/>
        <v>476.66666666666669</v>
      </c>
      <c r="Q15" s="991">
        <f t="shared" ca="1" si="1"/>
        <v>530503.49278479337</v>
      </c>
    </row>
    <row r="17" spans="1:17">
      <c r="A17" s="488" t="s">
        <v>566</v>
      </c>
      <c r="B17" s="787">
        <f ca="1">huishoudens!B10</f>
        <v>0.2021537569626751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7642.8901664525283</v>
      </c>
      <c r="C22" s="478">
        <f t="shared" ref="C22:C32" ca="1" si="3">C4*$C$17</f>
        <v>0</v>
      </c>
      <c r="D22" s="478">
        <f t="shared" ref="D22:D32" si="4">D4*$D$17</f>
        <v>17745.379757851053</v>
      </c>
      <c r="E22" s="478">
        <f t="shared" ref="E22:E32" si="5">E4*$E$17</f>
        <v>448.16402355448565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25836.43394785807</v>
      </c>
    </row>
    <row r="23" spans="1:17">
      <c r="A23" s="477" t="s">
        <v>156</v>
      </c>
      <c r="B23" s="478">
        <f t="shared" ca="1" si="2"/>
        <v>6870.2283410081463</v>
      </c>
      <c r="C23" s="478">
        <f t="shared" ca="1" si="3"/>
        <v>0</v>
      </c>
      <c r="D23" s="478">
        <f t="shared" ca="1" si="4"/>
        <v>7426.5982557918942</v>
      </c>
      <c r="E23" s="478">
        <f t="shared" si="5"/>
        <v>68.138461644470382</v>
      </c>
      <c r="F23" s="478">
        <f t="shared" ca="1" si="6"/>
        <v>1295.2324634922627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15660.197521936774</v>
      </c>
    </row>
    <row r="24" spans="1:17">
      <c r="A24" s="477" t="s">
        <v>194</v>
      </c>
      <c r="B24" s="478">
        <f t="shared" ca="1" si="2"/>
        <v>353.08114544973745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353.08114544973745</v>
      </c>
    </row>
    <row r="25" spans="1:17">
      <c r="A25" s="477" t="s">
        <v>112</v>
      </c>
      <c r="B25" s="478">
        <f t="shared" ca="1" si="2"/>
        <v>138.6905768398463</v>
      </c>
      <c r="C25" s="478">
        <f t="shared" ca="1" si="3"/>
        <v>0</v>
      </c>
      <c r="D25" s="478">
        <f t="shared" si="4"/>
        <v>148.06600520684447</v>
      </c>
      <c r="E25" s="478">
        <f t="shared" si="5"/>
        <v>1.4424986328451126</v>
      </c>
      <c r="F25" s="478">
        <f t="shared" si="6"/>
        <v>464.76078378034441</v>
      </c>
      <c r="G25" s="478">
        <f t="shared" si="7"/>
        <v>0</v>
      </c>
      <c r="H25" s="478">
        <f t="shared" si="8"/>
        <v>0</v>
      </c>
      <c r="I25" s="478">
        <f t="shared" si="9"/>
        <v>0</v>
      </c>
      <c r="J25" s="478">
        <f t="shared" si="10"/>
        <v>37.234212182312049</v>
      </c>
      <c r="K25" s="478">
        <f t="shared" si="11"/>
        <v>0</v>
      </c>
      <c r="L25" s="478">
        <f t="shared" si="12"/>
        <v>0</v>
      </c>
      <c r="M25" s="478">
        <f t="shared" si="13"/>
        <v>0</v>
      </c>
      <c r="N25" s="478">
        <f t="shared" si="14"/>
        <v>0</v>
      </c>
      <c r="O25" s="478">
        <f t="shared" si="15"/>
        <v>0</v>
      </c>
      <c r="P25" s="479">
        <f t="shared" si="16"/>
        <v>0</v>
      </c>
      <c r="Q25" s="477">
        <f t="shared" ca="1" si="17"/>
        <v>790.19407664219227</v>
      </c>
    </row>
    <row r="26" spans="1:17">
      <c r="A26" s="477" t="s">
        <v>650</v>
      </c>
      <c r="B26" s="478">
        <f t="shared" ca="1" si="2"/>
        <v>13965.318148129454</v>
      </c>
      <c r="C26" s="478">
        <f t="shared" ca="1" si="3"/>
        <v>0</v>
      </c>
      <c r="D26" s="478">
        <f t="shared" si="4"/>
        <v>12432.726253338062</v>
      </c>
      <c r="E26" s="478">
        <f t="shared" si="5"/>
        <v>2148.9198405293637</v>
      </c>
      <c r="F26" s="478">
        <f t="shared" si="6"/>
        <v>8428.2889527061052</v>
      </c>
      <c r="G26" s="478">
        <f t="shared" si="7"/>
        <v>0</v>
      </c>
      <c r="H26" s="478">
        <f t="shared" si="8"/>
        <v>0</v>
      </c>
      <c r="I26" s="478">
        <f t="shared" si="9"/>
        <v>0</v>
      </c>
      <c r="J26" s="478">
        <f t="shared" si="10"/>
        <v>65.156684497843884</v>
      </c>
      <c r="K26" s="478">
        <f t="shared" si="11"/>
        <v>0</v>
      </c>
      <c r="L26" s="478">
        <f t="shared" si="12"/>
        <v>0</v>
      </c>
      <c r="M26" s="478">
        <f t="shared" si="13"/>
        <v>0</v>
      </c>
      <c r="N26" s="478">
        <f t="shared" si="14"/>
        <v>0</v>
      </c>
      <c r="O26" s="478">
        <f t="shared" si="15"/>
        <v>0</v>
      </c>
      <c r="P26" s="479">
        <f t="shared" si="16"/>
        <v>0</v>
      </c>
      <c r="Q26" s="477">
        <f t="shared" ca="1" si="17"/>
        <v>37040.40987920083</v>
      </c>
    </row>
    <row r="27" spans="1:17" s="483" customFormat="1">
      <c r="A27" s="481" t="s">
        <v>571</v>
      </c>
      <c r="B27" s="781">
        <f t="shared" ca="1" si="2"/>
        <v>3.3185754283908651</v>
      </c>
      <c r="C27" s="482">
        <f t="shared" ca="1" si="3"/>
        <v>0</v>
      </c>
      <c r="D27" s="482">
        <f t="shared" si="4"/>
        <v>8.790839701661163</v>
      </c>
      <c r="E27" s="482">
        <f t="shared" si="5"/>
        <v>62.870382169439416</v>
      </c>
      <c r="F27" s="482">
        <f t="shared" si="6"/>
        <v>0</v>
      </c>
      <c r="G27" s="482">
        <f t="shared" si="7"/>
        <v>22927.891137840368</v>
      </c>
      <c r="H27" s="482">
        <f t="shared" si="8"/>
        <v>4094.2396281936881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27097.11056333355</v>
      </c>
    </row>
    <row r="28" spans="1:17">
      <c r="A28" s="477" t="s">
        <v>561</v>
      </c>
      <c r="B28" s="478">
        <f t="shared" ca="1" si="2"/>
        <v>0</v>
      </c>
      <c r="C28" s="478">
        <f t="shared" ca="1" si="3"/>
        <v>0</v>
      </c>
      <c r="D28" s="478">
        <f t="shared" si="4"/>
        <v>0</v>
      </c>
      <c r="E28" s="478">
        <f t="shared" si="5"/>
        <v>0</v>
      </c>
      <c r="F28" s="478">
        <f t="shared" si="6"/>
        <v>0</v>
      </c>
      <c r="G28" s="478">
        <f t="shared" si="7"/>
        <v>167.20682601915217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167.20682601915217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198.12816812339886</v>
      </c>
      <c r="C32" s="478">
        <f t="shared" ca="1" si="3"/>
        <v>0</v>
      </c>
      <c r="D32" s="478">
        <f t="shared" si="4"/>
        <v>646.08480458051849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844.21297270391733</v>
      </c>
    </row>
    <row r="33" spans="1:17" s="487" customFormat="1">
      <c r="A33" s="1051" t="s">
        <v>565</v>
      </c>
      <c r="B33" s="991">
        <f ca="1">SUM(B22:B32)</f>
        <v>29171.655121431504</v>
      </c>
      <c r="C33" s="991">
        <f t="shared" ref="C33:Q33" ca="1" si="18">SUM(C22:C32)</f>
        <v>0</v>
      </c>
      <c r="D33" s="991">
        <f t="shared" ca="1" si="18"/>
        <v>38407.645916470028</v>
      </c>
      <c r="E33" s="991">
        <f t="shared" si="18"/>
        <v>2729.5352065306042</v>
      </c>
      <c r="F33" s="991">
        <f t="shared" ca="1" si="18"/>
        <v>10188.282199978712</v>
      </c>
      <c r="G33" s="991">
        <f t="shared" si="18"/>
        <v>23095.09796385952</v>
      </c>
      <c r="H33" s="991">
        <f t="shared" si="18"/>
        <v>4094.2396281936881</v>
      </c>
      <c r="I33" s="991">
        <f t="shared" si="18"/>
        <v>0</v>
      </c>
      <c r="J33" s="991">
        <f t="shared" si="18"/>
        <v>102.39089668015593</v>
      </c>
      <c r="K33" s="991">
        <f t="shared" si="18"/>
        <v>0</v>
      </c>
      <c r="L33" s="991">
        <f t="shared" ca="1" si="18"/>
        <v>0</v>
      </c>
      <c r="M33" s="991">
        <f t="shared" si="18"/>
        <v>0</v>
      </c>
      <c r="N33" s="991">
        <f t="shared" ca="1" si="18"/>
        <v>0</v>
      </c>
      <c r="O33" s="991">
        <f t="shared" si="18"/>
        <v>0</v>
      </c>
      <c r="P33" s="991">
        <f t="shared" si="18"/>
        <v>0</v>
      </c>
      <c r="Q33" s="991">
        <f t="shared" ca="1" si="18"/>
        <v>107788.84693314423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12305.854256945064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12305.854256945064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0.2021537569626751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0.2021537569626751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2019-08-12T08:06:42Z</dcterms:modified>
</cp:coreProperties>
</file>