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20"/>
  <c r="D88" i="14"/>
  <c r="D18" i="59" s="1"/>
  <c r="B17" i="18"/>
  <c r="G12"/>
  <c r="F12"/>
  <c r="E12"/>
  <c r="D12"/>
  <c r="C12"/>
  <c r="L10"/>
  <c r="G10"/>
  <c r="E77" i="14"/>
  <c r="E9" i="59" s="1"/>
  <c r="B6" i="18"/>
  <c r="B74" i="14" s="1"/>
  <c r="B6" i="59" s="1"/>
  <c r="B5" i="18"/>
  <c r="B4"/>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K20"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B72" i="14"/>
  <c r="B4" i="59" s="1"/>
  <c r="Q54" i="14"/>
  <c r="Q56" s="1"/>
  <c r="P54"/>
  <c r="P56" s="1"/>
  <c r="L54"/>
  <c r="L56" s="1"/>
  <c r="J54"/>
  <c r="I54"/>
  <c r="H54"/>
  <c r="H56" s="1"/>
  <c r="Q24"/>
  <c r="Q26" s="1"/>
  <c r="P24"/>
  <c r="P26" s="1"/>
  <c r="N24"/>
  <c r="N26" s="1"/>
  <c r="L24"/>
  <c r="L26" s="1"/>
  <c r="J24"/>
  <c r="I24"/>
  <c r="H24"/>
  <c r="Q50"/>
  <c r="P50"/>
  <c r="O50"/>
  <c r="M50"/>
  <c r="L50"/>
  <c r="K50"/>
  <c r="J50"/>
  <c r="G50"/>
  <c r="D50"/>
  <c r="Q49"/>
  <c r="P49"/>
  <c r="Q20"/>
  <c r="P20"/>
  <c r="P22" s="1"/>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J26" i="14"/>
  <c r="I26"/>
  <c r="H26"/>
  <c r="J22"/>
  <c r="G22"/>
  <c r="L8" i="59" l="1"/>
  <c r="L10" s="1"/>
  <c r="L78" i="14"/>
  <c r="N77"/>
  <c r="K10" i="18"/>
  <c r="L90" i="14"/>
  <c r="L18" i="59"/>
  <c r="L20" s="1"/>
  <c r="G20"/>
  <c r="C98" i="18"/>
  <c r="B101" s="1"/>
  <c r="C8" s="1"/>
  <c r="B8"/>
  <c r="H90" i="14"/>
  <c r="H18" i="59"/>
  <c r="D14" i="48"/>
  <c r="K78" i="14"/>
  <c r="B20" i="18"/>
  <c r="M77" i="14"/>
  <c r="M9" i="59" s="1"/>
  <c r="H9" i="18"/>
  <c r="Q22" i="14"/>
  <c r="G10" i="59"/>
  <c r="D22" i="14"/>
  <c r="L22"/>
  <c r="E10" i="59"/>
  <c r="F13" i="15"/>
  <c r="G77" i="14"/>
  <c r="G9" i="59" s="1"/>
  <c r="P28" i="48"/>
  <c r="I77" i="14"/>
  <c r="I9" i="59" s="1"/>
  <c r="O10"/>
  <c r="H20"/>
  <c r="B98" i="18"/>
  <c r="G102" s="1"/>
  <c r="B13" i="15"/>
  <c r="B10" i="18"/>
  <c r="N13" i="15"/>
  <c r="L13"/>
  <c r="F77" i="14"/>
  <c r="F9" i="59" s="1"/>
  <c r="I101" i="18"/>
  <c r="H8" s="1"/>
  <c r="E101"/>
  <c r="E8" s="1"/>
  <c r="F101"/>
  <c r="H101"/>
  <c r="O9"/>
  <c r="I102"/>
  <c r="H17" s="1"/>
  <c r="E102"/>
  <c r="E17" s="1"/>
  <c r="B102"/>
  <c r="C17" s="1"/>
  <c r="C89" i="14"/>
  <c r="C19" i="59" s="1"/>
  <c r="O19" i="18"/>
  <c r="O78" i="14"/>
  <c r="N88"/>
  <c r="D10" i="18"/>
  <c r="E78" i="14"/>
  <c r="D77"/>
  <c r="D9" i="59" s="1"/>
  <c r="H77" i="14"/>
  <c r="Q77" s="1"/>
  <c r="P9" i="59" s="1"/>
  <c r="G90" i="14"/>
  <c r="O88"/>
  <c r="G89"/>
  <c r="G19" i="59" s="1"/>
  <c r="G20" i="18"/>
  <c r="O18"/>
  <c r="G78" i="14"/>
  <c r="Q89"/>
  <c r="P19" i="59" s="1"/>
  <c r="O25" i="48"/>
  <c r="O27"/>
  <c r="Q11"/>
  <c r="O29"/>
  <c r="P31"/>
  <c r="O28"/>
  <c r="Q12"/>
  <c r="O24"/>
  <c r="O30"/>
  <c r="P24"/>
  <c r="P30"/>
  <c r="E90" i="14"/>
  <c r="R9"/>
  <c r="R25"/>
  <c r="K90"/>
  <c r="Q14" i="48" l="1"/>
  <c r="N78" i="14"/>
  <c r="N9" i="59"/>
  <c r="N10" s="1"/>
  <c r="N90" i="14"/>
  <c r="N18" i="59"/>
  <c r="N20" s="1"/>
  <c r="D102" i="18"/>
  <c r="C101"/>
  <c r="H78" i="14"/>
  <c r="H9" i="59"/>
  <c r="H10" s="1"/>
  <c r="O90" i="14"/>
  <c r="O18" i="59"/>
  <c r="O20" s="1"/>
  <c r="C102" i="18"/>
  <c r="F102"/>
  <c r="I17" s="1"/>
  <c r="D101"/>
  <c r="J8" s="1"/>
  <c r="O8" s="1"/>
  <c r="O10" s="1"/>
  <c r="B89" i="14"/>
  <c r="B19" i="59" s="1"/>
  <c r="H102" i="18"/>
  <c r="G101"/>
  <c r="I8" s="1"/>
  <c r="C77" i="14"/>
  <c r="C9" i="59" s="1"/>
  <c r="H20" i="18"/>
  <c r="M87" i="14"/>
  <c r="F76"/>
  <c r="E10" i="18"/>
  <c r="C20"/>
  <c r="D87" i="14"/>
  <c r="D17" i="59" s="1"/>
  <c r="D20" s="1"/>
  <c r="H10" i="18"/>
  <c r="M76" i="14"/>
  <c r="B88"/>
  <c r="B18" i="59" s="1"/>
  <c r="D76" i="14"/>
  <c r="D8" i="59" s="1"/>
  <c r="D10" s="1"/>
  <c r="C10" i="18"/>
  <c r="C88" i="14"/>
  <c r="C18" i="59" s="1"/>
  <c r="I10" i="18"/>
  <c r="I76" i="14"/>
  <c r="I8" i="59" s="1"/>
  <c r="I10" s="1"/>
  <c r="B77" i="14"/>
  <c r="B9" i="59" s="1"/>
  <c r="E20" i="18"/>
  <c r="F87" i="14"/>
  <c r="Q88"/>
  <c r="P18" i="59" s="1"/>
  <c r="H14" i="15"/>
  <c r="H16" s="1"/>
  <c r="G14"/>
  <c r="G16" s="1"/>
  <c r="M78" i="14" l="1"/>
  <c r="M8" i="59"/>
  <c r="M10" s="1"/>
  <c r="M90" i="14"/>
  <c r="M17" i="59"/>
  <c r="M20" s="1"/>
  <c r="J17" i="18"/>
  <c r="F78" i="14"/>
  <c r="F8" i="59"/>
  <c r="F10" s="1"/>
  <c r="H5" i="48"/>
  <c r="I10" i="14"/>
  <c r="I16" s="1"/>
  <c r="F90"/>
  <c r="F17" i="59"/>
  <c r="F20" s="1"/>
  <c r="H10" i="14"/>
  <c r="H16" s="1"/>
  <c r="G5" i="48"/>
  <c r="Q76" i="14"/>
  <c r="D78"/>
  <c r="I78"/>
  <c r="B76"/>
  <c r="J10" i="18"/>
  <c r="J76" i="14"/>
  <c r="I87"/>
  <c r="I17" i="59" s="1"/>
  <c r="I20" s="1"/>
  <c r="I20" i="18"/>
  <c r="Q87" i="14"/>
  <c r="D90"/>
  <c r="A31" i="23"/>
  <c r="A32"/>
  <c r="A33"/>
  <c r="J87" i="14" l="1"/>
  <c r="J20" i="18"/>
  <c r="Q90" i="14"/>
  <c r="B17" i="6" s="1"/>
  <c r="P17" i="59"/>
  <c r="P20" s="1"/>
  <c r="Q78" i="14"/>
  <c r="B9" i="6" s="1"/>
  <c r="P8" i="59"/>
  <c r="P10" s="1"/>
  <c r="B78" i="14"/>
  <c r="B8" i="59"/>
  <c r="B10" s="1"/>
  <c r="J78" i="14"/>
  <c r="J8" i="59"/>
  <c r="J10" s="1"/>
  <c r="O17" i="18"/>
  <c r="O20" s="1"/>
  <c r="I90" i="14"/>
  <c r="C76"/>
  <c r="B11" i="44"/>
  <c r="B25"/>
  <c r="B24"/>
  <c r="C78" i="14" l="1"/>
  <c r="B4" i="6" s="1"/>
  <c r="C8" i="59"/>
  <c r="C10" s="1"/>
  <c r="J90" i="14"/>
  <c r="J17" i="59"/>
  <c r="J20" s="1"/>
  <c r="C87" i="14"/>
  <c r="B87"/>
  <c r="A6" i="23"/>
  <c r="A5"/>
  <c r="C90" i="14" l="1"/>
  <c r="C17" i="59"/>
  <c r="C20" s="1"/>
  <c r="B90" i="14"/>
  <c r="B17" i="59"/>
  <c r="B2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4"/>
  <c r="K29"/>
  <c r="K27"/>
  <c r="K30"/>
  <c r="K31"/>
  <c r="K25"/>
  <c r="K22"/>
  <c r="B7"/>
  <c r="C24" i="14"/>
  <c r="C26" s="1"/>
  <c r="J24" i="48"/>
  <c r="J32"/>
  <c r="J30"/>
  <c r="J27"/>
  <c r="J31"/>
  <c r="J28"/>
  <c r="J29"/>
  <c r="Q11" i="14"/>
  <c r="P4" i="48"/>
  <c r="P11" i="14"/>
  <c r="O4" i="48"/>
  <c r="I32"/>
  <c r="I28"/>
  <c r="I22"/>
  <c r="I29"/>
  <c r="I30"/>
  <c r="I31"/>
  <c r="I27"/>
  <c r="I25"/>
  <c r="I24"/>
  <c r="I26"/>
  <c r="E11" i="14"/>
  <c r="D4" i="48"/>
  <c r="D22" s="1"/>
  <c r="H32"/>
  <c r="H29"/>
  <c r="H28"/>
  <c r="H26"/>
  <c r="H22"/>
  <c r="H25"/>
  <c r="H24"/>
  <c r="H30"/>
  <c r="H23"/>
  <c r="C4"/>
  <c r="D11" i="14"/>
  <c r="G32" i="48"/>
  <c r="G22"/>
  <c r="G25"/>
  <c r="G26"/>
  <c r="G30"/>
  <c r="G24"/>
  <c r="G29"/>
  <c r="G23"/>
  <c r="B4"/>
  <c r="C11" i="14"/>
  <c r="F24" i="48"/>
  <c r="F32"/>
  <c r="F29"/>
  <c r="F30"/>
  <c r="F27"/>
  <c r="F31"/>
  <c r="F28"/>
  <c r="N27"/>
  <c r="N31"/>
  <c r="N24"/>
  <c r="N32"/>
  <c r="N30"/>
  <c r="N29"/>
  <c r="N28"/>
  <c r="C19" i="14"/>
  <c r="B10" i="48"/>
  <c r="E32"/>
  <c r="E31"/>
  <c r="E28"/>
  <c r="E30"/>
  <c r="E24"/>
  <c r="E29"/>
  <c r="M26"/>
  <c r="M25"/>
  <c r="M32"/>
  <c r="M24"/>
  <c r="M22"/>
  <c r="M29"/>
  <c r="M30"/>
  <c r="M23"/>
  <c r="L10" i="14"/>
  <c r="L16" s="1"/>
  <c r="L27" s="1"/>
  <c r="K5" i="48"/>
  <c r="D30"/>
  <c r="D29"/>
  <c r="D24"/>
  <c r="D31"/>
  <c r="D28"/>
  <c r="D32"/>
  <c r="L32"/>
  <c r="L29"/>
  <c r="L28"/>
  <c r="L24"/>
  <c r="L22"/>
  <c r="L31"/>
  <c r="L27"/>
  <c r="L30"/>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15"/>
  <c r="P22"/>
  <c r="P33" s="1"/>
  <c r="E20" i="14"/>
  <c r="E22" s="1"/>
  <c r="D9" i="48"/>
  <c r="D27" s="1"/>
  <c r="P10" i="14"/>
  <c r="O5" i="48"/>
  <c r="O23" s="1"/>
  <c r="K24" i="14"/>
  <c r="K26" s="1"/>
  <c r="J7" i="48"/>
  <c r="J25" s="1"/>
  <c r="C20" i="14"/>
  <c r="B9" i="48"/>
  <c r="O22"/>
  <c r="G11" i="14"/>
  <c r="F4" i="48"/>
  <c r="F22" s="1"/>
  <c r="J63" i="14"/>
  <c r="D10"/>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G10"/>
  <c r="H19" i="14"/>
  <c r="R19" s="1"/>
  <c r="E12" i="13"/>
  <c r="F41" i="14" s="1"/>
  <c r="F11"/>
  <c r="E4" i="48"/>
  <c r="I23"/>
  <c r="I33" s="1"/>
  <c r="I15"/>
  <c r="Q13"/>
  <c r="G31"/>
  <c r="J4"/>
  <c r="K11" i="14"/>
  <c r="E7" i="48"/>
  <c r="E25" s="1"/>
  <c r="F24" i="14"/>
  <c r="F26" s="1"/>
  <c r="Q63"/>
  <c r="P16"/>
  <c r="P27" s="1"/>
  <c r="Q46"/>
  <c r="Q61"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K10"/>
  <c r="J5" i="48"/>
  <c r="J23" s="1"/>
  <c r="F10" i="14"/>
  <c r="E5" i="48"/>
  <c r="E23" s="1"/>
  <c r="H9"/>
  <c r="I20" i="14"/>
  <c r="O26" i="48"/>
  <c r="O33" s="1"/>
  <c r="O15"/>
  <c r="G28"/>
  <c r="Q10"/>
  <c r="M27"/>
  <c r="M33" s="1"/>
  <c r="M15"/>
  <c r="J22"/>
  <c r="G27"/>
  <c r="G33" s="1"/>
  <c r="G15"/>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J26" s="1"/>
  <c r="K13" i="14"/>
  <c r="I22"/>
  <c r="I27" s="1"/>
  <c r="I63" s="1"/>
  <c r="R20"/>
  <c r="R22" s="1"/>
  <c r="K46"/>
  <c r="K61" s="1"/>
  <c r="K63" s="1"/>
  <c r="K16"/>
  <c r="K27" s="1"/>
  <c r="E22" i="16"/>
  <c r="F43" i="14" s="1"/>
  <c r="F46" s="1"/>
  <c r="F61" s="1"/>
  <c r="F63" s="1"/>
  <c r="J15" i="48"/>
  <c r="H63" i="14"/>
  <c r="J33" i="48"/>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<sst xmlns="http://schemas.openxmlformats.org/spreadsheetml/2006/main" count="2419" uniqueCount="907">
  <si>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</si>
  <si>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</si>
  <si>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</si>
  <si>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</si>
  <si>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</si>
  <si>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</si>
  <si>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</si>
  <si>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</si>
  <si>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</si>
  <si>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</si>
  <si>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</si>
  <si>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</si>
  <si>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</si>
  <si>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</si>
  <si>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</si>
  <si>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</si>
  <si>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</si>
  <si>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</si>
  <si>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</si>
  <si>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</si>
  <si>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</si>
  <si>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</si>
  <si>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</si>
  <si>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</si>
  <si>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</si>
  <si>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</si>
  <si>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</si>
  <si>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</si>
  <si>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</si>
  <si>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</si>
  <si>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</si>
  <si>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</si>
  <si>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</si>
  <si>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</si>
  <si>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</si>
  <si>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</si>
  <si>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</si>
  <si>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</si>
  <si>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</si>
  <si>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</si>
  <si>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</si>
  <si>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</si>
  <si>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</si>
  <si>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</si>
  <si>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</si>
  <si>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</si>
  <si>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</si>
  <si>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</si>
  <si>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</si>
  <si>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</si>
  <si>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</si>
  <si>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</si>
  <si>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</si>
  <si>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</si>
  <si>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</si>
  <si>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</si>
  <si>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</si>
  <si>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</si>
  <si>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</si>
  <si>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</si>
  <si>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</si>
  <si>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</si>
  <si>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</si>
  <si>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</si>
  <si>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</si>
  <si>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</si>
  <si>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</si>
  <si>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</si>
  <si>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</si>
  <si>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</si>
  <si>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</si>
  <si>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</si>
  <si>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</si>
  <si>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</si>
  <si>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</si>
  <si>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</si>
  <si>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</si>
  <si>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</si>
  <si>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</si>
  <si>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</si>
  <si>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</si>
  <si>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</si>
  <si>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</si>
  <si>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</si>
  <si>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</si>
  <si>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</si>
  <si>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</si>
  <si>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</si>
  <si>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</si>
  <si>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</si>
  <si>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</si>
  <si>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</si>
  <si>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</si>
  <si>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</si>
  <si>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</si>
  <si>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</si>
  <si>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</si>
  <si>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</si>
  <si>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</si>
  <si>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</si>
  <si>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</si>
  <si>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</si>
  <si>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</si>
  <si>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</si>
  <si>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</si>
  <si>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</si>
  <si>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</si>
  <si>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</si>
  <si>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</si>
  <si>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</si>
  <si>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</si>
  <si>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</si>
  <si>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</si>
  <si>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</si>
  <si>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</si>
  <si>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</si>
  <si>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</si>
  <si>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</si>
  <si>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</si>
  <si>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</si>
  <si>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</si>
  <si>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</si>
  <si>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</si>
  <si>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</si>
  <si>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</si>
  <si>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</si>
  <si>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</si>
  <si>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</si>
  <si>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</si>
  <si>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</si>
  <si>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</si>
  <si>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</si>
  <si>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</si>
  <si>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</si>
  <si>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</si>
  <si>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</si>
  <si>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</si>
  <si>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</si>
  <si>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</si>
  <si>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</si>
  <si>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</si>
  <si>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</si>
  <si>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</si>
  <si>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</si>
  <si>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</si>
  <si>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</si>
  <si>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</si>
  <si>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</si>
  <si>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</si>
  <si>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</si>
  <si>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</si>
  <si>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</si>
  <si>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</si>
  <si>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</si>
  <si>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</si>
  <si>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</si>
  <si>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</si>
  <si>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</si>
  <si>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</si>
  <si>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</si>
  <si>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</si>
  <si>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</si>
  <si>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</si>
  <si>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</si>
  <si>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</si>
  <si>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</si>
  <si>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</si>
  <si>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</si>
  <si>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</si>
  <si>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</si>
  <si>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</si>
  <si>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</si>
  <si>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</si>
  <si>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</si>
  <si>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</si>
  <si>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</si>
  <si>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</si>
  <si>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</si>
  <si>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</si>
  <si>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</si>
  <si>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</si>
  <si>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</si>
  <si>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</si>
  <si>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</si>
  <si>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</si>
  <si>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</si>
  <si>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</si>
  <si>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</si>
  <si>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</si>
  <si>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</si>
  <si>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</si>
  <si>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</si>
  <si>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</si>
  <si>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</si>
  <si>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</si>
  <si>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</si>
  <si>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</si>
  <si>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</si>
  <si>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</si>
  <si>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</si>
  <si>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</si>
  <si>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</si>
  <si>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</si>
  <si>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</si>
  <si>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</si>
  <si>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</si>
  <si>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</si>
  <si>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</si>
  <si>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</si>
  <si>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</si>
  <si>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</si>
  <si>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</si>
  <si>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</si>
  <si>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</si>
  <si>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</si>
  <si>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</si>
  <si>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</si>
  <si>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</si>
  <si>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</si>
  <si>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</si>
  <si>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</si>
  <si>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</si>
  <si>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</si>
  <si>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</si>
  <si>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</si>
  <si>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</si>
  <si>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</si>
  <si>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</si>
  <si>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</si>
  <si>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</si>
  <si>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</si>
  <si>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</si>
  <si>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</si>
  <si>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</si>
  <si>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</si>
  <si>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</si>
  <si>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</si>
  <si>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</si>
  <si>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</si>
  <si>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</si>
  <si>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</si>
  <si>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</si>
  <si>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</si>
  <si>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</si>
  <si>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</si>
  <si>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</si>
  <si>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</si>
  <si>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</si>
  <si>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</si>
  <si>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</si>
  <si>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</si>
  <si>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</si>
  <si>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</si>
  <si>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</si>
  <si>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</si>
  <si>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</si>
  <si>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</si>
  <si>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</si>
  <si>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</si>
  <si>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</si>
  <si>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</si>
  <si>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</si>
  <si>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</si>
  <si>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</si>
  <si>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</si>
  <si>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</si>
  <si>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</si>
  <si>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</si>
  <si>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</si>
  <si>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</si>
  <si>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</si>
  <si>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</si>
  <si>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</si>
  <si>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</si>
  <si>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</si>
  <si>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</si>
  <si>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</si>
  <si>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</si>
  <si>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</si>
  <si>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</si>
  <si>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</si>
  <si>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</si>
  <si>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</si>
  <si>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</si>
  <si>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</si>
  <si>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</si>
  <si>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</si>
  <si>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</si>
  <si>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</si>
  <si>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</si>
  <si>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</si>
  <si>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</si>
  <si>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</si>
  <si>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</si>
  <si>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</si>
  <si>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</si>
  <si>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</si>
  <si>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</si>
  <si>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</si>
  <si>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</si>
  <si>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</si>
  <si>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</si>
  <si>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</si>
  <si>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</si>
  <si>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</si>
  <si>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</si>
  <si>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</si>
  <si>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</si>
  <si>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</si>
  <si>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</si>
  <si>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</si>
  <si>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</si>
  <si>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</si>
  <si>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</si>
  <si>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</si>
  <si>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</si>
  <si>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</si>
  <si>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</si>
  <si>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</si>
  <si>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</si>
  <si>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</si>
  <si>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</si>
  <si>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</si>
  <si>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</si>
  <si>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</si>
  <si>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</si>
  <si>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</si>
  <si>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</si>
  <si>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</si>
  <si>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</si>
  <si>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</si>
  <si>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</si>
  <si>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</si>
  <si>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</si>
  <si>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</si>
  <si>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</si>
  <si>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</si>
  <si>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</si>
  <si>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</si>
  <si>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</si>
  <si>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</si>
  <si>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</si>
  <si>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</si>
  <si>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</si>
  <si>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</si>
  <si>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</si>
  <si>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</si>
  <si>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</si>
  <si>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</si>
  <si>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</si>
  <si>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</si>
  <si>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</si>
  <si>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</si>
  <si>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</si>
  <si>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</si>
  <si>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</si>
  <si>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</si>
  <si>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</si>
  <si>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</si>
  <si>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</si>
  <si>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</si>
  <si>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</si>
  <si>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</si>
  <si>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</si>
  <si>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</si>
  <si>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</si>
  <si>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</si>
  <si>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</si>
  <si>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</si>
  <si>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</si>
  <si>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</si>
  <si>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</si>
  <si>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</si>
  <si>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</si>
  <si>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</si>
  <si>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</si>
  <si>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</si>
  <si>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</si>
  <si>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</si>
  <si>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</si>
  <si>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</si>
  <si>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</si>
  <si>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</si>
  <si>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</si>
  <si>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</si>
  <si>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</si>
  <si>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</si>
  <si>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</si>
  <si>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</si>
  <si>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</si>
  <si>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</si>
  <si>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</si>
  <si>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</si>
  <si>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</si>
  <si>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</si>
  <si>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</si>
  <si>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</si>
  <si>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</si>
  <si>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</si>
  <si>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</si>
  <si>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</si>
  <si>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</si>
  <si>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</si>
  <si>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</si>
  <si>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</si>
  <si>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</si>
  <si>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</si>
  <si>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</si>
  <si>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</si>
  <si>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</si>
  <si>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</si>
  <si>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</si>
  <si>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</si>
  <si>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</si>
  <si>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</si>
  <si>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</si>
  <si>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</si>
  <si>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</si>
  <si>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</si>
  <si>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</si>
  <si>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</si>
  <si>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</si>
  <si>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</si>
  <si>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</si>
  <si>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</si>
  <si>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</si>
  <si>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</si>
  <si>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</si>
  <si>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</si>
  <si>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</si>
  <si>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</si>
  <si>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</si>
  <si>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</si>
  <si>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</si>
  <si>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</si>
  <si>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</si>
  <si>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</si>
  <si>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</si>
  <si>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</si>
  <si>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</si>
  <si>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</si>
  <si>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</si>
  <si>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</si>
  <si>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</si>
  <si>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</si>
  <si>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</si>
  <si>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</si>
  <si>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</si>
  <si>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</si>
  <si>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</si>
  <si>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</si>
  <si>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</si>
  <si>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</si>
  <si>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</si>
  <si>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</si>
  <si>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</si>
  <si>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</si>
  <si>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</si>
  <si>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</si>
  <si>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</si>
  <si>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</si>
  <si>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</si>
  <si>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</si>
  <si>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</si>
  <si>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</si>
  <si>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</si>
  <si>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</si>
  <si>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</si>
  <si>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</si>
  <si>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</si>
  <si>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</si>
  <si>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</si>
  <si>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</si>
  <si>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</si>
  <si>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</si>
  <si>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</si>
  <si>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</si>
  <si>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</si>
  <si>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</si>
  <si>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</si>
  <si>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</si>
  <si>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</si>
  <si>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</si>
  <si>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</si>
  <si>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</si>
  <si>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</si>
  <si>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</si>
  <si>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</si>
  <si>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</si>
  <si>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</si>
  <si>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</si>
  <si>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</si>
  <si>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</si>
  <si>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</si>
  <si>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</si>
  <si>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</si>
  <si>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</si>
  <si>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</si>
  <si>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</si>
  <si>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</si>
  <si>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</si>
  <si>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</si>
  <si>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</si>
  <si>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</si>
  <si>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</si>
  <si>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</si>
  <si>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</si>
  <si>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</si>
  <si>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</si>
  <si>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</si>
  <si>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</si>
  <si>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</si>
  <si>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</si>
  <si>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</si>
  <si>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</si>
  <si>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</si>
  <si>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</si>
  <si>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</si>
  <si>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</si>
  <si>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</si>
  <si>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</si>
  <si>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</si>
  <si>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</si>
  <si>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</si>
  <si>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</si>
  <si>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</si>
  <si>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</si>
  <si>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</si>
  <si>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</si>
  <si>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</si>
  <si>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</si>
  <si>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</si>
  <si>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</si>
  <si>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</si>
  <si>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</si>
  <si>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</si>
  <si>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</si>
  <si>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</si>
  <si>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</si>
  <si>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</si>
  <si>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</si>
  <si>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</si>
  <si>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</si>
  <si>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</si>
  <si>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</si>
  <si>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</si>
  <si>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</si>
  <si>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</si>
  <si>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</si>
  <si>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</si>
  <si>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</si>
  <si>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</si>
  <si>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</si>
  <si>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</si>
  <si>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</si>
  <si>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</si>
  <si>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</si>
  <si>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</si>
  <si>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</si>
  <si>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</si>
  <si>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</si>
  <si>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</si>
  <si>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</si>
  <si>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</si>
  <si>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</si>
  <si>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</si>
  <si>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</si>
  <si>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</si>
  <si>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</si>
  <si>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</si>
  <si>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</si>
  <si>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</si>
  <si>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</si>
  <si>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</si>
  <si>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</si>
  <si>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</si>
  <si>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</si>
  <si>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</si>
  <si>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</si>
  <si>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</si>
  <si>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</si>
  <si>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</si>
  <si>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</si>
  <si>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</si>
  <si>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</si>
  <si>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</si>
  <si>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</si>
  <si>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</si>
  <si>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</si>
  <si>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</si>
  <si>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</si>
  <si>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</si>
  <si>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</si>
  <si>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</si>
  <si>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</si>
  <si>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</si>
  <si>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</si>
  <si>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</si>
  <si>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</si>
  <si>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</si>
  <si>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</si>
  <si>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</si>
  <si>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</si>
  <si>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</si>
  <si>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</si>
  <si>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</si>
  <si>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</si>
  <si>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</si>
  <si>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</si>
  <si>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</si>
  <si>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</si>
  <si>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</si>
  <si>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</si>
  <si>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</si>
  <si>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</si>
  <si>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</si>
  <si>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</si>
  <si>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</si>
  <si>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</si>
  <si>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</si>
  <si>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</si>
  <si>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</si>
  <si>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</si>
  <si>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</si>
  <si>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</si>
  <si>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</si>
  <si>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</si>
  <si>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</si>
  <si>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</si>
  <si>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</si>
  <si>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</si>
  <si>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</si>
  <si>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</si>
  <si>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</si>
  <si>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</si>
  <si>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</si>
  <si>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</si>
  <si>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</si>
  <si>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</si>
  <si>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</si>
  <si>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</si>
  <si>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</si>
  <si>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</si>
  <si>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</si>
  <si>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</si>
  <si>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</si>
  <si>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</si>
  <si>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</si>
  <si>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</si>
  <si>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</si>
  <si>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</si>
  <si>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</si>
  <si>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</si>
  <si>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</si>
  <si>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</si>
  <si>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</si>
  <si>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</si>
  <si>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</si>
  <si>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</si>
  <si>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</si>
  <si>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</si>
  <si>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</si>
  <si>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</si>
  <si>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</si>
  <si>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</si>
  <si>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</si>
  <si>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</si>
  <si>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</si>
  <si>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</si>
  <si>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</si>
  <si>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</si>
  <si>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</si>
  <si>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</si>
  <si>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</si>
  <si>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</si>
  <si>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</si>
  <si>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</si>
  <si>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</si>
  <si>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</si>
  <si>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</si>
  <si>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</si>
  <si>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</si>
  <si>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</si>
  <si>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</si>
  <si>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</si>
  <si>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</si>
  <si>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</si>
  <si>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</si>
  <si>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</si>
  <si>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</si>
  <si>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</si>
  <si>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</si>
  <si>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</si>
  <si>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</si>
  <si>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</si>
  <si>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</si>
  <si>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</si>
  <si>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</si>
  <si>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</si>
  <si>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</si>
  <si>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</si>
  <si>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</si>
  <si>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</si>
  <si>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</si>
  <si>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</si>
  <si>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</si>
  <si>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</si>
  <si>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</si>
  <si>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</si>
  <si>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</si>
  <si>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</si>
  <si>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</si>
  <si>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</si>
  <si>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</si>
  <si>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</si>
  <si>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</si>
  <si>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</si>
  <si>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</si>
  <si>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</si>
  <si>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</si>
  <si>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</si>
  <si>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</si>
  <si>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</si>
  <si>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</si>
  <si>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</si>
  <si>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</si>
  <si>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</si>
  <si>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</si>
  <si>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</si>
  <si>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</si>
  <si>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</si>
  <si>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</si>
  <si>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</si>
  <si>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</si>
  <si>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</si>
  <si>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</si>
  <si>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</si>
  <si>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</si>
  <si>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</si>
  <si>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</si>
  <si>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</si>
  <si>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</si>
  <si>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</si>
  <si>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</si>
  <si>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</si>
  <si>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</si>
  <si>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</si>
  <si>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</si>
  <si>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</si>
  <si>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</si>
  <si>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</si>
  <si>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</si>
  <si>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</si>
  <si>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</si>
  <si>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</si>
  <si>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</si>
  <si>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</si>
  <si>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</si>
  <si>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</si>
  <si>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</si>
  <si>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</si>
  <si>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</si>
  <si>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</si>
  <si>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</si>
  <si>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</si>
  <si>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</si>
  <si>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</si>
  <si>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</si>
  <si>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</si>
  <si>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</si>
  <si>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</si>
  <si>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</si>
  <si>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</si>
  <si>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</si>
  <si>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</si>
  <si>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</si>
  <si>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</si>
  <si>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</si>
  <si>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</si>
  <si>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</si>
  <si>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</si>
  <si>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</si>
  <si>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</si>
  <si>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</si>
  <si>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</si>
  <si>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</si>
  <si>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</si>
  <si>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</si>
  <si>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</si>
  <si>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</si>
  <si>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</si>
  <si>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</si>
  <si>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</si>
  <si>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</si>
  <si>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</si>
  <si>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</si>
  <si>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</si>
  <si>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</si>
  <si>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</si>
  <si>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</si>
  <si>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</si>
  <si>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</si>
  <si>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</si>
  <si>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</si>
  <si>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</si>
  <si>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</si>
  <si>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</si>
  <si>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</si>
  <si>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</si>
  <si>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</si>
  <si>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</si>
  <si>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</si>
  <si>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</si>
  <si>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</si>
  <si>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</si>
  <si>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</si>
  <si>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</si>
  <si>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</si>
  <si>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</si>
  <si>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</si>
  <si>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</si>
  <si>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</si>
  <si>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</si>
  <si>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</si>
  <si>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</si>
  <si>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</si>
  <si>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</si>
  <si>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</si>
  <si>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</si>
  <si>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</si>
  <si>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</si>
  <si>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</si>
  <si>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</si>
  <si>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</si>
  <si>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</si>
  <si>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</si>
  <si>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</si>
  <si>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</si>
  <si>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</si>
  <si>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</si>
  <si>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</si>
  <si>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</si>
  <si>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</si>
  <si>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</si>
  <si>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</si>
  <si>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</si>
  <si>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</si>
  <si>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</si>
  <si>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</si>
  <si>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</si>
  <si>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</si>
  <si>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</si>
  <si>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</si>
  <si>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</si>
  <si>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</si>
  <si>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</si>
  <si>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</si>
  <si>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</si>
  <si>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</si>
  <si>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</si>
  <si>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</si>
  <si>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</si>
  <si>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</si>
  <si>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</si>
  <si>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</si>
  <si>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</si>
  <si>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</si>
  <si>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</si>
  <si>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</si>
  <si>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</si>
  <si>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</si>
  <si>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</si>
  <si>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</si>
  <si>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</si>
  <si>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</si>
  <si>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</si>
  <si>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</si>
  <si>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</si>
  <si>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</si>
  <si>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</si>
  <si>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</si>
  <si>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</si>
  <si>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</si>
  <si>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</si>
  <si>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</si>
  <si>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</si>
  <si>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</si>
  <si>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</si>
  <si>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</si>
  <si>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</si>
  <si>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</si>
  <si>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</si>
  <si>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</si>
  <si>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</si>
  <si>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</si>
  <si>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</si>
  <si>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</si>
  <si>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</si>
  <si>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</si>
  <si>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11040</t>
  </si>
  <si>
    <t>SCHOTEN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</si>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</sst>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237076.4606484265</c:v>
                </c:pt>
                <c:pt idx="1">
                  <c:v>108007.05170029346</c:v>
                </c:pt>
                <c:pt idx="2">
                  <c:v>1869.9829999999999</c:v>
                </c:pt>
                <c:pt idx="3">
                  <c:v>1603.5421765576425</c:v>
                </c:pt>
                <c:pt idx="4">
                  <c:v>260885.36726648285</c:v>
                </c:pt>
                <c:pt idx="5">
                  <c:v>335760.68634005997</c:v>
                </c:pt>
                <c:pt idx="6">
                  <c:v>3916.7538793316139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237076.4606484265</c:v>
                </c:pt>
                <c:pt idx="1">
                  <c:v>108007.05170029346</c:v>
                </c:pt>
                <c:pt idx="2">
                  <c:v>1869.9829999999999</c:v>
                </c:pt>
                <c:pt idx="3">
                  <c:v>1603.5421765576425</c:v>
                </c:pt>
                <c:pt idx="4">
                  <c:v>260885.36726648285</c:v>
                </c:pt>
                <c:pt idx="5">
                  <c:v>335760.68634005997</c:v>
                </c:pt>
                <c:pt idx="6">
                  <c:v>3916.7538793316139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46716.525473134221</c:v>
                </c:pt>
                <c:pt idx="2">
                  <c:v>22431.098268747348</c:v>
                </c:pt>
                <c:pt idx="3">
                  <c:v>404.24921055435647</c:v>
                </c:pt>
                <c:pt idx="4">
                  <c:v>377.87915961290105</c:v>
                </c:pt>
                <c:pt idx="5">
                  <c:v>53413.036298342973</c:v>
                </c:pt>
                <c:pt idx="6">
                  <c:v>84234.30551339782</c:v>
                </c:pt>
                <c:pt idx="7">
                  <c:v>989.35334844077374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13728"/>
      </c:barChart>
      <c:catAx>
        <c:axId val="182303744"/>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46716.525473134221</c:v>
                </c:pt>
                <c:pt idx="2">
                  <c:v>22431.098268747348</c:v>
                </c:pt>
                <c:pt idx="3">
                  <c:v>404.24921055435647</c:v>
                </c:pt>
                <c:pt idx="4">
                  <c:v>377.87915961290105</c:v>
                </c:pt>
                <c:pt idx="5">
                  <c:v>53413.036298342973</c:v>
                </c:pt>
                <c:pt idx="6">
                  <c:v>84234.30551339782</c:v>
                </c:pt>
                <c:pt idx="7">
                  <c:v>989.35334844077374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11040</v>
      </c>
      <c r="B6" s="416"/>
      <c r="C6" s="417"/>
    </row>
    <row r="7" spans="1:7" s="414" customFormat="1" ht="15.75" customHeight="1">
      <c r="A7" s="418" t="str">
        <f>txtMunicipality</f>
        <v>SCHOTEN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47904.102000000006</v>
      </c>
      <c r="D10" s="1025">
        <f ca="1">tertiair!C16</f>
        <v>0</v>
      </c>
      <c r="E10" s="1025">
        <f ca="1">tertiair!D16</f>
        <v>52781.903892778486</v>
      </c>
      <c r="F10" s="1025">
        <f>tertiair!E16</f>
        <v>437.42974599255547</v>
      </c>
      <c r="G10" s="1025">
        <f ca="1">tertiair!F16</f>
        <v>6435.5532702693636</v>
      </c>
      <c r="H10" s="1025">
        <f>tertiair!G16</f>
        <v>0</v>
      </c>
      <c r="I10" s="1025">
        <f>tertiair!H16</f>
        <v>0</v>
      </c>
      <c r="J10" s="1025">
        <f>tertiair!I16</f>
        <v>0</v>
      </c>
      <c r="K10" s="1025">
        <f>tertiair!J16</f>
        <v>0</v>
      </c>
      <c r="L10" s="1025">
        <f>tertiair!K16</f>
        <v>0</v>
      </c>
      <c r="M10" s="1025">
        <f ca="1">tertiair!L16</f>
        <v>0</v>
      </c>
      <c r="N10" s="1025">
        <f>tertiair!M16</f>
        <v>0</v>
      </c>
      <c r="O10" s="1025">
        <f ca="1">tertiair!N16</f>
        <v>2316.4824579197207</v>
      </c>
      <c r="P10" s="1025">
        <f>tertiair!O16</f>
        <v>1.5633333333333335</v>
      </c>
      <c r="Q10" s="1026">
        <f>tertiair!P16</f>
        <v>0</v>
      </c>
      <c r="R10" s="701">
        <f ca="1">SUM(C10:Q10)</f>
        <v>109877.03470029346</v>
      </c>
      <c r="S10" s="67"/>
    </row>
    <row r="11" spans="1:19" s="474" customFormat="1">
      <c r="A11" s="810" t="s">
        <v>225</v>
      </c>
      <c r="B11" s="815"/>
      <c r="C11" s="1025">
        <f>huishoudens!B8</f>
        <v>62112.201724651859</v>
      </c>
      <c r="D11" s="1025">
        <f>huishoudens!C8</f>
        <v>0</v>
      </c>
      <c r="E11" s="1025">
        <f>huishoudens!D8</f>
        <v>163071.09587460844</v>
      </c>
      <c r="F11" s="1025">
        <f>huishoudens!E8</f>
        <v>1536.8797901770381</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9835.1699256558186</v>
      </c>
      <c r="P11" s="1025">
        <f>huishoudens!O8</f>
        <v>196.98000000000002</v>
      </c>
      <c r="Q11" s="1026">
        <f>huishoudens!P8</f>
        <v>324.13333333333333</v>
      </c>
      <c r="R11" s="701">
        <f>SUM(C11:Q11)</f>
        <v>237076.4606484265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54285.278900000005</v>
      </c>
      <c r="D13" s="1025">
        <f>industrie!C18</f>
        <v>0</v>
      </c>
      <c r="E13" s="1025">
        <f>industrie!D18</f>
        <v>128232.00168809846</v>
      </c>
      <c r="F13" s="1025">
        <f>industrie!E18</f>
        <v>2982.6872988110263</v>
      </c>
      <c r="G13" s="1025">
        <f>industrie!F18</f>
        <v>55647.57411741119</v>
      </c>
      <c r="H13" s="1025">
        <f>industrie!G18</f>
        <v>0</v>
      </c>
      <c r="I13" s="1025">
        <f>industrie!H18</f>
        <v>0</v>
      </c>
      <c r="J13" s="1025">
        <f>industrie!I18</f>
        <v>0</v>
      </c>
      <c r="K13" s="1025">
        <f>industrie!J18</f>
        <v>677.72849302463624</v>
      </c>
      <c r="L13" s="1025">
        <f>industrie!K18</f>
        <v>0</v>
      </c>
      <c r="M13" s="1025">
        <f>industrie!L18</f>
        <v>0</v>
      </c>
      <c r="N13" s="1025">
        <f>industrie!M18</f>
        <v>0</v>
      </c>
      <c r="O13" s="1025">
        <f>industrie!N18</f>
        <v>19060.096769137534</v>
      </c>
      <c r="P13" s="1025">
        <f>industrie!O18</f>
        <v>0</v>
      </c>
      <c r="Q13" s="1026">
        <f>industrie!P18</f>
        <v>0</v>
      </c>
      <c r="R13" s="701">
        <f>SUM(C13:Q13)</f>
        <v>260885.36726648285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164301.58262465187</v>
      </c>
      <c r="D16" s="733">
        <f t="shared" ref="D16:R16" ca="1" si="0">SUM(D9:D15)</f>
        <v>0</v>
      </c>
      <c r="E16" s="733">
        <f t="shared" ca="1" si="0"/>
        <v>344085.00145548541</v>
      </c>
      <c r="F16" s="733">
        <f t="shared" si="0"/>
        <v>4956.9968349806204</v>
      </c>
      <c r="G16" s="733">
        <f t="shared" ca="1" si="0"/>
        <v>62083.12738768055</v>
      </c>
      <c r="H16" s="733">
        <f t="shared" si="0"/>
        <v>0</v>
      </c>
      <c r="I16" s="733">
        <f t="shared" si="0"/>
        <v>0</v>
      </c>
      <c r="J16" s="733">
        <f t="shared" si="0"/>
        <v>0</v>
      </c>
      <c r="K16" s="733">
        <f t="shared" si="0"/>
        <v>677.72849302463624</v>
      </c>
      <c r="L16" s="733">
        <f t="shared" si="0"/>
        <v>0</v>
      </c>
      <c r="M16" s="733">
        <f t="shared" ca="1" si="0"/>
        <v>0</v>
      </c>
      <c r="N16" s="733">
        <f t="shared" si="0"/>
        <v>0</v>
      </c>
      <c r="O16" s="733">
        <f t="shared" ca="1" si="0"/>
        <v>31211.749152713073</v>
      </c>
      <c r="P16" s="733">
        <f t="shared" si="0"/>
        <v>198.54333333333335</v>
      </c>
      <c r="Q16" s="733">
        <f t="shared" si="0"/>
        <v>324.13333333333333</v>
      </c>
      <c r="R16" s="733">
        <f t="shared" ca="1" si="0"/>
        <v>607838.86261520279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3705.4432525871675</v>
      </c>
      <c r="I19" s="1025">
        <f>transport!H54</f>
        <v>0</v>
      </c>
      <c r="J19" s="1025">
        <f>transport!I54</f>
        <v>0</v>
      </c>
      <c r="K19" s="1025">
        <f>transport!J54</f>
        <v>0</v>
      </c>
      <c r="L19" s="1025">
        <f>transport!K54</f>
        <v>0</v>
      </c>
      <c r="M19" s="1025">
        <f>transport!L54</f>
        <v>0</v>
      </c>
      <c r="N19" s="1025">
        <f>transport!M54</f>
        <v>211.31062674444621</v>
      </c>
      <c r="O19" s="1025">
        <f>transport!N54</f>
        <v>0</v>
      </c>
      <c r="P19" s="1025">
        <f>transport!O54</f>
        <v>0</v>
      </c>
      <c r="Q19" s="1026">
        <f>transport!P54</f>
        <v>0</v>
      </c>
      <c r="R19" s="701">
        <f>SUM(C19:Q19)</f>
        <v>3916.7538793316139</v>
      </c>
      <c r="S19" s="67"/>
    </row>
    <row r="20" spans="1:19" s="474" customFormat="1">
      <c r="A20" s="810" t="s">
        <v>307</v>
      </c>
      <c r="B20" s="815"/>
      <c r="C20" s="1025">
        <f>transport!B14</f>
        <v>42.574478206403903</v>
      </c>
      <c r="D20" s="1025">
        <f>transport!C14</f>
        <v>0</v>
      </c>
      <c r="E20" s="1025">
        <f>transport!D14</f>
        <v>111.72605054110744</v>
      </c>
      <c r="F20" s="1025">
        <f>transport!E14</f>
        <v>813.34134288890755</v>
      </c>
      <c r="G20" s="1025">
        <f>transport!F14</f>
        <v>0</v>
      </c>
      <c r="H20" s="1025">
        <f>transport!G14</f>
        <v>274279.70456754859</v>
      </c>
      <c r="I20" s="1025">
        <f>transport!H14</f>
        <v>43314.150926446411</v>
      </c>
      <c r="J20" s="1025">
        <f>transport!I14</f>
        <v>0</v>
      </c>
      <c r="K20" s="1025">
        <f>transport!J14</f>
        <v>0</v>
      </c>
      <c r="L20" s="1025">
        <f>transport!K14</f>
        <v>0</v>
      </c>
      <c r="M20" s="1025">
        <f>transport!L14</f>
        <v>0</v>
      </c>
      <c r="N20" s="1025">
        <f>transport!M14</f>
        <v>17199.188974428536</v>
      </c>
      <c r="O20" s="1025">
        <f>transport!N14</f>
        <v>0</v>
      </c>
      <c r="P20" s="1025">
        <f>transport!O14</f>
        <v>0</v>
      </c>
      <c r="Q20" s="1026">
        <f>transport!P14</f>
        <v>0</v>
      </c>
      <c r="R20" s="701">
        <f>SUM(C20:Q20)</f>
        <v>335760.68634005997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42.574478206403903</v>
      </c>
      <c r="D22" s="813">
        <f t="shared" ref="D22:R22" si="1">SUM(D18:D21)</f>
        <v>0</v>
      </c>
      <c r="E22" s="813">
        <f t="shared" si="1"/>
        <v>111.72605054110744</v>
      </c>
      <c r="F22" s="813">
        <f t="shared" si="1"/>
        <v>813.34134288890755</v>
      </c>
      <c r="G22" s="813">
        <f t="shared" si="1"/>
        <v>0</v>
      </c>
      <c r="H22" s="813">
        <f t="shared" si="1"/>
        <v>277985.14782013575</v>
      </c>
      <c r="I22" s="813">
        <f t="shared" si="1"/>
        <v>43314.150926446411</v>
      </c>
      <c r="J22" s="813">
        <f t="shared" si="1"/>
        <v>0</v>
      </c>
      <c r="K22" s="813">
        <f t="shared" si="1"/>
        <v>0</v>
      </c>
      <c r="L22" s="813">
        <f t="shared" si="1"/>
        <v>0</v>
      </c>
      <c r="M22" s="813">
        <f t="shared" si="1"/>
        <v>0</v>
      </c>
      <c r="N22" s="813">
        <f t="shared" si="1"/>
        <v>17410.499601172982</v>
      </c>
      <c r="O22" s="813">
        <f t="shared" si="1"/>
        <v>0</v>
      </c>
      <c r="P22" s="813">
        <f t="shared" si="1"/>
        <v>0</v>
      </c>
      <c r="Q22" s="813">
        <f t="shared" si="1"/>
        <v>0</v>
      </c>
      <c r="R22" s="813">
        <f t="shared" si="1"/>
        <v>339677.4402193916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266.31581</v>
      </c>
      <c r="D24" s="1025">
        <f>+landbouw!C8</f>
        <v>0</v>
      </c>
      <c r="E24" s="1025">
        <f>+landbouw!D8</f>
        <v>618.23650913625272</v>
      </c>
      <c r="F24" s="1025">
        <f>+landbouw!E8</f>
        <v>2.4667285755345039</v>
      </c>
      <c r="G24" s="1025">
        <f>+landbouw!F8</f>
        <v>675.69394307974153</v>
      </c>
      <c r="H24" s="1025">
        <f>+landbouw!G8</f>
        <v>0</v>
      </c>
      <c r="I24" s="1025">
        <f>+landbouw!H8</f>
        <v>0</v>
      </c>
      <c r="J24" s="1025">
        <f>+landbouw!I8</f>
        <v>0</v>
      </c>
      <c r="K24" s="1025">
        <f>+landbouw!J8</f>
        <v>40.82918576611393</v>
      </c>
      <c r="L24" s="1025">
        <f>+landbouw!K8</f>
        <v>0</v>
      </c>
      <c r="M24" s="1025">
        <f>+landbouw!L8</f>
        <v>0</v>
      </c>
      <c r="N24" s="1025">
        <f>+landbouw!M8</f>
        <v>0</v>
      </c>
      <c r="O24" s="1025">
        <f>+landbouw!N8</f>
        <v>0</v>
      </c>
      <c r="P24" s="1025">
        <f>+landbouw!O8</f>
        <v>0</v>
      </c>
      <c r="Q24" s="1026">
        <f>+landbouw!P8</f>
        <v>0</v>
      </c>
      <c r="R24" s="701">
        <f>SUM(C24:Q24)</f>
        <v>1603.5421765576425</v>
      </c>
      <c r="S24" s="67"/>
    </row>
    <row r="25" spans="1:19" s="474" customFormat="1" ht="15" thickBot="1">
      <c r="A25" s="832" t="s">
        <v>864</v>
      </c>
      <c r="B25" s="1028"/>
      <c r="C25" s="1029">
        <f>IF(Onbekend_ele_kWh="---",0,Onbekend_ele_kWh)/1000+IF(REST_rest_ele_kWh="---",0,REST_rest_ele_kWh)/1000</f>
        <v>2341.8980000000001</v>
      </c>
      <c r="D25" s="1029"/>
      <c r="E25" s="1029">
        <f>IF(onbekend_gas_kWh="---",0,onbekend_gas_kWh)/1000+IF(REST_rest_gas_kWh="---",0,REST_rest_gas_kWh)/1000</f>
        <v>9123.3995034488307</v>
      </c>
      <c r="F25" s="1029"/>
      <c r="G25" s="1029"/>
      <c r="H25" s="1029"/>
      <c r="I25" s="1029"/>
      <c r="J25" s="1029"/>
      <c r="K25" s="1029"/>
      <c r="L25" s="1029"/>
      <c r="M25" s="1029"/>
      <c r="N25" s="1029"/>
      <c r="O25" s="1029"/>
      <c r="P25" s="1029"/>
      <c r="Q25" s="1030"/>
      <c r="R25" s="701">
        <f>SUM(C25:Q25)</f>
        <v>11465.29750344883</v>
      </c>
      <c r="S25" s="67"/>
    </row>
    <row r="26" spans="1:19" s="474" customFormat="1" ht="15.75" thickBot="1">
      <c r="A26" s="706" t="s">
        <v>865</v>
      </c>
      <c r="B26" s="818"/>
      <c r="C26" s="813">
        <f>SUM(C24:C25)</f>
        <v>2608.2138100000002</v>
      </c>
      <c r="D26" s="813">
        <f t="shared" ref="D26:R26" si="2">SUM(D24:D25)</f>
        <v>0</v>
      </c>
      <c r="E26" s="813">
        <f t="shared" si="2"/>
        <v>9741.6360125850842</v>
      </c>
      <c r="F26" s="813">
        <f t="shared" si="2"/>
        <v>2.4667285755345039</v>
      </c>
      <c r="G26" s="813">
        <f t="shared" si="2"/>
        <v>675.69394307974153</v>
      </c>
      <c r="H26" s="813">
        <f t="shared" si="2"/>
        <v>0</v>
      </c>
      <c r="I26" s="813">
        <f t="shared" si="2"/>
        <v>0</v>
      </c>
      <c r="J26" s="813">
        <f t="shared" si="2"/>
        <v>0</v>
      </c>
      <c r="K26" s="813">
        <f t="shared" si="2"/>
        <v>40.82918576611393</v>
      </c>
      <c r="L26" s="813">
        <f t="shared" si="2"/>
        <v>0</v>
      </c>
      <c r="M26" s="813">
        <f t="shared" si="2"/>
        <v>0</v>
      </c>
      <c r="N26" s="813">
        <f t="shared" si="2"/>
        <v>0</v>
      </c>
      <c r="O26" s="813">
        <f t="shared" si="2"/>
        <v>0</v>
      </c>
      <c r="P26" s="813">
        <f t="shared" si="2"/>
        <v>0</v>
      </c>
      <c r="Q26" s="813">
        <f t="shared" si="2"/>
        <v>0</v>
      </c>
      <c r="R26" s="813">
        <f t="shared" si="2"/>
        <v>13068.839680006473</v>
      </c>
      <c r="S26" s="67"/>
    </row>
    <row r="27" spans="1:19" s="474" customFormat="1" ht="17.25" thickTop="1" thickBot="1">
      <c r="A27" s="707" t="s">
        <v>116</v>
      </c>
      <c r="B27" s="806"/>
      <c r="C27" s="708">
        <f ca="1">C22+C16+C26</f>
        <v>166952.37091285826</v>
      </c>
      <c r="D27" s="708">
        <f t="shared" ref="D27:R27" ca="1" si="3">D22+D16+D26</f>
        <v>0</v>
      </c>
      <c r="E27" s="708">
        <f t="shared" ca="1" si="3"/>
        <v>353938.36351861159</v>
      </c>
      <c r="F27" s="708">
        <f t="shared" si="3"/>
        <v>5772.8049064450624</v>
      </c>
      <c r="G27" s="708">
        <f t="shared" ca="1" si="3"/>
        <v>62758.821330760293</v>
      </c>
      <c r="H27" s="708">
        <f t="shared" si="3"/>
        <v>277985.14782013575</v>
      </c>
      <c r="I27" s="708">
        <f t="shared" si="3"/>
        <v>43314.150926446411</v>
      </c>
      <c r="J27" s="708">
        <f t="shared" si="3"/>
        <v>0</v>
      </c>
      <c r="K27" s="708">
        <f t="shared" si="3"/>
        <v>718.55767879075017</v>
      </c>
      <c r="L27" s="708">
        <f t="shared" si="3"/>
        <v>0</v>
      </c>
      <c r="M27" s="708">
        <f t="shared" ca="1" si="3"/>
        <v>0</v>
      </c>
      <c r="N27" s="708">
        <f t="shared" si="3"/>
        <v>17410.499601172982</v>
      </c>
      <c r="O27" s="708">
        <f t="shared" ca="1" si="3"/>
        <v>31211.749152713073</v>
      </c>
      <c r="P27" s="708">
        <f t="shared" si="3"/>
        <v>198.54333333333335</v>
      </c>
      <c r="Q27" s="708">
        <f t="shared" si="3"/>
        <v>324.13333333333333</v>
      </c>
      <c r="R27" s="708">
        <f t="shared" ca="1" si="3"/>
        <v>960585.14251460088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10355.81361745822</v>
      </c>
      <c r="D40" s="1025">
        <f ca="1">tertiair!C20</f>
        <v>0</v>
      </c>
      <c r="E40" s="1025">
        <f ca="1">tertiair!D20</f>
        <v>10661.944586341255</v>
      </c>
      <c r="F40" s="1025">
        <f>tertiair!E20</f>
        <v>99.2965523403101</v>
      </c>
      <c r="G40" s="1025">
        <f ca="1">tertiair!F20</f>
        <v>1718.2927231619201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22835.347479301705</v>
      </c>
    </row>
    <row r="41" spans="1:18">
      <c r="A41" s="823" t="s">
        <v>225</v>
      </c>
      <c r="B41" s="830"/>
      <c r="C41" s="1025">
        <f ca="1">huishoudens!B12</f>
        <v>13427.29239409313</v>
      </c>
      <c r="D41" s="1025">
        <f ca="1">huishoudens!C12</f>
        <v>0</v>
      </c>
      <c r="E41" s="1025">
        <f>huishoudens!D12</f>
        <v>32940.361366670906</v>
      </c>
      <c r="F41" s="1025">
        <f>huishoudens!E12</f>
        <v>348.87171237018765</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46716.525473134221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11735.283764637468</v>
      </c>
      <c r="D43" s="1025">
        <f ca="1">industrie!C22</f>
        <v>0</v>
      </c>
      <c r="E43" s="1025">
        <f>industrie!D22</f>
        <v>25902.86434099589</v>
      </c>
      <c r="F43" s="1025">
        <f>industrie!E22</f>
        <v>677.07001683010299</v>
      </c>
      <c r="G43" s="1025">
        <f>industrie!F22</f>
        <v>14857.902289348789</v>
      </c>
      <c r="H43" s="1025">
        <f>industrie!G22</f>
        <v>0</v>
      </c>
      <c r="I43" s="1025">
        <f>industrie!H22</f>
        <v>0</v>
      </c>
      <c r="J43" s="1025">
        <f>industrie!I22</f>
        <v>0</v>
      </c>
      <c r="K43" s="1025">
        <f>industrie!J22</f>
        <v>239.91588653072122</v>
      </c>
      <c r="L43" s="1025">
        <f>industrie!K22</f>
        <v>0</v>
      </c>
      <c r="M43" s="1025">
        <f>industrie!L22</f>
        <v>0</v>
      </c>
      <c r="N43" s="1025">
        <f>industrie!M22</f>
        <v>0</v>
      </c>
      <c r="O43" s="1025">
        <f>industrie!N22</f>
        <v>0</v>
      </c>
      <c r="P43" s="1025">
        <f>industrie!O22</f>
        <v>0</v>
      </c>
      <c r="Q43" s="775">
        <f>industrie!P22</f>
        <v>0</v>
      </c>
      <c r="R43" s="850">
        <f t="shared" ca="1" si="4"/>
        <v>53413.036298342973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35518.389776188822</v>
      </c>
      <c r="D46" s="733">
        <f t="shared" ref="D46:Q46" ca="1" si="5">SUM(D39:D45)</f>
        <v>0</v>
      </c>
      <c r="E46" s="733">
        <f t="shared" ca="1" si="5"/>
        <v>69505.170294008043</v>
      </c>
      <c r="F46" s="733">
        <f t="shared" si="5"/>
        <v>1125.2382815406008</v>
      </c>
      <c r="G46" s="733">
        <f t="shared" ca="1" si="5"/>
        <v>16576.195012510711</v>
      </c>
      <c r="H46" s="733">
        <f t="shared" si="5"/>
        <v>0</v>
      </c>
      <c r="I46" s="733">
        <f t="shared" si="5"/>
        <v>0</v>
      </c>
      <c r="J46" s="733">
        <f t="shared" si="5"/>
        <v>0</v>
      </c>
      <c r="K46" s="733">
        <f t="shared" si="5"/>
        <v>239.91588653072122</v>
      </c>
      <c r="L46" s="733">
        <f t="shared" si="5"/>
        <v>0</v>
      </c>
      <c r="M46" s="733">
        <f t="shared" ca="1" si="5"/>
        <v>0</v>
      </c>
      <c r="N46" s="733">
        <f t="shared" si="5"/>
        <v>0</v>
      </c>
      <c r="O46" s="733">
        <f t="shared" ca="1" si="5"/>
        <v>0</v>
      </c>
      <c r="P46" s="733">
        <f t="shared" si="5"/>
        <v>0</v>
      </c>
      <c r="Q46" s="733">
        <f t="shared" si="5"/>
        <v>0</v>
      </c>
      <c r="R46" s="733">
        <f ca="1">SUM(R39:R45)</f>
        <v>122964.9092507789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989.35334844077374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989.35334844077374</v>
      </c>
    </row>
    <row r="50" spans="1:18">
      <c r="A50" s="826" t="s">
        <v>307</v>
      </c>
      <c r="B50" s="836"/>
      <c r="C50" s="704">
        <f ca="1">transport!B18</f>
        <v>9.2036661320998281</v>
      </c>
      <c r="D50" s="704">
        <f>transport!C18</f>
        <v>0</v>
      </c>
      <c r="E50" s="704">
        <f>transport!D18</f>
        <v>22.568662209303703</v>
      </c>
      <c r="F50" s="704">
        <f>transport!E18</f>
        <v>184.62848483578202</v>
      </c>
      <c r="G50" s="704">
        <f>transport!F18</f>
        <v>0</v>
      </c>
      <c r="H50" s="704">
        <f>transport!G18</f>
        <v>73232.681119535482</v>
      </c>
      <c r="I50" s="704">
        <f>transport!H18</f>
        <v>10785.223580685157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84234.30551339782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9.2036661320998281</v>
      </c>
      <c r="D52" s="733">
        <f t="shared" ref="D52:Q52" ca="1" si="6">SUM(D48:D51)</f>
        <v>0</v>
      </c>
      <c r="E52" s="733">
        <f t="shared" si="6"/>
        <v>22.568662209303703</v>
      </c>
      <c r="F52" s="733">
        <f t="shared" si="6"/>
        <v>184.62848483578202</v>
      </c>
      <c r="G52" s="733">
        <f t="shared" si="6"/>
        <v>0</v>
      </c>
      <c r="H52" s="733">
        <f t="shared" si="6"/>
        <v>74222.034467976249</v>
      </c>
      <c r="I52" s="733">
        <f t="shared" si="6"/>
        <v>10785.223580685157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85223.658861838587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57.571622817236303</v>
      </c>
      <c r="D54" s="704">
        <f ca="1">+landbouw!C12</f>
        <v>0</v>
      </c>
      <c r="E54" s="704">
        <f>+landbouw!D12</f>
        <v>124.88377484552306</v>
      </c>
      <c r="F54" s="704">
        <f>+landbouw!E12</f>
        <v>0.55994738664633237</v>
      </c>
      <c r="G54" s="704">
        <f>+landbouw!F12</f>
        <v>180.41028280229099</v>
      </c>
      <c r="H54" s="704">
        <f>+landbouw!G12</f>
        <v>0</v>
      </c>
      <c r="I54" s="704">
        <f>+landbouw!H12</f>
        <v>0</v>
      </c>
      <c r="J54" s="704">
        <f>+landbouw!I12</f>
        <v>0</v>
      </c>
      <c r="K54" s="704">
        <f>+landbouw!J12</f>
        <v>14.45353176120433</v>
      </c>
      <c r="L54" s="704">
        <f>+landbouw!K12</f>
        <v>0</v>
      </c>
      <c r="M54" s="704">
        <f>+landbouw!L12</f>
        <v>0</v>
      </c>
      <c r="N54" s="704">
        <f>+landbouw!M12</f>
        <v>0</v>
      </c>
      <c r="O54" s="704">
        <f>+landbouw!N12</f>
        <v>0</v>
      </c>
      <c r="P54" s="704">
        <f>+landbouw!O12</f>
        <v>0</v>
      </c>
      <c r="Q54" s="705">
        <f>+landbouw!P12</f>
        <v>0</v>
      </c>
      <c r="R54" s="732">
        <f ca="1">SUM(C54:Q54)</f>
        <v>377.87915961290105</v>
      </c>
    </row>
    <row r="55" spans="1:18" ht="15" thickBot="1">
      <c r="A55" s="826" t="s">
        <v>864</v>
      </c>
      <c r="B55" s="836"/>
      <c r="C55" s="704">
        <f ca="1">C25*'EF ele_warmte'!B12</f>
        <v>506.26685787989857</v>
      </c>
      <c r="D55" s="704"/>
      <c r="E55" s="704">
        <f>E25*EF_CO2_aardgas</f>
        <v>1842.9266996966639</v>
      </c>
      <c r="F55" s="704"/>
      <c r="G55" s="704"/>
      <c r="H55" s="704"/>
      <c r="I55" s="704"/>
      <c r="J55" s="704"/>
      <c r="K55" s="704"/>
      <c r="L55" s="704"/>
      <c r="M55" s="704"/>
      <c r="N55" s="704"/>
      <c r="O55" s="704"/>
      <c r="P55" s="704"/>
      <c r="Q55" s="705"/>
      <c r="R55" s="732">
        <f ca="1">SUM(C55:Q55)</f>
        <v>2349.1935575765624</v>
      </c>
    </row>
    <row r="56" spans="1:18" ht="15.75" thickBot="1">
      <c r="A56" s="824" t="s">
        <v>865</v>
      </c>
      <c r="B56" s="837"/>
      <c r="C56" s="733">
        <f ca="1">SUM(C54:C55)</f>
        <v>563.83848069713486</v>
      </c>
      <c r="D56" s="733">
        <f t="shared" ref="D56:Q56" ca="1" si="7">SUM(D54:D55)</f>
        <v>0</v>
      </c>
      <c r="E56" s="733">
        <f t="shared" si="7"/>
        <v>1967.810474542187</v>
      </c>
      <c r="F56" s="733">
        <f t="shared" si="7"/>
        <v>0.55994738664633237</v>
      </c>
      <c r="G56" s="733">
        <f t="shared" si="7"/>
        <v>180.41028280229099</v>
      </c>
      <c r="H56" s="733">
        <f t="shared" si="7"/>
        <v>0</v>
      </c>
      <c r="I56" s="733">
        <f t="shared" si="7"/>
        <v>0</v>
      </c>
      <c r="J56" s="733">
        <f t="shared" si="7"/>
        <v>0</v>
      </c>
      <c r="K56" s="733">
        <f t="shared" si="7"/>
        <v>14.45353176120433</v>
      </c>
      <c r="L56" s="733">
        <f t="shared" si="7"/>
        <v>0</v>
      </c>
      <c r="M56" s="733">
        <f t="shared" si="7"/>
        <v>0</v>
      </c>
      <c r="N56" s="733">
        <f t="shared" si="7"/>
        <v>0</v>
      </c>
      <c r="O56" s="733">
        <f t="shared" si="7"/>
        <v>0</v>
      </c>
      <c r="P56" s="733">
        <f t="shared" si="7"/>
        <v>0</v>
      </c>
      <c r="Q56" s="734">
        <f t="shared" si="7"/>
        <v>0</v>
      </c>
      <c r="R56" s="735">
        <f ca="1">SUM(R54:R55)</f>
        <v>2727.0727171894632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36091.431923018055</v>
      </c>
      <c r="D61" s="741">
        <f t="shared" ref="D61:Q61" ca="1" si="8">D46+D52+D56</f>
        <v>0</v>
      </c>
      <c r="E61" s="741">
        <f t="shared" ca="1" si="8"/>
        <v>71495.549430759536</v>
      </c>
      <c r="F61" s="741">
        <f t="shared" si="8"/>
        <v>1310.4267137630293</v>
      </c>
      <c r="G61" s="741">
        <f t="shared" ca="1" si="8"/>
        <v>16756.605295313002</v>
      </c>
      <c r="H61" s="741">
        <f t="shared" si="8"/>
        <v>74222.034467976249</v>
      </c>
      <c r="I61" s="741">
        <f t="shared" si="8"/>
        <v>10785.223580685157</v>
      </c>
      <c r="J61" s="741">
        <f t="shared" si="8"/>
        <v>0</v>
      </c>
      <c r="K61" s="741">
        <f t="shared" si="8"/>
        <v>254.36941829192554</v>
      </c>
      <c r="L61" s="741">
        <f t="shared" si="8"/>
        <v>0</v>
      </c>
      <c r="M61" s="741">
        <f t="shared" ca="1" si="8"/>
        <v>0</v>
      </c>
      <c r="N61" s="741">
        <f t="shared" si="8"/>
        <v>0</v>
      </c>
      <c r="O61" s="741">
        <f t="shared" ca="1" si="8"/>
        <v>0</v>
      </c>
      <c r="P61" s="741">
        <f t="shared" si="8"/>
        <v>0</v>
      </c>
      <c r="Q61" s="741">
        <f t="shared" si="8"/>
        <v>0</v>
      </c>
      <c r="R61" s="741">
        <f ca="1">R46+R52+R56</f>
        <v>210915.64082980694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0.21617801367945944</v>
      </c>
      <c r="D63" s="782">
        <f t="shared" ca="1" si="9"/>
        <v>0</v>
      </c>
      <c r="E63" s="1036">
        <f t="shared" ca="1" si="9"/>
        <v>0.20199999999999999</v>
      </c>
      <c r="F63" s="782">
        <f t="shared" si="9"/>
        <v>0.22700000000000001</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3642.7242023693489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3642.7242023693489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62112.201724651859</v>
      </c>
      <c r="C4" s="478">
        <f>huishoudens!C8</f>
        <v>0</v>
      </c>
      <c r="D4" s="478">
        <f>huishoudens!D8</f>
        <v>163071.09587460844</v>
      </c>
      <c r="E4" s="478">
        <f>huishoudens!E8</f>
        <v>1536.8797901770381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9835.1699256558186</v>
      </c>
      <c r="O4" s="478">
        <f>huishoudens!O8</f>
        <v>196.98000000000002</v>
      </c>
      <c r="P4" s="479">
        <f>huishoudens!P8</f>
        <v>324.13333333333333</v>
      </c>
      <c r="Q4" s="480">
        <f>SUM(B4:P4)</f>
        <v>237076.4606484265</v>
      </c>
    </row>
    <row r="5" spans="1:17">
      <c r="A5" s="477" t="s">
        <v>156</v>
      </c>
      <c r="B5" s="478">
        <f ca="1">tertiair!B16</f>
        <v>46034.119000000006</v>
      </c>
      <c r="C5" s="478">
        <f ca="1">tertiair!C16</f>
        <v>0</v>
      </c>
      <c r="D5" s="478">
        <f ca="1">tertiair!D16</f>
        <v>52781.903892778486</v>
      </c>
      <c r="E5" s="478">
        <f>tertiair!E16</f>
        <v>437.42974599255547</v>
      </c>
      <c r="F5" s="478">
        <f ca="1">tertiair!F16</f>
        <v>6435.5532702693636</v>
      </c>
      <c r="G5" s="478">
        <f>tertiair!G16</f>
        <v>0</v>
      </c>
      <c r="H5" s="478">
        <f>tertiair!H16</f>
        <v>0</v>
      </c>
      <c r="I5" s="478">
        <f>tertiair!I16</f>
        <v>0</v>
      </c>
      <c r="J5" s="478">
        <f>tertiair!J16</f>
        <v>0</v>
      </c>
      <c r="K5" s="478">
        <f>tertiair!K16</f>
        <v>0</v>
      </c>
      <c r="L5" s="478">
        <f ca="1">tertiair!L16</f>
        <v>0</v>
      </c>
      <c r="M5" s="478">
        <f>tertiair!M16</f>
        <v>0</v>
      </c>
      <c r="N5" s="478">
        <f ca="1">tertiair!N16</f>
        <v>2316.4824579197207</v>
      </c>
      <c r="O5" s="478">
        <f>tertiair!O16</f>
        <v>1.5633333333333335</v>
      </c>
      <c r="P5" s="479">
        <f>tertiair!P16</f>
        <v>0</v>
      </c>
      <c r="Q5" s="477">
        <f t="shared" ref="Q5:Q14" ca="1" si="0">SUM(B5:P5)</f>
        <v>108007.05170029346</v>
      </c>
    </row>
    <row r="6" spans="1:17">
      <c r="A6" s="477" t="s">
        <v>194</v>
      </c>
      <c r="B6" s="478">
        <f>'openbare verlichting'!B8</f>
        <v>1869.9829999999999</v>
      </c>
      <c r="C6" s="478"/>
      <c r="D6" s="478"/>
      <c r="E6" s="478"/>
      <c r="F6" s="478"/>
      <c r="G6" s="478"/>
      <c r="H6" s="478"/>
      <c r="I6" s="478"/>
      <c r="J6" s="478"/>
      <c r="K6" s="478"/>
      <c r="L6" s="478"/>
      <c r="M6" s="478"/>
      <c r="N6" s="478"/>
      <c r="O6" s="478"/>
      <c r="P6" s="479"/>
      <c r="Q6" s="477">
        <f t="shared" si="0"/>
        <v>1869.9829999999999</v>
      </c>
    </row>
    <row r="7" spans="1:17">
      <c r="A7" s="477" t="s">
        <v>112</v>
      </c>
      <c r="B7" s="478">
        <f>landbouw!B8</f>
        <v>266.31581</v>
      </c>
      <c r="C7" s="478">
        <f>landbouw!C8</f>
        <v>0</v>
      </c>
      <c r="D7" s="478">
        <f>landbouw!D8</f>
        <v>618.23650913625272</v>
      </c>
      <c r="E7" s="478">
        <f>landbouw!E8</f>
        <v>2.4667285755345039</v>
      </c>
      <c r="F7" s="478">
        <f>landbouw!F8</f>
        <v>675.69394307974153</v>
      </c>
      <c r="G7" s="478">
        <f>landbouw!G8</f>
        <v>0</v>
      </c>
      <c r="H7" s="478">
        <f>landbouw!H8</f>
        <v>0</v>
      </c>
      <c r="I7" s="478">
        <f>landbouw!I8</f>
        <v>0</v>
      </c>
      <c r="J7" s="478">
        <f>landbouw!J8</f>
        <v>40.82918576611393</v>
      </c>
      <c r="K7" s="478">
        <f>landbouw!K8</f>
        <v>0</v>
      </c>
      <c r="L7" s="478">
        <f>landbouw!L8</f>
        <v>0</v>
      </c>
      <c r="M7" s="478">
        <f>landbouw!M8</f>
        <v>0</v>
      </c>
      <c r="N7" s="478">
        <f>landbouw!N8</f>
        <v>0</v>
      </c>
      <c r="O7" s="478">
        <f>landbouw!O8</f>
        <v>0</v>
      </c>
      <c r="P7" s="479">
        <f>landbouw!P8</f>
        <v>0</v>
      </c>
      <c r="Q7" s="477">
        <f t="shared" si="0"/>
        <v>1603.5421765576425</v>
      </c>
    </row>
    <row r="8" spans="1:17">
      <c r="A8" s="477" t="s">
        <v>650</v>
      </c>
      <c r="B8" s="478">
        <f>industrie!B18</f>
        <v>54285.278900000005</v>
      </c>
      <c r="C8" s="478">
        <f>industrie!C18</f>
        <v>0</v>
      </c>
      <c r="D8" s="478">
        <f>industrie!D18</f>
        <v>128232.00168809846</v>
      </c>
      <c r="E8" s="478">
        <f>industrie!E18</f>
        <v>2982.6872988110263</v>
      </c>
      <c r="F8" s="478">
        <f>industrie!F18</f>
        <v>55647.57411741119</v>
      </c>
      <c r="G8" s="478">
        <f>industrie!G18</f>
        <v>0</v>
      </c>
      <c r="H8" s="478">
        <f>industrie!H18</f>
        <v>0</v>
      </c>
      <c r="I8" s="478">
        <f>industrie!I18</f>
        <v>0</v>
      </c>
      <c r="J8" s="478">
        <f>industrie!J18</f>
        <v>677.72849302463624</v>
      </c>
      <c r="K8" s="478">
        <f>industrie!K18</f>
        <v>0</v>
      </c>
      <c r="L8" s="478">
        <f>industrie!L18</f>
        <v>0</v>
      </c>
      <c r="M8" s="478">
        <f>industrie!M18</f>
        <v>0</v>
      </c>
      <c r="N8" s="478">
        <f>industrie!N18</f>
        <v>19060.096769137534</v>
      </c>
      <c r="O8" s="478">
        <f>industrie!O18</f>
        <v>0</v>
      </c>
      <c r="P8" s="479">
        <f>industrie!P18</f>
        <v>0</v>
      </c>
      <c r="Q8" s="477">
        <f t="shared" si="0"/>
        <v>260885.36726648285</v>
      </c>
    </row>
    <row r="9" spans="1:17" s="483" customFormat="1">
      <c r="A9" s="481" t="s">
        <v>571</v>
      </c>
      <c r="B9" s="482">
        <f>transport!B14</f>
        <v>42.574478206403903</v>
      </c>
      <c r="C9" s="482">
        <f>transport!C14</f>
        <v>0</v>
      </c>
      <c r="D9" s="482">
        <f>transport!D14</f>
        <v>111.72605054110744</v>
      </c>
      <c r="E9" s="482">
        <f>transport!E14</f>
        <v>813.34134288890755</v>
      </c>
      <c r="F9" s="482">
        <f>transport!F14</f>
        <v>0</v>
      </c>
      <c r="G9" s="482">
        <f>transport!G14</f>
        <v>274279.70456754859</v>
      </c>
      <c r="H9" s="482">
        <f>transport!H14</f>
        <v>43314.150926446411</v>
      </c>
      <c r="I9" s="482">
        <f>transport!I14</f>
        <v>0</v>
      </c>
      <c r="J9" s="482">
        <f>transport!J14</f>
        <v>0</v>
      </c>
      <c r="K9" s="482">
        <f>transport!K14</f>
        <v>0</v>
      </c>
      <c r="L9" s="482">
        <f>transport!L14</f>
        <v>0</v>
      </c>
      <c r="M9" s="482">
        <f>transport!M14</f>
        <v>17199.188974428536</v>
      </c>
      <c r="N9" s="482">
        <f>transport!N14</f>
        <v>0</v>
      </c>
      <c r="O9" s="482">
        <f>transport!O14</f>
        <v>0</v>
      </c>
      <c r="P9" s="482">
        <f>transport!P14</f>
        <v>0</v>
      </c>
      <c r="Q9" s="481">
        <f>SUM(B9:P9)</f>
        <v>335760.68634005997</v>
      </c>
    </row>
    <row r="10" spans="1:17">
      <c r="A10" s="477" t="s">
        <v>561</v>
      </c>
      <c r="B10" s="478">
        <f>transport!B54</f>
        <v>0</v>
      </c>
      <c r="C10" s="478">
        <f>transport!C54</f>
        <v>0</v>
      </c>
      <c r="D10" s="478">
        <f>transport!D54</f>
        <v>0</v>
      </c>
      <c r="E10" s="478">
        <f>transport!E54</f>
        <v>0</v>
      </c>
      <c r="F10" s="478">
        <f>transport!F54</f>
        <v>0</v>
      </c>
      <c r="G10" s="478">
        <f>transport!G54</f>
        <v>3705.4432525871675</v>
      </c>
      <c r="H10" s="478">
        <f>transport!H54</f>
        <v>0</v>
      </c>
      <c r="I10" s="478">
        <f>transport!I54</f>
        <v>0</v>
      </c>
      <c r="J10" s="478">
        <f>transport!J54</f>
        <v>0</v>
      </c>
      <c r="K10" s="478">
        <f>transport!K54</f>
        <v>0</v>
      </c>
      <c r="L10" s="478">
        <f>transport!L54</f>
        <v>0</v>
      </c>
      <c r="M10" s="478">
        <f>transport!M54</f>
        <v>211.31062674444621</v>
      </c>
      <c r="N10" s="478">
        <f>transport!N54</f>
        <v>0</v>
      </c>
      <c r="O10" s="478">
        <f>transport!O54</f>
        <v>0</v>
      </c>
      <c r="P10" s="479">
        <f>transport!P54</f>
        <v>0</v>
      </c>
      <c r="Q10" s="477">
        <f t="shared" si="0"/>
        <v>3916.7538793316139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2341.8980000000001</v>
      </c>
      <c r="C14" s="485"/>
      <c r="D14" s="485">
        <f>'SEAP template'!E25</f>
        <v>9123.3995034488307</v>
      </c>
      <c r="E14" s="485"/>
      <c r="F14" s="485"/>
      <c r="G14" s="485"/>
      <c r="H14" s="485"/>
      <c r="I14" s="485"/>
      <c r="J14" s="485"/>
      <c r="K14" s="485"/>
      <c r="L14" s="485"/>
      <c r="M14" s="485"/>
      <c r="N14" s="485"/>
      <c r="O14" s="485"/>
      <c r="P14" s="486"/>
      <c r="Q14" s="477">
        <f t="shared" si="0"/>
        <v>11465.29750344883</v>
      </c>
    </row>
    <row r="15" spans="1:17" s="487" customFormat="1">
      <c r="A15" s="1051" t="s">
        <v>565</v>
      </c>
      <c r="B15" s="991">
        <f ca="1">SUM(B4:B14)</f>
        <v>166952.37091285823</v>
      </c>
      <c r="C15" s="991">
        <f t="shared" ref="C15:Q15" ca="1" si="1">SUM(C4:C14)</f>
        <v>0</v>
      </c>
      <c r="D15" s="991">
        <f t="shared" ca="1" si="1"/>
        <v>353938.36351861153</v>
      </c>
      <c r="E15" s="991">
        <f t="shared" si="1"/>
        <v>5772.8049064450624</v>
      </c>
      <c r="F15" s="991">
        <f t="shared" ca="1" si="1"/>
        <v>62758.821330760293</v>
      </c>
      <c r="G15" s="991">
        <f t="shared" si="1"/>
        <v>277985.14782013575</v>
      </c>
      <c r="H15" s="991">
        <f t="shared" si="1"/>
        <v>43314.150926446411</v>
      </c>
      <c r="I15" s="991">
        <f t="shared" si="1"/>
        <v>0</v>
      </c>
      <c r="J15" s="991">
        <f t="shared" si="1"/>
        <v>718.55767879075017</v>
      </c>
      <c r="K15" s="991">
        <f t="shared" si="1"/>
        <v>0</v>
      </c>
      <c r="L15" s="991">
        <f t="shared" ca="1" si="1"/>
        <v>0</v>
      </c>
      <c r="M15" s="991">
        <f t="shared" si="1"/>
        <v>17410.499601172982</v>
      </c>
      <c r="N15" s="991">
        <f t="shared" ca="1" si="1"/>
        <v>31211.749152713073</v>
      </c>
      <c r="O15" s="991">
        <f t="shared" si="1"/>
        <v>198.54333333333335</v>
      </c>
      <c r="P15" s="991">
        <f t="shared" si="1"/>
        <v>324.13333333333333</v>
      </c>
      <c r="Q15" s="991">
        <f t="shared" ca="1" si="1"/>
        <v>960585.14251460088</v>
      </c>
    </row>
    <row r="17" spans="1:17">
      <c r="A17" s="488" t="s">
        <v>566</v>
      </c>
      <c r="B17" s="787">
        <f ca="1">huishoudens!B10</f>
        <v>0.21617801367945938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13427.29239409313</v>
      </c>
      <c r="C22" s="478">
        <f t="shared" ref="C22:C32" ca="1" si="3">C4*$C$17</f>
        <v>0</v>
      </c>
      <c r="D22" s="478">
        <f t="shared" ref="D22:D32" si="4">D4*$D$17</f>
        <v>32940.361366670906</v>
      </c>
      <c r="E22" s="478">
        <f t="shared" ref="E22:E32" si="5">E4*$E$17</f>
        <v>348.87171237018765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46716.525473134221</v>
      </c>
    </row>
    <row r="23" spans="1:17">
      <c r="A23" s="477" t="s">
        <v>156</v>
      </c>
      <c r="B23" s="478">
        <f t="shared" ca="1" si="2"/>
        <v>9951.5644069038626</v>
      </c>
      <c r="C23" s="478">
        <f t="shared" ca="1" si="3"/>
        <v>0</v>
      </c>
      <c r="D23" s="478">
        <f t="shared" ca="1" si="4"/>
        <v>10661.944586341255</v>
      </c>
      <c r="E23" s="478">
        <f t="shared" si="5"/>
        <v>99.2965523403101</v>
      </c>
      <c r="F23" s="478">
        <f t="shared" ca="1" si="6"/>
        <v>1718.2927231619201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22431.098268747348</v>
      </c>
    </row>
    <row r="24" spans="1:17">
      <c r="A24" s="477" t="s">
        <v>194</v>
      </c>
      <c r="B24" s="478">
        <f t="shared" ca="1" si="2"/>
        <v>404.24921055435647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404.24921055435647</v>
      </c>
    </row>
    <row r="25" spans="1:17">
      <c r="A25" s="477" t="s">
        <v>112</v>
      </c>
      <c r="B25" s="478">
        <f t="shared" ca="1" si="2"/>
        <v>57.571622817236303</v>
      </c>
      <c r="C25" s="478">
        <f t="shared" ca="1" si="3"/>
        <v>0</v>
      </c>
      <c r="D25" s="478">
        <f t="shared" si="4"/>
        <v>124.88377484552306</v>
      </c>
      <c r="E25" s="478">
        <f t="shared" si="5"/>
        <v>0.55994738664633237</v>
      </c>
      <c r="F25" s="478">
        <f t="shared" si="6"/>
        <v>180.41028280229099</v>
      </c>
      <c r="G25" s="478">
        <f t="shared" si="7"/>
        <v>0</v>
      </c>
      <c r="H25" s="478">
        <f t="shared" si="8"/>
        <v>0</v>
      </c>
      <c r="I25" s="478">
        <f t="shared" si="9"/>
        <v>0</v>
      </c>
      <c r="J25" s="478">
        <f t="shared" si="10"/>
        <v>14.45353176120433</v>
      </c>
      <c r="K25" s="478">
        <f t="shared" si="11"/>
        <v>0</v>
      </c>
      <c r="L25" s="478">
        <f t="shared" si="12"/>
        <v>0</v>
      </c>
      <c r="M25" s="478">
        <f t="shared" si="13"/>
        <v>0</v>
      </c>
      <c r="N25" s="478">
        <f t="shared" si="14"/>
        <v>0</v>
      </c>
      <c r="O25" s="478">
        <f t="shared" si="15"/>
        <v>0</v>
      </c>
      <c r="P25" s="479">
        <f t="shared" si="16"/>
        <v>0</v>
      </c>
      <c r="Q25" s="477">
        <f t="shared" ca="1" si="17"/>
        <v>377.87915961290105</v>
      </c>
    </row>
    <row r="26" spans="1:17">
      <c r="A26" s="477" t="s">
        <v>650</v>
      </c>
      <c r="B26" s="478">
        <f t="shared" ca="1" si="2"/>
        <v>11735.283764637468</v>
      </c>
      <c r="C26" s="478">
        <f t="shared" ca="1" si="3"/>
        <v>0</v>
      </c>
      <c r="D26" s="478">
        <f t="shared" si="4"/>
        <v>25902.86434099589</v>
      </c>
      <c r="E26" s="478">
        <f t="shared" si="5"/>
        <v>677.07001683010299</v>
      </c>
      <c r="F26" s="478">
        <f t="shared" si="6"/>
        <v>14857.902289348789</v>
      </c>
      <c r="G26" s="478">
        <f t="shared" si="7"/>
        <v>0</v>
      </c>
      <c r="H26" s="478">
        <f t="shared" si="8"/>
        <v>0</v>
      </c>
      <c r="I26" s="478">
        <f t="shared" si="9"/>
        <v>0</v>
      </c>
      <c r="J26" s="478">
        <f t="shared" si="10"/>
        <v>239.91588653072122</v>
      </c>
      <c r="K26" s="478">
        <f t="shared" si="11"/>
        <v>0</v>
      </c>
      <c r="L26" s="478">
        <f t="shared" si="12"/>
        <v>0</v>
      </c>
      <c r="M26" s="478">
        <f t="shared" si="13"/>
        <v>0</v>
      </c>
      <c r="N26" s="478">
        <f t="shared" si="14"/>
        <v>0</v>
      </c>
      <c r="O26" s="478">
        <f t="shared" si="15"/>
        <v>0</v>
      </c>
      <c r="P26" s="479">
        <f t="shared" si="16"/>
        <v>0</v>
      </c>
      <c r="Q26" s="477">
        <f t="shared" ca="1" si="17"/>
        <v>53413.036298342973</v>
      </c>
    </row>
    <row r="27" spans="1:17" s="483" customFormat="1">
      <c r="A27" s="481" t="s">
        <v>571</v>
      </c>
      <c r="B27" s="781">
        <f t="shared" ca="1" si="2"/>
        <v>9.2036661320998281</v>
      </c>
      <c r="C27" s="482">
        <f t="shared" ca="1" si="3"/>
        <v>0</v>
      </c>
      <c r="D27" s="482">
        <f t="shared" si="4"/>
        <v>22.568662209303703</v>
      </c>
      <c r="E27" s="482">
        <f t="shared" si="5"/>
        <v>184.62848483578202</v>
      </c>
      <c r="F27" s="482">
        <f t="shared" si="6"/>
        <v>0</v>
      </c>
      <c r="G27" s="482">
        <f t="shared" si="7"/>
        <v>73232.681119535482</v>
      </c>
      <c r="H27" s="482">
        <f t="shared" si="8"/>
        <v>10785.223580685157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84234.30551339782</v>
      </c>
    </row>
    <row r="28" spans="1:17">
      <c r="A28" s="477" t="s">
        <v>561</v>
      </c>
      <c r="B28" s="478">
        <f t="shared" ca="1" si="2"/>
        <v>0</v>
      </c>
      <c r="C28" s="478">
        <f t="shared" ca="1" si="3"/>
        <v>0</v>
      </c>
      <c r="D28" s="478">
        <f t="shared" si="4"/>
        <v>0</v>
      </c>
      <c r="E28" s="478">
        <f t="shared" si="5"/>
        <v>0</v>
      </c>
      <c r="F28" s="478">
        <f t="shared" si="6"/>
        <v>0</v>
      </c>
      <c r="G28" s="478">
        <f t="shared" si="7"/>
        <v>989.35334844077374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989.35334844077374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506.26685787989857</v>
      </c>
      <c r="C32" s="478">
        <f t="shared" ca="1" si="3"/>
        <v>0</v>
      </c>
      <c r="D32" s="478">
        <f t="shared" si="4"/>
        <v>1842.9266996966639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2349.1935575765624</v>
      </c>
    </row>
    <row r="33" spans="1:17" s="487" customFormat="1">
      <c r="A33" s="1051" t="s">
        <v>565</v>
      </c>
      <c r="B33" s="991">
        <f ca="1">SUM(B22:B32)</f>
        <v>36091.431923018048</v>
      </c>
      <c r="C33" s="991">
        <f t="shared" ref="C33:Q33" ca="1" si="18">SUM(C22:C32)</f>
        <v>0</v>
      </c>
      <c r="D33" s="991">
        <f t="shared" ca="1" si="18"/>
        <v>71495.549430759551</v>
      </c>
      <c r="E33" s="991">
        <f t="shared" si="18"/>
        <v>1310.4267137630291</v>
      </c>
      <c r="F33" s="991">
        <f t="shared" ca="1" si="18"/>
        <v>16756.605295312998</v>
      </c>
      <c r="G33" s="991">
        <f t="shared" si="18"/>
        <v>74222.034467976249</v>
      </c>
      <c r="H33" s="991">
        <f t="shared" si="18"/>
        <v>10785.223580685157</v>
      </c>
      <c r="I33" s="991">
        <f t="shared" si="18"/>
        <v>0</v>
      </c>
      <c r="J33" s="991">
        <f t="shared" si="18"/>
        <v>254.36941829192554</v>
      </c>
      <c r="K33" s="991">
        <f t="shared" si="18"/>
        <v>0</v>
      </c>
      <c r="L33" s="991">
        <f t="shared" ca="1" si="18"/>
        <v>0</v>
      </c>
      <c r="M33" s="991">
        <f t="shared" si="18"/>
        <v>0</v>
      </c>
      <c r="N33" s="991">
        <f t="shared" ca="1" si="18"/>
        <v>0</v>
      </c>
      <c r="O33" s="991">
        <f t="shared" si="18"/>
        <v>0</v>
      </c>
      <c r="P33" s="991">
        <f t="shared" si="18"/>
        <v>0</v>
      </c>
      <c r="Q33" s="991">
        <f t="shared" ca="1" si="18"/>
        <v>210915.64082980697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3642.7242023693489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3642.7242023693489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0.21617801367945938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0.21617801367945938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0.21617801367945938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0.21617801367945938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14226</v>
      </c>
      <c r="C9" s="342">
        <v>14464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187</v>
      </c>
    </row>
    <row r="15" spans="1:6">
      <c r="A15" s="348" t="s">
        <v>184</v>
      </c>
      <c r="B15" s="334">
        <v>2</v>
      </c>
    </row>
    <row r="16" spans="1:6">
      <c r="A16" s="348" t="s">
        <v>6</v>
      </c>
      <c r="B16" s="334">
        <v>20</v>
      </c>
    </row>
    <row r="17" spans="1:6">
      <c r="A17" s="348" t="s">
        <v>7</v>
      </c>
      <c r="B17" s="334">
        <v>31</v>
      </c>
    </row>
    <row r="18" spans="1:6">
      <c r="A18" s="348" t="s">
        <v>8</v>
      </c>
      <c r="B18" s="334">
        <v>39</v>
      </c>
    </row>
    <row r="19" spans="1:6">
      <c r="A19" s="348" t="s">
        <v>9</v>
      </c>
      <c r="B19" s="334">
        <v>27</v>
      </c>
    </row>
    <row r="20" spans="1:6">
      <c r="A20" s="348" t="s">
        <v>10</v>
      </c>
      <c r="B20" s="334">
        <v>36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30</v>
      </c>
    </row>
    <row r="29" spans="1:6">
      <c r="A29" s="355" t="s">
        <v>901</v>
      </c>
      <c r="B29" s="355">
        <v>34</v>
      </c>
      <c r="C29" s="356"/>
      <c r="D29" s="356"/>
      <c r="E29" s="356"/>
      <c r="F29" s="356"/>
    </row>
    <row r="30" spans="1:6">
      <c r="A30" s="341" t="s">
        <v>902</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694450.86291876505</v>
      </c>
      <c r="E38" s="334">
        <v>7</v>
      </c>
      <c r="F38" s="334">
        <v>1372753</v>
      </c>
    </row>
    <row r="39" spans="1:6">
      <c r="A39" s="348" t="s">
        <v>30</v>
      </c>
      <c r="B39" s="348" t="s">
        <v>31</v>
      </c>
      <c r="C39" s="334">
        <v>11415</v>
      </c>
      <c r="D39" s="334">
        <v>180788354.628169</v>
      </c>
      <c r="E39" s="334">
        <v>14254</v>
      </c>
      <c r="F39" s="334">
        <v>59481627</v>
      </c>
    </row>
    <row r="40" spans="1:6">
      <c r="A40" s="348" t="s">
        <v>30</v>
      </c>
      <c r="B40" s="348" t="s">
        <v>29</v>
      </c>
      <c r="C40" s="334">
        <v>0</v>
      </c>
      <c r="D40" s="334">
        <v>0</v>
      </c>
      <c r="E40" s="334">
        <v>0</v>
      </c>
      <c r="F40" s="334">
        <v>0</v>
      </c>
    </row>
    <row r="41" spans="1:6">
      <c r="A41" s="348" t="s">
        <v>32</v>
      </c>
      <c r="B41" s="348" t="s">
        <v>33</v>
      </c>
      <c r="C41" s="334">
        <v>126</v>
      </c>
      <c r="D41" s="334">
        <v>11917225.9563563</v>
      </c>
      <c r="E41" s="334">
        <v>208</v>
      </c>
      <c r="F41" s="334">
        <v>5506105</v>
      </c>
    </row>
    <row r="42" spans="1:6">
      <c r="A42" s="348" t="s">
        <v>32</v>
      </c>
      <c r="B42" s="348" t="s">
        <v>34</v>
      </c>
      <c r="C42" s="334">
        <v>3</v>
      </c>
      <c r="D42" s="334">
        <v>433966.10762261401</v>
      </c>
      <c r="E42" s="334">
        <v>0</v>
      </c>
      <c r="F42" s="334">
        <v>0</v>
      </c>
    </row>
    <row r="43" spans="1:6">
      <c r="A43" s="348" t="s">
        <v>32</v>
      </c>
      <c r="B43" s="348" t="s">
        <v>35</v>
      </c>
      <c r="C43" s="334">
        <v>0</v>
      </c>
      <c r="D43" s="334">
        <v>0</v>
      </c>
      <c r="E43" s="334">
        <v>0</v>
      </c>
      <c r="F43" s="334">
        <v>0</v>
      </c>
    </row>
    <row r="44" spans="1:6">
      <c r="A44" s="348" t="s">
        <v>32</v>
      </c>
      <c r="B44" s="348" t="s">
        <v>36</v>
      </c>
      <c r="C44" s="334">
        <v>4</v>
      </c>
      <c r="D44" s="334">
        <v>199332.937676954</v>
      </c>
      <c r="E44" s="334">
        <v>26</v>
      </c>
      <c r="F44" s="334">
        <v>799954.6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9</v>
      </c>
      <c r="D47" s="334">
        <v>288852.26026528701</v>
      </c>
      <c r="E47" s="334">
        <v>11</v>
      </c>
      <c r="F47" s="334">
        <v>177991.3</v>
      </c>
    </row>
    <row r="48" spans="1:6">
      <c r="A48" s="348" t="s">
        <v>32</v>
      </c>
      <c r="B48" s="348" t="s">
        <v>29</v>
      </c>
      <c r="C48" s="334">
        <v>38</v>
      </c>
      <c r="D48" s="334">
        <v>29204836.378724299</v>
      </c>
      <c r="E48" s="334">
        <v>58</v>
      </c>
      <c r="F48" s="334">
        <v>23625123</v>
      </c>
    </row>
    <row r="49" spans="1:6">
      <c r="A49" s="348" t="s">
        <v>32</v>
      </c>
      <c r="B49" s="348" t="s">
        <v>40</v>
      </c>
      <c r="C49" s="334">
        <v>0</v>
      </c>
      <c r="D49" s="334">
        <v>0</v>
      </c>
      <c r="E49" s="334">
        <v>0</v>
      </c>
      <c r="F49" s="334">
        <v>0</v>
      </c>
    </row>
    <row r="50" spans="1:6">
      <c r="A50" s="348" t="s">
        <v>32</v>
      </c>
      <c r="B50" s="348" t="s">
        <v>41</v>
      </c>
      <c r="C50" s="334">
        <v>20</v>
      </c>
      <c r="D50" s="334">
        <v>100119868.053477</v>
      </c>
      <c r="E50" s="334">
        <v>27</v>
      </c>
      <c r="F50" s="334">
        <v>24176105</v>
      </c>
    </row>
    <row r="51" spans="1:6">
      <c r="A51" s="348" t="s">
        <v>42</v>
      </c>
      <c r="B51" s="348" t="s">
        <v>43</v>
      </c>
      <c r="C51" s="334">
        <v>5</v>
      </c>
      <c r="D51" s="334">
        <v>166744.02539914599</v>
      </c>
      <c r="E51" s="334">
        <v>9</v>
      </c>
      <c r="F51" s="334">
        <v>225037.2</v>
      </c>
    </row>
    <row r="52" spans="1:6">
      <c r="A52" s="348" t="s">
        <v>42</v>
      </c>
      <c r="B52" s="348" t="s">
        <v>29</v>
      </c>
      <c r="C52" s="334">
        <v>5</v>
      </c>
      <c r="D52" s="334">
        <v>518662.30402020301</v>
      </c>
      <c r="E52" s="334">
        <v>5</v>
      </c>
      <c r="F52" s="334">
        <v>41278.61</v>
      </c>
    </row>
    <row r="53" spans="1:6">
      <c r="A53" s="348" t="s">
        <v>44</v>
      </c>
      <c r="B53" s="348" t="s">
        <v>45</v>
      </c>
      <c r="C53" s="334">
        <v>241</v>
      </c>
      <c r="D53" s="334">
        <v>9123399.5034488309</v>
      </c>
      <c r="E53" s="334">
        <v>508</v>
      </c>
      <c r="F53" s="334">
        <v>2341898</v>
      </c>
    </row>
    <row r="54" spans="1:6">
      <c r="A54" s="348" t="s">
        <v>46</v>
      </c>
      <c r="B54" s="348" t="s">
        <v>47</v>
      </c>
      <c r="C54" s="334">
        <v>0</v>
      </c>
      <c r="D54" s="334">
        <v>0</v>
      </c>
      <c r="E54" s="334">
        <v>1</v>
      </c>
      <c r="F54" s="334">
        <v>1869983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61</v>
      </c>
      <c r="D57" s="334">
        <v>3328786.7389668101</v>
      </c>
      <c r="E57" s="334">
        <v>102</v>
      </c>
      <c r="F57" s="334">
        <v>2331266</v>
      </c>
    </row>
    <row r="58" spans="1:6">
      <c r="A58" s="348" t="s">
        <v>49</v>
      </c>
      <c r="B58" s="348" t="s">
        <v>51</v>
      </c>
      <c r="C58" s="334">
        <v>64</v>
      </c>
      <c r="D58" s="334">
        <v>2869193.9051620602</v>
      </c>
      <c r="E58" s="334">
        <v>96</v>
      </c>
      <c r="F58" s="334">
        <v>1211551</v>
      </c>
    </row>
    <row r="59" spans="1:6">
      <c r="A59" s="348" t="s">
        <v>49</v>
      </c>
      <c r="B59" s="348" t="s">
        <v>52</v>
      </c>
      <c r="C59" s="334">
        <v>268</v>
      </c>
      <c r="D59" s="334">
        <v>13855314.809298201</v>
      </c>
      <c r="E59" s="334">
        <v>420</v>
      </c>
      <c r="F59" s="334">
        <v>20128351</v>
      </c>
    </row>
    <row r="60" spans="1:6">
      <c r="A60" s="348" t="s">
        <v>49</v>
      </c>
      <c r="B60" s="348" t="s">
        <v>53</v>
      </c>
      <c r="C60" s="334">
        <v>92</v>
      </c>
      <c r="D60" s="334">
        <v>4927116.9928683899</v>
      </c>
      <c r="E60" s="334">
        <v>115</v>
      </c>
      <c r="F60" s="334">
        <v>3171521</v>
      </c>
    </row>
    <row r="61" spans="1:6">
      <c r="A61" s="348" t="s">
        <v>49</v>
      </c>
      <c r="B61" s="348" t="s">
        <v>54</v>
      </c>
      <c r="C61" s="334">
        <v>448</v>
      </c>
      <c r="D61" s="334">
        <v>24869331.537585098</v>
      </c>
      <c r="E61" s="334">
        <v>810</v>
      </c>
      <c r="F61" s="334">
        <v>13862867</v>
      </c>
    </row>
    <row r="62" spans="1:6">
      <c r="A62" s="348" t="s">
        <v>49</v>
      </c>
      <c r="B62" s="348" t="s">
        <v>55</v>
      </c>
      <c r="C62" s="334">
        <v>20</v>
      </c>
      <c r="D62" s="334">
        <v>3654592.7033135402</v>
      </c>
      <c r="E62" s="334">
        <v>25</v>
      </c>
      <c r="F62" s="334">
        <v>1100618</v>
      </c>
    </row>
    <row r="63" spans="1:6">
      <c r="A63" s="348" t="s">
        <v>49</v>
      </c>
      <c r="B63" s="348" t="s">
        <v>29</v>
      </c>
      <c r="C63" s="334">
        <v>101</v>
      </c>
      <c r="D63" s="334">
        <v>5012186.4755314998</v>
      </c>
      <c r="E63" s="334">
        <v>100</v>
      </c>
      <c r="F63" s="334">
        <v>4227945</v>
      </c>
    </row>
    <row r="64" spans="1:6">
      <c r="A64" s="348" t="s">
        <v>56</v>
      </c>
      <c r="B64" s="348" t="s">
        <v>57</v>
      </c>
      <c r="C64" s="334">
        <v>0</v>
      </c>
      <c r="D64" s="334">
        <v>0</v>
      </c>
      <c r="E64" s="334">
        <v>0</v>
      </c>
      <c r="F64" s="334">
        <v>0</v>
      </c>
    </row>
    <row r="65" spans="1:6">
      <c r="A65" s="348" t="s">
        <v>56</v>
      </c>
      <c r="B65" s="348" t="s">
        <v>29</v>
      </c>
      <c r="C65" s="334">
        <v>3</v>
      </c>
      <c r="D65" s="334">
        <v>125603.9101544</v>
      </c>
      <c r="E65" s="334">
        <v>5</v>
      </c>
      <c r="F65" s="334">
        <v>14744.57</v>
      </c>
    </row>
    <row r="66" spans="1:6">
      <c r="A66" s="348" t="s">
        <v>56</v>
      </c>
      <c r="B66" s="348" t="s">
        <v>58</v>
      </c>
      <c r="C66" s="334">
        <v>6</v>
      </c>
      <c r="D66" s="334">
        <v>239179.29025060701</v>
      </c>
      <c r="E66" s="334">
        <v>31</v>
      </c>
      <c r="F66" s="334">
        <v>608191.30000000005</v>
      </c>
    </row>
    <row r="67" spans="1:6">
      <c r="A67" s="355" t="s">
        <v>56</v>
      </c>
      <c r="B67" s="355" t="s">
        <v>59</v>
      </c>
      <c r="C67" s="334">
        <v>0</v>
      </c>
      <c r="D67" s="334">
        <v>0</v>
      </c>
      <c r="E67" s="334">
        <v>0</v>
      </c>
      <c r="F67" s="334">
        <v>0</v>
      </c>
    </row>
    <row r="68" spans="1:6">
      <c r="A68" s="341" t="s">
        <v>56</v>
      </c>
      <c r="B68" s="341" t="s">
        <v>60</v>
      </c>
      <c r="C68" s="334">
        <v>3</v>
      </c>
      <c r="D68" s="334">
        <v>94080.238113833402</v>
      </c>
      <c r="E68" s="334">
        <v>6</v>
      </c>
      <c r="F68" s="334">
        <v>43758.01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84542367</v>
      </c>
      <c r="E73" s="476">
        <v>86594704.001701012</v>
      </c>
    </row>
    <row r="74" spans="1:6">
      <c r="A74" s="348" t="s">
        <v>64</v>
      </c>
      <c r="B74" s="348" t="s">
        <v>714</v>
      </c>
      <c r="C74" s="1311" t="s">
        <v>716</v>
      </c>
      <c r="D74" s="476">
        <v>3220474.9263579766</v>
      </c>
      <c r="E74" s="476">
        <v>3211945.8598309797</v>
      </c>
    </row>
    <row r="75" spans="1:6">
      <c r="A75" s="348" t="s">
        <v>65</v>
      </c>
      <c r="B75" s="348" t="s">
        <v>713</v>
      </c>
      <c r="C75" s="1311" t="s">
        <v>717</v>
      </c>
      <c r="D75" s="476">
        <v>42790869</v>
      </c>
      <c r="E75" s="476">
        <v>44033672.237008922</v>
      </c>
    </row>
    <row r="76" spans="1:6">
      <c r="A76" s="348" t="s">
        <v>65</v>
      </c>
      <c r="B76" s="348" t="s">
        <v>714</v>
      </c>
      <c r="C76" s="1311" t="s">
        <v>718</v>
      </c>
      <c r="D76" s="476">
        <v>1141753.9263579766</v>
      </c>
      <c r="E76" s="476">
        <v>1182522.6348281824</v>
      </c>
    </row>
    <row r="77" spans="1:6">
      <c r="A77" s="348" t="s">
        <v>66</v>
      </c>
      <c r="B77" s="348" t="s">
        <v>713</v>
      </c>
      <c r="C77" s="1311" t="s">
        <v>719</v>
      </c>
      <c r="D77" s="476">
        <v>183308022</v>
      </c>
      <c r="E77" s="476">
        <v>216426922.43343356</v>
      </c>
    </row>
    <row r="78" spans="1:6">
      <c r="A78" s="341" t="s">
        <v>66</v>
      </c>
      <c r="B78" s="341" t="s">
        <v>714</v>
      </c>
      <c r="C78" s="341" t="s">
        <v>720</v>
      </c>
      <c r="D78" s="1307">
        <v>42589453</v>
      </c>
      <c r="E78" s="1307">
        <v>44143305.118506521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1046650.1472840466</v>
      </c>
      <c r="C83" s="476">
        <v>1034791.5137245726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2630.5747246518599</v>
      </c>
    </row>
    <row r="92" spans="1:6">
      <c r="A92" s="341" t="s">
        <v>69</v>
      </c>
      <c r="B92" s="342">
        <v>1012.1494777174889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8882</v>
      </c>
    </row>
    <row r="98" spans="1:6">
      <c r="A98" s="348" t="s">
        <v>72</v>
      </c>
      <c r="B98" s="334">
        <v>10</v>
      </c>
    </row>
    <row r="99" spans="1:6">
      <c r="A99" s="348" t="s">
        <v>73</v>
      </c>
      <c r="B99" s="334">
        <v>48</v>
      </c>
    </row>
    <row r="100" spans="1:6">
      <c r="A100" s="348" t="s">
        <v>74</v>
      </c>
      <c r="B100" s="334">
        <v>1173</v>
      </c>
    </row>
    <row r="101" spans="1:6">
      <c r="A101" s="348" t="s">
        <v>75</v>
      </c>
      <c r="B101" s="334">
        <v>81</v>
      </c>
    </row>
    <row r="102" spans="1:6">
      <c r="A102" s="348" t="s">
        <v>76</v>
      </c>
      <c r="B102" s="334">
        <v>212</v>
      </c>
    </row>
    <row r="103" spans="1:6">
      <c r="A103" s="348" t="s">
        <v>77</v>
      </c>
      <c r="B103" s="334">
        <v>170</v>
      </c>
    </row>
    <row r="104" spans="1:6">
      <c r="A104" s="348" t="s">
        <v>78</v>
      </c>
      <c r="B104" s="334">
        <v>2394</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1</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166952.37091285826</v>
      </c>
      <c r="C3" s="43" t="s">
        <v>170</v>
      </c>
      <c r="D3" s="43"/>
      <c r="E3" s="154"/>
      <c r="F3" s="43"/>
      <c r="G3" s="43"/>
      <c r="H3" s="43"/>
      <c r="I3" s="43"/>
      <c r="J3" s="43"/>
      <c r="K3" s="96"/>
    </row>
    <row r="4" spans="1:11">
      <c r="A4" s="384" t="s">
        <v>171</v>
      </c>
      <c r="B4" s="49">
        <f>IF(ISERROR('SEAP template'!B78+'SEAP template'!C78),0,'SEAP template'!B78+'SEAP template'!C78)</f>
        <v>3642.7242023693489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0.21617801367945938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1869.9829999999999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1869.9829999999999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0.21617801367945938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404.24921055435647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59481.627</v>
      </c>
      <c r="C5" s="17">
        <f>IF(ISERROR('Eigen informatie GS &amp; warmtenet'!B57),0,'Eigen informatie GS &amp; warmtenet'!B57)</f>
        <v>0</v>
      </c>
      <c r="D5" s="30">
        <f>(SUM(HH_hh_gas_kWh,HH_rest_gas_kWh)/1000)*0.902</f>
        <v>163071.09587460844</v>
      </c>
      <c r="E5" s="17">
        <f>B46*B57</f>
        <v>1536.8797901770381</v>
      </c>
      <c r="F5" s="17">
        <f>B51*B62</f>
        <v>0</v>
      </c>
      <c r="G5" s="18"/>
      <c r="H5" s="17"/>
      <c r="I5" s="17"/>
      <c r="J5" s="17">
        <f>B50*B61+C50*C61</f>
        <v>0</v>
      </c>
      <c r="K5" s="17"/>
      <c r="L5" s="17"/>
      <c r="M5" s="17"/>
      <c r="N5" s="17">
        <f>B48*B59+C48*C59</f>
        <v>9835.1699256558186</v>
      </c>
      <c r="O5" s="17">
        <f>B69*B70*B71</f>
        <v>196.98000000000002</v>
      </c>
      <c r="P5" s="17">
        <f>B77*B78*B79/1000-B77*B78*B79/1000/B80</f>
        <v>324.13333333333333</v>
      </c>
    </row>
    <row r="6" spans="1:16">
      <c r="A6" s="16" t="s">
        <v>631</v>
      </c>
      <c r="B6" s="789">
        <f>kWh_PV_kleiner_dan_10kW</f>
        <v>2630.5747246518599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62112.201724651859</v>
      </c>
      <c r="C8" s="21">
        <f>C5</f>
        <v>0</v>
      </c>
      <c r="D8" s="21">
        <f>D5</f>
        <v>163071.09587460844</v>
      </c>
      <c r="E8" s="21">
        <f>E5</f>
        <v>1536.8797901770381</v>
      </c>
      <c r="F8" s="21">
        <f>F5</f>
        <v>0</v>
      </c>
      <c r="G8" s="21"/>
      <c r="H8" s="21"/>
      <c r="I8" s="21"/>
      <c r="J8" s="21">
        <f>J5</f>
        <v>0</v>
      </c>
      <c r="K8" s="21"/>
      <c r="L8" s="21">
        <f>L5</f>
        <v>0</v>
      </c>
      <c r="M8" s="21">
        <f>M5</f>
        <v>0</v>
      </c>
      <c r="N8" s="21">
        <f>N5</f>
        <v>9835.1699256558186</v>
      </c>
      <c r="O8" s="21">
        <f>O5</f>
        <v>196.98000000000002</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0.21617801367945938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13427.29239409313</v>
      </c>
      <c r="C12" s="23">
        <f ca="1">C10*C8</f>
        <v>0</v>
      </c>
      <c r="D12" s="23">
        <f>D8*D10</f>
        <v>32940.361366670906</v>
      </c>
      <c r="E12" s="23">
        <f>E10*E8</f>
        <v>348.87171237018765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8882</v>
      </c>
      <c r="C18" s="166" t="s">
        <v>111</v>
      </c>
      <c r="D18" s="228"/>
      <c r="E18" s="15"/>
    </row>
    <row r="19" spans="1:7">
      <c r="A19" s="171" t="s">
        <v>72</v>
      </c>
      <c r="B19" s="37">
        <f>aantalw2001_ander</f>
        <v>10</v>
      </c>
      <c r="C19" s="166" t="s">
        <v>111</v>
      </c>
      <c r="D19" s="229"/>
      <c r="E19" s="15"/>
    </row>
    <row r="20" spans="1:7">
      <c r="A20" s="171" t="s">
        <v>73</v>
      </c>
      <c r="B20" s="37">
        <f>aantalw2001_propaan</f>
        <v>48</v>
      </c>
      <c r="C20" s="167">
        <f>IF(ISERROR(B20/SUM($B$20,$B$21,$B$22)*100),0,B20/SUM($B$20,$B$21,$B$22)*100)</f>
        <v>3.6866359447004609</v>
      </c>
      <c r="D20" s="229"/>
      <c r="E20" s="15"/>
    </row>
    <row r="21" spans="1:7">
      <c r="A21" s="171" t="s">
        <v>74</v>
      </c>
      <c r="B21" s="37">
        <f>aantalw2001_elektriciteit</f>
        <v>1173</v>
      </c>
      <c r="C21" s="167">
        <f>IF(ISERROR(B21/SUM($B$20,$B$21,$B$22)*100),0,B21/SUM($B$20,$B$21,$B$22)*100)</f>
        <v>90.092165898617509</v>
      </c>
      <c r="D21" s="229"/>
      <c r="E21" s="15"/>
    </row>
    <row r="22" spans="1:7">
      <c r="A22" s="171" t="s">
        <v>75</v>
      </c>
      <c r="B22" s="37">
        <f>aantalw2001_hout</f>
        <v>81</v>
      </c>
      <c r="C22" s="167">
        <f>IF(ISERROR(B22/SUM($B$20,$B$21,$B$22)*100),0,B22/SUM($B$20,$B$21,$B$22)*100)</f>
        <v>6.2211981566820276</v>
      </c>
      <c r="D22" s="229"/>
      <c r="E22" s="15"/>
    </row>
    <row r="23" spans="1:7">
      <c r="A23" s="171" t="s">
        <v>76</v>
      </c>
      <c r="B23" s="37">
        <f>aantalw2001_niet_gespec</f>
        <v>212</v>
      </c>
      <c r="C23" s="166" t="s">
        <v>111</v>
      </c>
      <c r="D23" s="228"/>
      <c r="E23" s="15"/>
    </row>
    <row r="24" spans="1:7">
      <c r="A24" s="171" t="s">
        <v>77</v>
      </c>
      <c r="B24" s="37">
        <f>aantalw2001_steenkool</f>
        <v>170</v>
      </c>
      <c r="C24" s="166" t="s">
        <v>111</v>
      </c>
      <c r="D24" s="229"/>
      <c r="E24" s="15"/>
    </row>
    <row r="25" spans="1:7">
      <c r="A25" s="171" t="s">
        <v>78</v>
      </c>
      <c r="B25" s="37">
        <f>aantalw2001_stookolie</f>
        <v>2394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14226</v>
      </c>
      <c r="C28" s="36"/>
      <c r="D28" s="228"/>
    </row>
    <row r="29" spans="1:7" s="15" customFormat="1">
      <c r="A29" s="230" t="s">
        <v>741</v>
      </c>
      <c r="B29" s="37">
        <f>SUM(HH_hh_gas_aantal,HH_rest_gas_aantal)</f>
        <v>11415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11415</v>
      </c>
      <c r="C32" s="167">
        <f>IF(ISERROR(B32/SUM($B$32,$B$34,$B$35,$B$36,$B$38,$B$39)*100),0,B32/SUM($B$32,$B$34,$B$35,$B$36,$B$38,$B$39)*100)</f>
        <v>80.336406502920681</v>
      </c>
      <c r="D32" s="233"/>
      <c r="G32" s="15"/>
    </row>
    <row r="33" spans="1:7">
      <c r="A33" s="171" t="s">
        <v>72</v>
      </c>
      <c r="B33" s="34" t="s">
        <v>111</v>
      </c>
      <c r="C33" s="167"/>
      <c r="D33" s="233"/>
      <c r="G33" s="15"/>
    </row>
    <row r="34" spans="1:7">
      <c r="A34" s="171" t="s">
        <v>73</v>
      </c>
      <c r="B34" s="33">
        <f>IF((($B$28-$B$32-$B$39-$B$77-$B$38)*C20/100)&lt;0,0,($B$28-$B$32-$B$39-$B$77-$B$38)*C20/100)</f>
        <v>103.00460829493088</v>
      </c>
      <c r="C34" s="167">
        <f>IF(ISERROR(B34/SUM($B$32,$B$34,$B$35,$B$36,$B$38,$B$39)*100),0,B34/SUM($B$32,$B$34,$B$35,$B$36,$B$38,$B$39)*100)</f>
        <v>0.72492510588310843</v>
      </c>
      <c r="D34" s="233"/>
      <c r="G34" s="15"/>
    </row>
    <row r="35" spans="1:7">
      <c r="A35" s="171" t="s">
        <v>74</v>
      </c>
      <c r="B35" s="33">
        <f>IF((($B$28-$B$32-$B$39-$B$77-$B$38)*C21/100)&lt;0,0,($B$28-$B$32-$B$39-$B$77-$B$38)*C21/100)</f>
        <v>2517.175115207373</v>
      </c>
      <c r="C35" s="167">
        <f>IF(ISERROR(B35/SUM($B$32,$B$34,$B$35,$B$36,$B$38,$B$39)*100),0,B35/SUM($B$32,$B$34,$B$35,$B$36,$B$38,$B$39)*100)</f>
        <v>17.715357275018459</v>
      </c>
      <c r="D35" s="233"/>
      <c r="G35" s="15"/>
    </row>
    <row r="36" spans="1:7">
      <c r="A36" s="171" t="s">
        <v>75</v>
      </c>
      <c r="B36" s="33">
        <f>IF((($B$28-$B$32-$B$39-$B$77-$B$38)*C22/100)&lt;0,0,($B$28-$B$32-$B$39-$B$77-$B$38)*C22/100)</f>
        <v>173.82027649769586</v>
      </c>
      <c r="C36" s="167">
        <f>IF(ISERROR(B36/SUM($B$32,$B$34,$B$35,$B$36,$B$38,$B$39)*100),0,B36/SUM($B$32,$B$34,$B$35,$B$36,$B$38,$B$39)*100)</f>
        <v>1.2233111161777455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11415</v>
      </c>
      <c r="C44" s="34" t="s">
        <v>111</v>
      </c>
      <c r="D44" s="174"/>
    </row>
    <row r="45" spans="1:7">
      <c r="A45" s="171" t="s">
        <v>72</v>
      </c>
      <c r="B45" s="33" t="str">
        <f t="shared" si="0"/>
        <v>-</v>
      </c>
      <c r="C45" s="34" t="s">
        <v>111</v>
      </c>
      <c r="D45" s="174"/>
    </row>
    <row r="46" spans="1:7">
      <c r="A46" s="171" t="s">
        <v>73</v>
      </c>
      <c r="B46" s="33">
        <f t="shared" si="0"/>
        <v>103.00460829493088</v>
      </c>
      <c r="C46" s="34" t="s">
        <v>111</v>
      </c>
      <c r="D46" s="174"/>
    </row>
    <row r="47" spans="1:7">
      <c r="A47" s="171" t="s">
        <v>74</v>
      </c>
      <c r="B47" s="33">
        <f t="shared" si="0"/>
        <v>2517.175115207373</v>
      </c>
      <c r="C47" s="34" t="s">
        <v>111</v>
      </c>
      <c r="D47" s="174"/>
    </row>
    <row r="48" spans="1:7">
      <c r="A48" s="171" t="s">
        <v>75</v>
      </c>
      <c r="B48" s="33">
        <f t="shared" si="0"/>
        <v>173.82027649769586</v>
      </c>
      <c r="C48" s="33">
        <f>B48*10</f>
        <v>1738.2027649769586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46034.119000000006</v>
      </c>
      <c r="C5" s="17">
        <f>IF(ISERROR('Eigen informatie GS &amp; warmtenet'!B58),0,'Eigen informatie GS &amp; warmtenet'!B58)</f>
        <v>0</v>
      </c>
      <c r="D5" s="30">
        <f>SUM(D6:D12)</f>
        <v>52781.903892778486</v>
      </c>
      <c r="E5" s="17">
        <f>SUM(E6:E12)</f>
        <v>437.42974599255547</v>
      </c>
      <c r="F5" s="17">
        <f>SUM(F6:F12)</f>
        <v>6435.5532702693636</v>
      </c>
      <c r="G5" s="18"/>
      <c r="H5" s="17"/>
      <c r="I5" s="17"/>
      <c r="J5" s="17">
        <f>SUM(J6:J12)</f>
        <v>0</v>
      </c>
      <c r="K5" s="17"/>
      <c r="L5" s="17"/>
      <c r="M5" s="17"/>
      <c r="N5" s="17">
        <f>SUM(N6:N12)</f>
        <v>2316.4824579197207</v>
      </c>
      <c r="O5" s="17">
        <f>B38*B39*B40</f>
        <v>1.5633333333333335</v>
      </c>
      <c r="P5" s="17">
        <f>B46*B47*B48/1000-B46*B47*B48/1000/B49</f>
        <v>0</v>
      </c>
      <c r="R5" s="32"/>
    </row>
    <row r="6" spans="1:18">
      <c r="A6" s="32" t="s">
        <v>54</v>
      </c>
      <c r="B6" s="37">
        <f>B26</f>
        <v>13862.867</v>
      </c>
      <c r="C6" s="33"/>
      <c r="D6" s="37">
        <f>IF(ISERROR(TER_kantoor_gas_kWh/1000),0,TER_kantoor_gas_kWh/1000)*0.902</f>
        <v>22432.13704690176</v>
      </c>
      <c r="E6" s="33">
        <f>$C$26*'E Balans VL '!I12/100/3.6*1000000</f>
        <v>40.162759669990926</v>
      </c>
      <c r="F6" s="33">
        <f>$C$26*('E Balans VL '!L12+'E Balans VL '!N12)/100/3.6*1000000</f>
        <v>1568.9711217598565</v>
      </c>
      <c r="G6" s="34"/>
      <c r="H6" s="33"/>
      <c r="I6" s="33"/>
      <c r="J6" s="33">
        <f>$C$26*('E Balans VL '!D12+'E Balans VL '!E12)/100/3.6*1000000</f>
        <v>0</v>
      </c>
      <c r="K6" s="33"/>
      <c r="L6" s="33"/>
      <c r="M6" s="33"/>
      <c r="N6" s="33">
        <f>$C$26*'E Balans VL '!Y12/100/3.6*1000000</f>
        <v>138.75708405352438</v>
      </c>
      <c r="O6" s="33"/>
      <c r="P6" s="33"/>
      <c r="R6" s="32"/>
    </row>
    <row r="7" spans="1:18">
      <c r="A7" s="32" t="s">
        <v>53</v>
      </c>
      <c r="B7" s="37">
        <f t="shared" ref="B7:B12" si="0">B27</f>
        <v>3171.5210000000002</v>
      </c>
      <c r="C7" s="33"/>
      <c r="D7" s="37">
        <f>IF(ISERROR(TER_horeca_gas_kWh/1000),0,TER_horeca_gas_kWh/1000)*0.902</f>
        <v>4444.2595275672884</v>
      </c>
      <c r="E7" s="33">
        <f>$C$27*'E Balans VL '!I9/100/3.6*1000000</f>
        <v>133.13159052545438</v>
      </c>
      <c r="F7" s="33">
        <f>$C$27*('E Balans VL '!L9+'E Balans VL '!N9)/100/3.6*1000000</f>
        <v>681.4663250135909</v>
      </c>
      <c r="G7" s="34"/>
      <c r="H7" s="33"/>
      <c r="I7" s="33"/>
      <c r="J7" s="33">
        <f>$C$27*('E Balans VL '!D9+'E Balans VL '!E9)/100/3.6*1000000</f>
        <v>0</v>
      </c>
      <c r="K7" s="33"/>
      <c r="L7" s="33"/>
      <c r="M7" s="33"/>
      <c r="N7" s="33">
        <f>$C$27*'E Balans VL '!Y9/100/3.6*1000000</f>
        <v>0.81727322574266903</v>
      </c>
      <c r="O7" s="33"/>
      <c r="P7" s="33"/>
      <c r="R7" s="32"/>
    </row>
    <row r="8" spans="1:18">
      <c r="A8" s="6" t="s">
        <v>52</v>
      </c>
      <c r="B8" s="37">
        <f t="shared" si="0"/>
        <v>20128.350999999999</v>
      </c>
      <c r="C8" s="33"/>
      <c r="D8" s="37">
        <f>IF(ISERROR(TER_handel_gas_kWh/1000),0,TER_handel_gas_kWh/1000)*0.902</f>
        <v>12497.493957986977</v>
      </c>
      <c r="E8" s="33">
        <f>$C$28*'E Balans VL '!I13/100/3.6*1000000</f>
        <v>216.19524209032505</v>
      </c>
      <c r="F8" s="33">
        <f>$C$28*('E Balans VL '!L13+'E Balans VL '!N13)/100/3.6*1000000</f>
        <v>2605.7812534460386</v>
      </c>
      <c r="G8" s="34"/>
      <c r="H8" s="33"/>
      <c r="I8" s="33"/>
      <c r="J8" s="33">
        <f>$C$28*('E Balans VL '!D13+'E Balans VL '!E13)/100/3.6*1000000</f>
        <v>0</v>
      </c>
      <c r="K8" s="33"/>
      <c r="L8" s="33"/>
      <c r="M8" s="33"/>
      <c r="N8" s="33">
        <f>$C$28*'E Balans VL '!Y13/100/3.6*1000000</f>
        <v>163.28228236775101</v>
      </c>
      <c r="O8" s="33"/>
      <c r="P8" s="33"/>
      <c r="R8" s="32"/>
    </row>
    <row r="9" spans="1:18">
      <c r="A9" s="32" t="s">
        <v>51</v>
      </c>
      <c r="B9" s="37">
        <f t="shared" si="0"/>
        <v>1211.5509999999999</v>
      </c>
      <c r="C9" s="33"/>
      <c r="D9" s="37">
        <f>IF(ISERROR(TER_gezond_gas_kWh/1000),0,TER_gezond_gas_kWh/1000)*0.902</f>
        <v>2588.0129024561784</v>
      </c>
      <c r="E9" s="33">
        <f>$C$29*'E Balans VL '!I10/100/3.6*1000000</f>
        <v>0.96447295701932623</v>
      </c>
      <c r="F9" s="33">
        <f>$C$29*('E Balans VL '!L10+'E Balans VL '!N10)/100/3.6*1000000</f>
        <v>147.28153253894669</v>
      </c>
      <c r="G9" s="34"/>
      <c r="H9" s="33"/>
      <c r="I9" s="33"/>
      <c r="J9" s="33">
        <f>$C$29*('E Balans VL '!D10+'E Balans VL '!E10)/100/3.6*1000000</f>
        <v>0</v>
      </c>
      <c r="K9" s="33"/>
      <c r="L9" s="33"/>
      <c r="M9" s="33"/>
      <c r="N9" s="33">
        <f>$C$29*'E Balans VL '!Y10/100/3.6*1000000</f>
        <v>9.7865879986520827</v>
      </c>
      <c r="O9" s="33"/>
      <c r="P9" s="33"/>
      <c r="R9" s="32"/>
    </row>
    <row r="10" spans="1:18">
      <c r="A10" s="32" t="s">
        <v>50</v>
      </c>
      <c r="B10" s="37">
        <f t="shared" si="0"/>
        <v>2331.2660000000001</v>
      </c>
      <c r="C10" s="33"/>
      <c r="D10" s="37">
        <f>IF(ISERROR(TER_ander_gas_kWh/1000),0,TER_ander_gas_kWh/1000)*0.902</f>
        <v>3002.5656385480625</v>
      </c>
      <c r="E10" s="33">
        <f>$C$30*'E Balans VL '!I14/100/3.6*1000000</f>
        <v>7.9893710510168328</v>
      </c>
      <c r="F10" s="33">
        <f>$C$30*('E Balans VL '!L14+'E Balans VL '!N14)/100/3.6*1000000</f>
        <v>520.71009290879829</v>
      </c>
      <c r="G10" s="34"/>
      <c r="H10" s="33"/>
      <c r="I10" s="33"/>
      <c r="J10" s="33">
        <f>$C$30*('E Balans VL '!D14+'E Balans VL '!E14)/100/3.6*1000000</f>
        <v>0</v>
      </c>
      <c r="K10" s="33"/>
      <c r="L10" s="33"/>
      <c r="M10" s="33"/>
      <c r="N10" s="33">
        <f>$C$30*'E Balans VL '!Y14/100/3.6*1000000</f>
        <v>1642.1565058572144</v>
      </c>
      <c r="O10" s="33"/>
      <c r="P10" s="33"/>
      <c r="R10" s="32"/>
    </row>
    <row r="11" spans="1:18">
      <c r="A11" s="32" t="s">
        <v>55</v>
      </c>
      <c r="B11" s="37">
        <f t="shared" si="0"/>
        <v>1100.6179999999999</v>
      </c>
      <c r="C11" s="33"/>
      <c r="D11" s="37">
        <f>IF(ISERROR(TER_onderwijs_gas_kWh/1000),0,TER_onderwijs_gas_kWh/1000)*0.902</f>
        <v>3296.4426183888136</v>
      </c>
      <c r="E11" s="33">
        <f>$C$31*'E Balans VL '!I11/100/3.6*1000000</f>
        <v>0.76082332703328615</v>
      </c>
      <c r="F11" s="33">
        <f>$C$31*('E Balans VL '!L11+'E Balans VL '!N11)/100/3.6*1000000</f>
        <v>288.10982161636969</v>
      </c>
      <c r="G11" s="34"/>
      <c r="H11" s="33"/>
      <c r="I11" s="33"/>
      <c r="J11" s="33">
        <f>$C$31*('E Balans VL '!D11+'E Balans VL '!E11)/100/3.6*1000000</f>
        <v>0</v>
      </c>
      <c r="K11" s="33"/>
      <c r="L11" s="33"/>
      <c r="M11" s="33"/>
      <c r="N11" s="33">
        <f>$C$31*'E Balans VL '!Y11/100/3.6*1000000</f>
        <v>1.0955714756715138</v>
      </c>
      <c r="O11" s="33"/>
      <c r="P11" s="33"/>
      <c r="R11" s="32"/>
    </row>
    <row r="12" spans="1:18">
      <c r="A12" s="32" t="s">
        <v>260</v>
      </c>
      <c r="B12" s="37">
        <f t="shared" si="0"/>
        <v>4227.9449999999997</v>
      </c>
      <c r="C12" s="33"/>
      <c r="D12" s="37">
        <f>IF(ISERROR(TER_rest_gas_kWh/1000),0,TER_rest_gas_kWh/1000)*0.902</f>
        <v>4520.9922009294132</v>
      </c>
      <c r="E12" s="33">
        <f>$C$32*'E Balans VL '!I8/100/3.6*1000000</f>
        <v>38.225486371715675</v>
      </c>
      <c r="F12" s="33">
        <f>$C$32*('E Balans VL '!L8+'E Balans VL '!N8)/100/3.6*1000000</f>
        <v>623.23312298576286</v>
      </c>
      <c r="G12" s="34"/>
      <c r="H12" s="33"/>
      <c r="I12" s="33"/>
      <c r="J12" s="33">
        <f>$C$32*('E Balans VL '!D8+'E Balans VL '!E8)/100/3.6*1000000</f>
        <v>0</v>
      </c>
      <c r="K12" s="33"/>
      <c r="L12" s="33"/>
      <c r="M12" s="33"/>
      <c r="N12" s="33">
        <f>$C$32*'E Balans VL '!Y8/100/3.6*1000000</f>
        <v>360.58715294116485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46034.119000000006</v>
      </c>
      <c r="C16" s="21">
        <f t="shared" ca="1" si="1"/>
        <v>0</v>
      </c>
      <c r="D16" s="21">
        <f t="shared" ca="1" si="1"/>
        <v>52781.903892778486</v>
      </c>
      <c r="E16" s="21">
        <f t="shared" si="1"/>
        <v>437.42974599255547</v>
      </c>
      <c r="F16" s="21">
        <f t="shared" ca="1" si="1"/>
        <v>6435.5532702693636</v>
      </c>
      <c r="G16" s="21">
        <f t="shared" si="1"/>
        <v>0</v>
      </c>
      <c r="H16" s="21">
        <f t="shared" si="1"/>
        <v>0</v>
      </c>
      <c r="I16" s="21">
        <f t="shared" si="1"/>
        <v>0</v>
      </c>
      <c r="J16" s="21">
        <f t="shared" si="1"/>
        <v>0</v>
      </c>
      <c r="K16" s="21">
        <f t="shared" si="1"/>
        <v>0</v>
      </c>
      <c r="L16" s="21">
        <f t="shared" ca="1" si="1"/>
        <v>0</v>
      </c>
      <c r="M16" s="21">
        <f t="shared" si="1"/>
        <v>0</v>
      </c>
      <c r="N16" s="21">
        <f t="shared" ca="1" si="1"/>
        <v>2316.4824579197207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0.21617801367945938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9951.5644069038626</v>
      </c>
      <c r="C20" s="23">
        <f t="shared" ref="C20:P20" ca="1" si="2">C16*C18</f>
        <v>0</v>
      </c>
      <c r="D20" s="23">
        <f t="shared" ca="1" si="2"/>
        <v>10661.944586341255</v>
      </c>
      <c r="E20" s="23">
        <f t="shared" si="2"/>
        <v>99.2965523403101</v>
      </c>
      <c r="F20" s="23">
        <f t="shared" ca="1" si="2"/>
        <v>1718.2927231619201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13862.867</v>
      </c>
      <c r="C26" s="39">
        <f>IF(ISERROR(B26*3.6/1000000/'E Balans VL '!Z12*100),0,B26*3.6/1000000/'E Balans VL '!Z12*100)</f>
        <v>0.30451390073415951</v>
      </c>
      <c r="D26" s="237" t="s">
        <v>692</v>
      </c>
      <c r="F26" s="6"/>
    </row>
    <row r="27" spans="1:18">
      <c r="A27" s="231" t="s">
        <v>53</v>
      </c>
      <c r="B27" s="33">
        <f>IF(ISERROR(TER_horeca_ele_kWh/1000),0,TER_horeca_ele_kWh/1000)</f>
        <v>3171.5210000000002</v>
      </c>
      <c r="C27" s="39">
        <f>IF(ISERROR(B27*3.6/1000000/'E Balans VL '!Z9*100),0,B27*3.6/1000000/'E Balans VL '!Z9*100)</f>
        <v>0.25486332644472459</v>
      </c>
      <c r="D27" s="237" t="s">
        <v>692</v>
      </c>
      <c r="F27" s="6"/>
    </row>
    <row r="28" spans="1:18">
      <c r="A28" s="171" t="s">
        <v>52</v>
      </c>
      <c r="B28" s="33">
        <f>IF(ISERROR(TER_handel_ele_kWh/1000),0,TER_handel_ele_kWh/1000)</f>
        <v>20128.350999999999</v>
      </c>
      <c r="C28" s="39">
        <f>IF(ISERROR(B28*3.6/1000000/'E Balans VL '!Z13*100),0,B28*3.6/1000000/'E Balans VL '!Z13*100)</f>
        <v>0.59518127710873836</v>
      </c>
      <c r="D28" s="237" t="s">
        <v>692</v>
      </c>
      <c r="F28" s="6"/>
    </row>
    <row r="29" spans="1:18">
      <c r="A29" s="231" t="s">
        <v>51</v>
      </c>
      <c r="B29" s="33">
        <f>IF(ISERROR(TER_gezond_ele_kWh/1000),0,TER_gezond_ele_kWh/1000)</f>
        <v>1211.5509999999999</v>
      </c>
      <c r="C29" s="39">
        <f>IF(ISERROR(B29*3.6/1000000/'E Balans VL '!Z10*100),0,B29*3.6/1000000/'E Balans VL '!Z10*100)</f>
        <v>0.13651051821047397</v>
      </c>
      <c r="D29" s="237" t="s">
        <v>692</v>
      </c>
      <c r="F29" s="6"/>
    </row>
    <row r="30" spans="1:18">
      <c r="A30" s="231" t="s">
        <v>50</v>
      </c>
      <c r="B30" s="33">
        <f>IF(ISERROR(TER_ander_ele_kWh/1000),0,TER_ander_ele_kWh/1000)</f>
        <v>2331.2660000000001</v>
      </c>
      <c r="C30" s="39">
        <f>IF(ISERROR(B30*3.6/1000000/'E Balans VL '!Z14*100),0,B30*3.6/1000000/'E Balans VL '!Z14*100)</f>
        <v>0.17630966246078109</v>
      </c>
      <c r="D30" s="237" t="s">
        <v>692</v>
      </c>
      <c r="F30" s="6"/>
    </row>
    <row r="31" spans="1:18">
      <c r="A31" s="231" t="s">
        <v>55</v>
      </c>
      <c r="B31" s="33">
        <f>IF(ISERROR(TER_onderwijs_ele_kWh/1000),0,TER_onderwijs_ele_kWh/1000)</f>
        <v>1100.6179999999999</v>
      </c>
      <c r="C31" s="39">
        <f>IF(ISERROR(B31*3.6/1000000/'E Balans VL '!Z11*100),0,B31*3.6/1000000/'E Balans VL '!Z11*100)</f>
        <v>0.22846274704999159</v>
      </c>
      <c r="D31" s="237" t="s">
        <v>692</v>
      </c>
    </row>
    <row r="32" spans="1:18">
      <c r="A32" s="231" t="s">
        <v>260</v>
      </c>
      <c r="B32" s="33">
        <f>IF(ISERROR(TER_rest_ele_kWh/1000),0,TER_rest_ele_kWh/1000)</f>
        <v>4227.9449999999997</v>
      </c>
      <c r="C32" s="39">
        <f>IF(ISERROR(B32*3.6/1000000/'E Balans VL '!Z8*100),0,B32*3.6/1000000/'E Balans VL '!Z8*100)</f>
        <v>3.5617949409185175E-2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54285.278900000005</v>
      </c>
      <c r="C5" s="17">
        <f>IF(ISERROR('Eigen informatie GS &amp; warmtenet'!B59),0,'Eigen informatie GS &amp; warmtenet'!B59)</f>
        <v>0</v>
      </c>
      <c r="D5" s="30">
        <f>SUM(D6:D15)</f>
        <v>128232.00168809846</v>
      </c>
      <c r="E5" s="17">
        <f>SUM(E6:E15)</f>
        <v>2982.6872988110263</v>
      </c>
      <c r="F5" s="17">
        <f>SUM(F6:F15)</f>
        <v>55647.57411741119</v>
      </c>
      <c r="G5" s="18"/>
      <c r="H5" s="17"/>
      <c r="I5" s="17"/>
      <c r="J5" s="17">
        <f>SUM(J6:J15)</f>
        <v>677.72849302463624</v>
      </c>
      <c r="K5" s="17"/>
      <c r="L5" s="17"/>
      <c r="M5" s="17"/>
      <c r="N5" s="17">
        <f>SUM(N6:N15)</f>
        <v>19060.096769137534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799.95460000000003</v>
      </c>
      <c r="C8" s="33"/>
      <c r="D8" s="37">
        <f>IF( ISERROR(IND_metaal_Gas_kWH/1000),0,IND_metaal_Gas_kWH/1000)*0.902</f>
        <v>179.79830978461251</v>
      </c>
      <c r="E8" s="33">
        <f>C30*'E Balans VL '!I18/100/3.6*1000000</f>
        <v>20.020063856881404</v>
      </c>
      <c r="F8" s="33">
        <f>C30*'E Balans VL '!L18/100/3.6*1000000+C30*'E Balans VL '!N18/100/3.6*1000000</f>
        <v>250.7097508188215</v>
      </c>
      <c r="G8" s="34"/>
      <c r="H8" s="33"/>
      <c r="I8" s="33"/>
      <c r="J8" s="40">
        <f>C30*'E Balans VL '!D18/100/3.6*1000000+C30*'E Balans VL '!E18/100/3.6*1000000</f>
        <v>0</v>
      </c>
      <c r="K8" s="33"/>
      <c r="L8" s="33"/>
      <c r="M8" s="33"/>
      <c r="N8" s="33">
        <f>C30*'E Balans VL '!Y18/100/3.6*1000000</f>
        <v>20.096935615221113</v>
      </c>
      <c r="O8" s="33"/>
      <c r="P8" s="33"/>
      <c r="R8" s="32"/>
    </row>
    <row r="9" spans="1:18">
      <c r="A9" s="6" t="s">
        <v>33</v>
      </c>
      <c r="B9" s="37">
        <f t="shared" si="0"/>
        <v>5506.1049999999996</v>
      </c>
      <c r="C9" s="33"/>
      <c r="D9" s="37">
        <f>IF( ISERROR(IND_andere_gas_kWh/1000),0,IND_andere_gas_kWh/1000)*0.902</f>
        <v>10749.337812633383</v>
      </c>
      <c r="E9" s="33">
        <f>C31*'E Balans VL '!I19/100/3.6*1000000</f>
        <v>1513.9530417973174</v>
      </c>
      <c r="F9" s="33">
        <f>C31*'E Balans VL '!L19/100/3.6*1000000+C31*'E Balans VL '!N19/100/3.6*1000000</f>
        <v>4339.768871061854</v>
      </c>
      <c r="G9" s="34"/>
      <c r="H9" s="33"/>
      <c r="I9" s="33"/>
      <c r="J9" s="40">
        <f>C31*'E Balans VL '!D19/100/3.6*1000000+C31*'E Balans VL '!E19/100/3.6*1000000</f>
        <v>0</v>
      </c>
      <c r="K9" s="33"/>
      <c r="L9" s="33"/>
      <c r="M9" s="33"/>
      <c r="N9" s="33">
        <f>C31*'E Balans VL '!Y19/100/3.6*1000000</f>
        <v>1782.4715253514551</v>
      </c>
      <c r="O9" s="33"/>
      <c r="P9" s="33"/>
      <c r="R9" s="32"/>
    </row>
    <row r="10" spans="1:18">
      <c r="A10" s="6" t="s">
        <v>41</v>
      </c>
      <c r="B10" s="37">
        <f t="shared" si="0"/>
        <v>24176.105</v>
      </c>
      <c r="C10" s="33"/>
      <c r="D10" s="37">
        <f>IF( ISERROR(IND_voed_gas_kWh/1000),0,IND_voed_gas_kWh/1000)*0.902</f>
        <v>90308.120984236259</v>
      </c>
      <c r="E10" s="33">
        <f>C32*'E Balans VL '!I20/100/3.6*1000000</f>
        <v>246.4620717827587</v>
      </c>
      <c r="F10" s="33">
        <f>C32*'E Balans VL '!L20/100/3.6*1000000+C32*'E Balans VL '!N20/100/3.6*1000000</f>
        <v>45668.511138059373</v>
      </c>
      <c r="G10" s="34"/>
      <c r="H10" s="33"/>
      <c r="I10" s="33"/>
      <c r="J10" s="40">
        <f>C32*'E Balans VL '!D20/100/3.6*1000000+C32*'E Balans VL '!E20/100/3.6*1000000</f>
        <v>578.61329722369771</v>
      </c>
      <c r="K10" s="33"/>
      <c r="L10" s="33"/>
      <c r="M10" s="33"/>
      <c r="N10" s="33">
        <f>C32*'E Balans VL '!Y20/100/3.6*1000000</f>
        <v>12743.592080820534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177.9913</v>
      </c>
      <c r="C13" s="33"/>
      <c r="D13" s="37">
        <f>IF( ISERROR(IND_papier_gas_kWh/1000),0,IND_papier_gas_kWh/1000)*0.902</f>
        <v>260.54473875928886</v>
      </c>
      <c r="E13" s="33">
        <f>C35*'E Balans VL '!I23/100/3.6*1000000</f>
        <v>0.36863199642345496</v>
      </c>
      <c r="F13" s="33">
        <f>C35*'E Balans VL '!L23/100/3.6*1000000+C35*'E Balans VL '!N23/100/3.6*1000000</f>
        <v>3.5299490620186842</v>
      </c>
      <c r="G13" s="34"/>
      <c r="H13" s="33"/>
      <c r="I13" s="33"/>
      <c r="J13" s="40">
        <f>C35*'E Balans VL '!D23/100/3.6*1000000+C35*'E Balans VL '!E23/100/3.6*1000000</f>
        <v>0</v>
      </c>
      <c r="K13" s="33"/>
      <c r="L13" s="33"/>
      <c r="M13" s="33"/>
      <c r="N13" s="33">
        <f>C35*'E Balans VL '!Y23/100/3.6*1000000</f>
        <v>75.156447086426894</v>
      </c>
      <c r="O13" s="33"/>
      <c r="P13" s="33"/>
      <c r="R13" s="32"/>
    </row>
    <row r="14" spans="1:18">
      <c r="A14" s="6" t="s">
        <v>34</v>
      </c>
      <c r="B14" s="37">
        <f t="shared" si="0"/>
        <v>0</v>
      </c>
      <c r="C14" s="33"/>
      <c r="D14" s="37">
        <f>IF( ISERROR(IND_chemie_gas_kWh/1000),0,IND_chemie_gas_kWh/1000)*0.902</f>
        <v>391.43742907559783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23625.123</v>
      </c>
      <c r="C15" s="33"/>
      <c r="D15" s="37">
        <f>IF( ISERROR(IND_rest_gas_kWh/1000),0,IND_rest_gas_kWh/1000)*0.902</f>
        <v>26342.762413609318</v>
      </c>
      <c r="E15" s="33">
        <f>C37*'E Balans VL '!I15/100/3.6*1000000</f>
        <v>1201.8834893776454</v>
      </c>
      <c r="F15" s="33">
        <f>C37*'E Balans VL '!L15/100/3.6*1000000+C37*'E Balans VL '!N15/100/3.6*1000000</f>
        <v>5385.0544084091252</v>
      </c>
      <c r="G15" s="34"/>
      <c r="H15" s="33"/>
      <c r="I15" s="33"/>
      <c r="J15" s="40">
        <f>C37*'E Balans VL '!D15/100/3.6*1000000+C37*'E Balans VL '!E15/100/3.6*1000000</f>
        <v>99.115195800938466</v>
      </c>
      <c r="K15" s="33"/>
      <c r="L15" s="33"/>
      <c r="M15" s="33"/>
      <c r="N15" s="33">
        <f>C37*'E Balans VL '!Y15/100/3.6*1000000</f>
        <v>4438.7797802638952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54285.278900000005</v>
      </c>
      <c r="C18" s="21">
        <f>C5+C16</f>
        <v>0</v>
      </c>
      <c r="D18" s="21">
        <f>MAX((D5+D16),0)</f>
        <v>128232.00168809846</v>
      </c>
      <c r="E18" s="21">
        <f>MAX((E5+E16),0)</f>
        <v>2982.6872988110263</v>
      </c>
      <c r="F18" s="21">
        <f>MAX((F5+F16),0)</f>
        <v>55647.57411741119</v>
      </c>
      <c r="G18" s="21"/>
      <c r="H18" s="21"/>
      <c r="I18" s="21"/>
      <c r="J18" s="21">
        <f>MAX((J5+J16),0)</f>
        <v>677.72849302463624</v>
      </c>
      <c r="K18" s="21"/>
      <c r="L18" s="21">
        <f>MAX((L5+L16),0)</f>
        <v>0</v>
      </c>
      <c r="M18" s="21"/>
      <c r="N18" s="21">
        <f>MAX((N5+N16),0)</f>
        <v>19060.096769137534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0.21617801367945938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11735.283764637468</v>
      </c>
      <c r="C22" s="23">
        <f ca="1">C18*C20</f>
        <v>0</v>
      </c>
      <c r="D22" s="23">
        <f>D18*D20</f>
        <v>25902.86434099589</v>
      </c>
      <c r="E22" s="23">
        <f>E18*E20</f>
        <v>677.07001683010299</v>
      </c>
      <c r="F22" s="23">
        <f>F18*F20</f>
        <v>14857.902289348789</v>
      </c>
      <c r="G22" s="23"/>
      <c r="H22" s="23"/>
      <c r="I22" s="23"/>
      <c r="J22" s="23">
        <f>J18*J20</f>
        <v>239.91588653072122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799.95460000000003</v>
      </c>
      <c r="C30" s="39">
        <f>IF(ISERROR(B30*3.6/1000000/'E Balans VL '!Z18*100),0,B30*3.6/1000000/'E Balans VL '!Z18*100)</f>
        <v>0.11196698521844732</v>
      </c>
      <c r="D30" s="237" t="s">
        <v>692</v>
      </c>
    </row>
    <row r="31" spans="1:18">
      <c r="A31" s="6" t="s">
        <v>33</v>
      </c>
      <c r="B31" s="37">
        <f>IF( ISERROR(IND_ander_ele_kWh/1000),0,IND_ander_ele_kWh/1000)</f>
        <v>5506.1049999999996</v>
      </c>
      <c r="C31" s="39">
        <f>IF(ISERROR(B31*3.6/1000000/'E Balans VL '!Z19*100),0,B31*3.6/1000000/'E Balans VL '!Z19*100)</f>
        <v>0.24100132263286575</v>
      </c>
      <c r="D31" s="237" t="s">
        <v>692</v>
      </c>
    </row>
    <row r="32" spans="1:18">
      <c r="A32" s="171" t="s">
        <v>41</v>
      </c>
      <c r="B32" s="37">
        <f>IF( ISERROR(IND_voed_ele_kWh/1000),0,IND_voed_ele_kWh/1000)</f>
        <v>24176.105</v>
      </c>
      <c r="C32" s="39">
        <f>IF(ISERROR(B32*3.6/1000000/'E Balans VL '!Z20*100),0,B32*3.6/1000000/'E Balans VL '!Z20*100)</f>
        <v>5.9852007491538544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177.9913</v>
      </c>
      <c r="C35" s="39">
        <f>IF(ISERROR(B35*3.6/1000000/'E Balans VL '!Z22*100),0,B35*3.6/1000000/'E Balans VL '!Z22*100)</f>
        <v>5.0506669285233681E-3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23625.123</v>
      </c>
      <c r="C37" s="39">
        <f>IF(ISERROR(B37*3.6/1000000/'E Balans VL '!Z15*100),0,B37*3.6/1000000/'E Balans VL '!Z15*100)</f>
        <v>0.17517624225278117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266.31581</v>
      </c>
      <c r="C5" s="17">
        <f>'Eigen informatie GS &amp; warmtenet'!B60</f>
        <v>0</v>
      </c>
      <c r="D5" s="30">
        <f>IF(ISERROR(SUM(LB_lb_gas_kWh,LB_rest_gas_kWh)/1000),0,SUM(LB_lb_gas_kWh,LB_rest_gas_kWh)/1000)*0.902</f>
        <v>618.23650913625272</v>
      </c>
      <c r="E5" s="17">
        <f>B17*'E Balans VL '!I25/3.6*1000000/100</f>
        <v>2.4667285755345039</v>
      </c>
      <c r="F5" s="17">
        <f>B17*('E Balans VL '!L25/3.6*1000000+'E Balans VL '!N25/3.6*1000000)/100</f>
        <v>675.69394307974153</v>
      </c>
      <c r="G5" s="18"/>
      <c r="H5" s="17"/>
      <c r="I5" s="17"/>
      <c r="J5" s="17">
        <f>('E Balans VL '!D25+'E Balans VL '!E25)/3.6*1000000*landbouw!B17/100</f>
        <v>40.82918576611393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266.31581</v>
      </c>
      <c r="C8" s="21">
        <f>C5+C6</f>
        <v>0</v>
      </c>
      <c r="D8" s="21">
        <f>MAX((D5+D6),0)</f>
        <v>618.23650913625272</v>
      </c>
      <c r="E8" s="21">
        <f>MAX((E5+E6),0)</f>
        <v>2.4667285755345039</v>
      </c>
      <c r="F8" s="21">
        <f>MAX((F5+F6),0)</f>
        <v>675.69394307974153</v>
      </c>
      <c r="G8" s="21"/>
      <c r="H8" s="21"/>
      <c r="I8" s="21"/>
      <c r="J8" s="21">
        <f>MAX((J5+J6),0)</f>
        <v>40.82918576611393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0.21617801367945938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57.571622817236303</v>
      </c>
      <c r="C12" s="23">
        <f ca="1">C8*C10</f>
        <v>0</v>
      </c>
      <c r="D12" s="23">
        <f>D8*D10</f>
        <v>124.88377484552306</v>
      </c>
      <c r="E12" s="23">
        <f>E8*E10</f>
        <v>0.55994738664633237</v>
      </c>
      <c r="F12" s="23">
        <f>F8*F10</f>
        <v>180.41028280229099</v>
      </c>
      <c r="G12" s="23"/>
      <c r="H12" s="23"/>
      <c r="I12" s="23"/>
      <c r="J12" s="23">
        <f>J8*J10</f>
        <v>14.45353176120433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3.7864461310771556E-2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10.653085124356545</v>
      </c>
      <c r="C26" s="247">
        <f>B26*'GWP N2O_CH4'!B5</f>
        <v>223.71478761148745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1.3274016901015122</v>
      </c>
      <c r="C27" s="247">
        <f>B27*'GWP N2O_CH4'!B5</f>
        <v>27.875435492131757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0.14446860225243649</v>
      </c>
      <c r="C28" s="247">
        <f>B28*'GWP N2O_CH4'!B4</f>
        <v>44.785266698255313</v>
      </c>
      <c r="D28" s="50"/>
    </row>
    <row r="29" spans="1:4">
      <c r="A29" s="41" t="s">
        <v>277</v>
      </c>
      <c r="B29" s="247">
        <f>B34*'ha_N2O bodem landbouw'!B4</f>
        <v>1.2379001965992136</v>
      </c>
      <c r="C29" s="247">
        <f>B29*'GWP N2O_CH4'!B4</f>
        <v>383.74906094575618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2.7763920562523753E-4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1.5326812154305407E-4</v>
      </c>
      <c r="C5" s="464" t="s">
        <v>211</v>
      </c>
      <c r="D5" s="449">
        <f>SUM(D6:D11)</f>
        <v>4.0221378194798678E-4</v>
      </c>
      <c r="E5" s="449">
        <f>SUM(E6:E11)</f>
        <v>2.9280288344000669E-3</v>
      </c>
      <c r="F5" s="462" t="s">
        <v>211</v>
      </c>
      <c r="G5" s="449">
        <f>SUM(G6:G11)</f>
        <v>0.98740693644317479</v>
      </c>
      <c r="H5" s="449">
        <f>SUM(H6:H11)</f>
        <v>0.15593094333520707</v>
      </c>
      <c r="I5" s="464" t="s">
        <v>211</v>
      </c>
      <c r="J5" s="464" t="s">
        <v>211</v>
      </c>
      <c r="K5" s="464" t="s">
        <v>211</v>
      </c>
      <c r="L5" s="464" t="s">
        <v>211</v>
      </c>
      <c r="M5" s="449">
        <f>SUM(M6:M11)</f>
        <v>6.1917080307942726E-2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4.1712584684721703E-5</v>
      </c>
      <c r="C6" s="450"/>
      <c r="D6" s="893">
        <f>vkm_2011_GW_PW*SUMIFS(TableVerdeelsleutelVkm[CNG],TableVerdeelsleutelVkm[Voertuigtype],"Lichte voertuigen")*SUMIFS(TableECFTransport[EnergieConsumptieFactor (PJ per km)],TableECFTransport[Index],CONCATENATE($A6,"_CNG_CNG"))</f>
        <v>9.6485800741097773E-5</v>
      </c>
      <c r="E6" s="893">
        <f>vkm_2011_GW_PW*SUMIFS(TableVerdeelsleutelVkm[LPG],TableVerdeelsleutelVkm[Voertuigtype],"Lichte voertuigen")*SUMIFS(TableECFTransport[EnergieConsumptieFactor (PJ per km)],TableECFTransport[Index],CONCATENATE($A6,"_LPG_LPG"))</f>
        <v>6.2825726828303588E-4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0.13051579946895597</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3.6789706680717897E-2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8.6822884688338656E-3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3.0043309706820915E-2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1.0274266307812626E-5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1.7381757597471419E-3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2.1112701361854852E-5</v>
      </c>
      <c r="C8" s="450"/>
      <c r="D8" s="452">
        <f>vkm_2011_NGW_PW*SUMIFS(TableVerdeelsleutelVkm[CNG],TableVerdeelsleutelVkm[Voertuigtype],"Lichte voertuigen")*SUMIFS(TableECFTransport[EnergieConsumptieFactor (PJ per km)],TableECFTransport[Index],CONCATENATE($A8,"_CNG_CNG"))</f>
        <v>8.6376616683163696E-5</v>
      </c>
      <c r="E8" s="452">
        <f>vkm_2011_NGW_PW*SUMIFS(TableVerdeelsleutelVkm[LPG],TableVerdeelsleutelVkm[Voertuigtype],"Lichte voertuigen")*SUMIFS(TableECFTransport[EnergieConsumptieFactor (PJ per km)],TableECFTransport[Index],CONCATENATE($A8,"_LPG_LPG"))</f>
        <v>5.1906655994193168E-4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0.10080196339845433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3.1845926305072499E-2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6.8112914790172622E-3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1.3588188282544333E-2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4.3969794437100648E-6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7.8614601918232331E-4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9.0442835496477503E-5</v>
      </c>
      <c r="C10" s="450"/>
      <c r="D10" s="452">
        <f>vkm_2011_SW_PW*SUMIFS(TableVerdeelsleutelVkm[CNG],TableVerdeelsleutelVkm[Voertuigtype],"Lichte voertuigen")*SUMIFS(TableECFTransport[EnergieConsumptieFactor (PJ per km)],TableECFTransport[Index],CONCATENATE($A10,"_CNG_CNG"))</f>
        <v>2.1935136452372531E-4</v>
      </c>
      <c r="E10" s="452">
        <f>vkm_2011_SW_PW*SUMIFS(TableVerdeelsleutelVkm[LPG],TableVerdeelsleutelVkm[Voertuigtype],"Lichte voertuigen")*SUMIFS(TableECFTransport[EnergieConsumptieFactor (PJ per km)],TableECFTransport[Index],CONCATENATE($A10,"_LPG_LPG"))</f>
        <v>1.7807050061750993E-3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0.33304296462035954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8.7140801159300688E-2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2.1947576461296667E-2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0.37941471096603968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1.3983794436444097E-4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2.1951602119865462E-2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42.574478206403903</v>
      </c>
      <c r="C14" s="21"/>
      <c r="D14" s="21">
        <f t="shared" ref="D14:M14" si="0">((D5)*10^9/3600)+D12</f>
        <v>111.72605054110744</v>
      </c>
      <c r="E14" s="21">
        <f t="shared" si="0"/>
        <v>813.34134288890755</v>
      </c>
      <c r="F14" s="21"/>
      <c r="G14" s="21">
        <f t="shared" si="0"/>
        <v>274279.70456754859</v>
      </c>
      <c r="H14" s="21">
        <f t="shared" si="0"/>
        <v>43314.150926446411</v>
      </c>
      <c r="I14" s="21"/>
      <c r="J14" s="21"/>
      <c r="K14" s="21"/>
      <c r="L14" s="21"/>
      <c r="M14" s="21">
        <f t="shared" si="0"/>
        <v>17199.188974428536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0.21617801367945938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9.2036661320998281</v>
      </c>
      <c r="C18" s="23"/>
      <c r="D18" s="23">
        <f t="shared" ref="D18:M18" si="1">D14*D16</f>
        <v>22.568662209303703</v>
      </c>
      <c r="E18" s="23">
        <f t="shared" si="1"/>
        <v>184.62848483578202</v>
      </c>
      <c r="F18" s="23"/>
      <c r="G18" s="23">
        <f t="shared" si="1"/>
        <v>73232.681119535482</v>
      </c>
      <c r="H18" s="23">
        <f t="shared" si="1"/>
        <v>10785.223580685157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1.3339595709313803E-2</v>
      </c>
      <c r="H50" s="321">
        <f t="shared" si="2"/>
        <v>0</v>
      </c>
      <c r="I50" s="321">
        <f t="shared" si="2"/>
        <v>0</v>
      </c>
      <c r="J50" s="321">
        <f t="shared" si="2"/>
        <v>0</v>
      </c>
      <c r="K50" s="321">
        <f t="shared" si="2"/>
        <v>0</v>
      </c>
      <c r="L50" s="321">
        <f t="shared" si="2"/>
        <v>0</v>
      </c>
      <c r="M50" s="321">
        <f t="shared" si="2"/>
        <v>7.607182562800064E-4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1.3339595709313803E-2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7.607182562800064E-4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3705.4432525871675</v>
      </c>
      <c r="H54" s="21">
        <f t="shared" si="3"/>
        <v>0</v>
      </c>
      <c r="I54" s="21">
        <f t="shared" si="3"/>
        <v>0</v>
      </c>
      <c r="J54" s="21">
        <f t="shared" si="3"/>
        <v>0</v>
      </c>
      <c r="K54" s="21">
        <f t="shared" si="3"/>
        <v>0</v>
      </c>
      <c r="L54" s="21">
        <f t="shared" si="3"/>
        <v>0</v>
      </c>
      <c r="M54" s="21">
        <f t="shared" si="3"/>
        <v>211.31062674444621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0.21617801367945938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989.35334844077374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3642.7242023693489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3642.7242023693489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2019-08-12T08:06:32Z</dcterms:modified>
</cp:coreProperties>
</file>