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E88" i="14" s="1"/>
  <c r="E18" i="59" s="1"/>
  <c r="C18" i="18"/>
  <c r="D88" i="14" s="1"/>
  <c r="D18" i="59" s="1"/>
  <c r="B18" i="18"/>
  <c r="L9"/>
  <c r="O77" i="14" s="1"/>
  <c r="O9" i="59" s="1"/>
  <c r="K9" i="18"/>
  <c r="N77" i="14" s="1"/>
  <c r="G9" i="18"/>
  <c r="G10" s="1"/>
  <c r="F9"/>
  <c r="F10" s="1"/>
  <c r="E9"/>
  <c r="D9"/>
  <c r="K22"/>
  <c r="J22"/>
  <c r="I22"/>
  <c r="H22"/>
  <c r="K12"/>
  <c r="J12"/>
  <c r="I12"/>
  <c r="H12"/>
  <c r="W92"/>
  <c r="V92"/>
  <c r="U92"/>
  <c r="T92"/>
  <c r="L6" i="17" s="1"/>
  <c r="S92" i="18"/>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P27"/>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B75" i="14"/>
  <c r="B7" i="59" s="1"/>
  <c r="Q54" i="14"/>
  <c r="P54"/>
  <c r="L54"/>
  <c r="L56" s="1"/>
  <c r="J54"/>
  <c r="J56" s="1"/>
  <c r="I54"/>
  <c r="I56" s="1"/>
  <c r="H54"/>
  <c r="H56" s="1"/>
  <c r="Q24"/>
  <c r="P24"/>
  <c r="P26" s="1"/>
  <c r="N24"/>
  <c r="N26" s="1"/>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P52"/>
  <c r="R44"/>
  <c r="E25"/>
  <c r="E55" s="1"/>
  <c r="C25"/>
  <c r="B14" i="48" s="1"/>
  <c r="Q26" i="14"/>
  <c r="J26"/>
  <c r="I26"/>
  <c r="H26"/>
  <c r="O22"/>
  <c r="N78" l="1"/>
  <c r="N9" i="59"/>
  <c r="H90" i="14"/>
  <c r="H18" i="59"/>
  <c r="H20" s="1"/>
  <c r="D22" i="14"/>
  <c r="P28" i="48"/>
  <c r="O10" i="59"/>
  <c r="M22" i="14"/>
  <c r="N10" i="59"/>
  <c r="K20"/>
  <c r="C98" i="18"/>
  <c r="I101" s="1"/>
  <c r="H8" s="1"/>
  <c r="D13" i="15"/>
  <c r="C16" i="16"/>
  <c r="P22" i="14"/>
  <c r="E20" i="59"/>
  <c r="L10" i="18"/>
  <c r="D20"/>
  <c r="C13" i="15"/>
  <c r="B16" i="16"/>
  <c r="L90" i="14"/>
  <c r="L18" i="59"/>
  <c r="L20" s="1"/>
  <c r="L22" i="14"/>
  <c r="E10" i="59"/>
  <c r="G77" i="14"/>
  <c r="G9" i="59" s="1"/>
  <c r="G10" s="1"/>
  <c r="P29" i="48"/>
  <c r="L78" i="14"/>
  <c r="K10" i="59"/>
  <c r="D14" i="48"/>
  <c r="Q14" s="1"/>
  <c r="I9" i="18"/>
  <c r="I77" i="14" s="1"/>
  <c r="I9" i="59" s="1"/>
  <c r="F20" i="18"/>
  <c r="K78" i="14"/>
  <c r="B17" i="18"/>
  <c r="B20" s="1"/>
  <c r="M77" i="14"/>
  <c r="M9" i="59" s="1"/>
  <c r="H9" i="18"/>
  <c r="O9" s="1"/>
  <c r="B13" i="15"/>
  <c r="B10" i="18"/>
  <c r="N13" i="15"/>
  <c r="L13"/>
  <c r="F77" i="14"/>
  <c r="F9" i="59" s="1"/>
  <c r="E101" i="18"/>
  <c r="E8" s="1"/>
  <c r="I102"/>
  <c r="H17" s="1"/>
  <c r="E102"/>
  <c r="E17" s="1"/>
  <c r="C102"/>
  <c r="F102"/>
  <c r="H102"/>
  <c r="D102"/>
  <c r="G102"/>
  <c r="B102"/>
  <c r="C17" s="1"/>
  <c r="C89" i="14"/>
  <c r="C19" i="59" s="1"/>
  <c r="O19" i="18"/>
  <c r="O78" i="14"/>
  <c r="N88"/>
  <c r="D10" i="18"/>
  <c r="E78" i="14"/>
  <c r="D77"/>
  <c r="D9" i="59" s="1"/>
  <c r="H77" i="14"/>
  <c r="G90"/>
  <c r="O88"/>
  <c r="G89"/>
  <c r="G19" i="59" s="1"/>
  <c r="G20" s="1"/>
  <c r="G20" i="18"/>
  <c r="O18"/>
  <c r="O25" i="48"/>
  <c r="O27"/>
  <c r="Q11"/>
  <c r="O29"/>
  <c r="P31"/>
  <c r="O28"/>
  <c r="Q12"/>
  <c r="O24"/>
  <c r="O30"/>
  <c r="P24"/>
  <c r="P30"/>
  <c r="E90" i="14"/>
  <c r="R9"/>
  <c r="R25"/>
  <c r="K90"/>
  <c r="H101" i="18" l="1"/>
  <c r="B89" i="14"/>
  <c r="B19" i="59" s="1"/>
  <c r="J17" i="18"/>
  <c r="G101"/>
  <c r="I8" s="1"/>
  <c r="I76" i="14" s="1"/>
  <c r="I8" i="59" s="1"/>
  <c r="I10" s="1"/>
  <c r="C101" i="18"/>
  <c r="O90" i="14"/>
  <c r="O18" i="59"/>
  <c r="O20" s="1"/>
  <c r="N90" i="14"/>
  <c r="N18" i="59"/>
  <c r="N20" s="1"/>
  <c r="H78" i="14"/>
  <c r="H9" i="59"/>
  <c r="H10" s="1"/>
  <c r="Q77" i="14"/>
  <c r="P9" i="59" s="1"/>
  <c r="F101" i="18"/>
  <c r="D101"/>
  <c r="G78" i="14"/>
  <c r="D10" i="59"/>
  <c r="B101" i="18"/>
  <c r="C8" s="1"/>
  <c r="C10" s="1"/>
  <c r="Q89" i="14"/>
  <c r="P19" i="59" s="1"/>
  <c r="C77" i="14"/>
  <c r="C9" i="59" s="1"/>
  <c r="J87" i="14"/>
  <c r="J20" i="18"/>
  <c r="H20"/>
  <c r="M87" i="14"/>
  <c r="F76"/>
  <c r="E10" i="18"/>
  <c r="C20"/>
  <c r="O17"/>
  <c r="O20" s="1"/>
  <c r="D87" i="14"/>
  <c r="D17" i="59" s="1"/>
  <c r="D20" s="1"/>
  <c r="H10" i="18"/>
  <c r="M76" i="14"/>
  <c r="B88"/>
  <c r="B18" i="59" s="1"/>
  <c r="I17" i="18"/>
  <c r="D76" i="14"/>
  <c r="D8" i="59" s="1"/>
  <c r="J8" i="18"/>
  <c r="O8" s="1"/>
  <c r="O10" s="1"/>
  <c r="C88" i="14"/>
  <c r="C18" i="59" s="1"/>
  <c r="B77" i="14"/>
  <c r="B9" i="59" s="1"/>
  <c r="E20" i="18"/>
  <c r="F87" i="14"/>
  <c r="Q88"/>
  <c r="P18" i="59" s="1"/>
  <c r="H14" i="15"/>
  <c r="H16" s="1"/>
  <c r="G14"/>
  <c r="G16" s="1"/>
  <c r="J90" i="14" l="1"/>
  <c r="J17" i="59"/>
  <c r="J20" s="1"/>
  <c r="M78" i="14"/>
  <c r="M8" i="59"/>
  <c r="M10" s="1"/>
  <c r="M90" i="14"/>
  <c r="M17" i="59"/>
  <c r="M20" s="1"/>
  <c r="F78" i="14"/>
  <c r="F8" i="59"/>
  <c r="F10" s="1"/>
  <c r="I10" i="14"/>
  <c r="I16" s="1"/>
  <c r="H5" i="48"/>
  <c r="F90" i="14"/>
  <c r="F17" i="59"/>
  <c r="F20" s="1"/>
  <c r="H10" i="14"/>
  <c r="H16" s="1"/>
  <c r="G5" i="48"/>
  <c r="I10" i="18"/>
  <c r="Q76" i="14"/>
  <c r="D78"/>
  <c r="I78"/>
  <c r="B76"/>
  <c r="J10" i="18"/>
  <c r="J76" i="14"/>
  <c r="I87"/>
  <c r="I17" i="59" s="1"/>
  <c r="I20" s="1"/>
  <c r="I20" i="18"/>
  <c r="Q87" i="14"/>
  <c r="D90"/>
  <c r="C87"/>
  <c r="A31" i="23"/>
  <c r="A32"/>
  <c r="A33"/>
  <c r="Q78" i="14" l="1"/>
  <c r="B9" i="6" s="1"/>
  <c r="P8" i="59"/>
  <c r="P10" s="1"/>
  <c r="C90" i="14"/>
  <c r="C17" i="59"/>
  <c r="C20" s="1"/>
  <c r="B78" i="14"/>
  <c r="B8" i="59"/>
  <c r="B10" s="1"/>
  <c r="Q90" i="14"/>
  <c r="B17" i="6" s="1"/>
  <c r="P17" i="59"/>
  <c r="P20" s="1"/>
  <c r="J78" i="14"/>
  <c r="J8" i="59"/>
  <c r="J10" s="1"/>
  <c r="B87" i="14"/>
  <c r="I90"/>
  <c r="C76"/>
  <c r="B11" i="44"/>
  <c r="B25"/>
  <c r="B24"/>
  <c r="C78" i="14" l="1"/>
  <c r="B4" i="6" s="1"/>
  <c r="C8" i="59"/>
  <c r="C10" s="1"/>
  <c r="B90" i="14"/>
  <c r="B17" i="59"/>
  <c r="B2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Q11" i="14" l="1"/>
  <c r="P4" i="48"/>
  <c r="O4"/>
  <c r="P11" i="14"/>
  <c r="E11"/>
  <c r="D4" i="48"/>
  <c r="D22" s="1"/>
  <c r="H29"/>
  <c r="H25"/>
  <c r="H26"/>
  <c r="H32"/>
  <c r="H30"/>
  <c r="H28"/>
  <c r="H24"/>
  <c r="H22"/>
  <c r="H23"/>
  <c r="C4"/>
  <c r="D11" i="14"/>
  <c r="G25" i="48"/>
  <c r="G32"/>
  <c r="G22"/>
  <c r="G24"/>
  <c r="G30"/>
  <c r="G26"/>
  <c r="G29"/>
  <c r="G23"/>
  <c r="K28"/>
  <c r="K32"/>
  <c r="K22"/>
  <c r="K25"/>
  <c r="K24"/>
  <c r="K29"/>
  <c r="K27"/>
  <c r="K30"/>
  <c r="K31"/>
  <c r="K26"/>
  <c r="B7"/>
  <c r="C24" i="14"/>
  <c r="C26" s="1"/>
  <c r="J32" i="48"/>
  <c r="J29"/>
  <c r="J24"/>
  <c r="J30"/>
  <c r="J27"/>
  <c r="J31"/>
  <c r="J28"/>
  <c r="I32"/>
  <c r="I31"/>
  <c r="I22"/>
  <c r="I26"/>
  <c r="I25"/>
  <c r="I29"/>
  <c r="I30"/>
  <c r="I27"/>
  <c r="I28"/>
  <c r="I24"/>
  <c r="C11" i="14"/>
  <c r="B4" i="48"/>
  <c r="F30"/>
  <c r="F24"/>
  <c r="F32"/>
  <c r="F29"/>
  <c r="F27"/>
  <c r="F28"/>
  <c r="F31"/>
  <c r="N24"/>
  <c r="N32"/>
  <c r="N27"/>
  <c r="N31"/>
  <c r="N30"/>
  <c r="N28"/>
  <c r="N29"/>
  <c r="C19" i="14"/>
  <c r="B10" i="48"/>
  <c r="E28"/>
  <c r="E32"/>
  <c r="E31"/>
  <c r="E30"/>
  <c r="E24"/>
  <c r="E29"/>
  <c r="M26"/>
  <c r="M32"/>
  <c r="M30"/>
  <c r="M22"/>
  <c r="M29"/>
  <c r="M25"/>
  <c r="M24"/>
  <c r="M23"/>
  <c r="L10" i="14"/>
  <c r="L16" s="1"/>
  <c r="L27" s="1"/>
  <c r="K5" i="48"/>
  <c r="D31"/>
  <c r="D29"/>
  <c r="D28"/>
  <c r="D30"/>
  <c r="D24"/>
  <c r="D32"/>
  <c r="L27"/>
  <c r="L32"/>
  <c r="L28"/>
  <c r="L29"/>
  <c r="L22"/>
  <c r="L30"/>
  <c r="L31"/>
  <c r="L24"/>
  <c r="Q10" i="14"/>
  <c r="P5" i="48"/>
  <c r="P23" s="1"/>
  <c r="B8" i="9"/>
  <c r="B6" i="48" s="1"/>
  <c r="Q6"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C22" i="14" l="1"/>
  <c r="O22" i="48"/>
  <c r="I5"/>
  <c r="J10" i="14"/>
  <c r="J16" s="1"/>
  <c r="J27" s="1"/>
  <c r="K23" i="48"/>
  <c r="K15"/>
  <c r="F20" i="14"/>
  <c r="F22" s="1"/>
  <c r="E9" i="48"/>
  <c r="E27" s="1"/>
  <c r="Q16" i="14"/>
  <c r="Q27" s="1"/>
  <c r="J63"/>
  <c r="M12" i="22"/>
  <c r="M13" i="48"/>
  <c r="M31" s="1"/>
  <c r="N18" i="14"/>
  <c r="H18"/>
  <c r="G13" i="48"/>
  <c r="H13"/>
  <c r="H31" s="1"/>
  <c r="I18" i="14"/>
  <c r="P22" i="16"/>
  <c r="Q43" i="14" s="1"/>
  <c r="P8" i="48"/>
  <c r="P26" s="1"/>
  <c r="Q13" i="14"/>
  <c r="P15" i="48"/>
  <c r="P22"/>
  <c r="E20" i="14"/>
  <c r="E22" s="1"/>
  <c r="D9" i="48"/>
  <c r="D27" s="1"/>
  <c r="O5"/>
  <c r="O23" s="1"/>
  <c r="P10" i="14"/>
  <c r="K24"/>
  <c r="K26" s="1"/>
  <c r="J7" i="48"/>
  <c r="J25" s="1"/>
  <c r="B9"/>
  <c r="C20" i="14"/>
  <c r="G11"/>
  <c r="F4" i="48"/>
  <c r="F22" s="1"/>
  <c r="D10" i="14"/>
  <c r="J12" i="17"/>
  <c r="K54" i="14" s="1"/>
  <c r="K56" s="1"/>
  <c r="L46"/>
  <c r="L61" s="1"/>
  <c r="L63" s="1"/>
  <c r="K33" i="48"/>
  <c r="C7"/>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N12"/>
  <c r="J12"/>
  <c r="F12"/>
  <c r="E12"/>
  <c r="B46" i="13"/>
  <c r="E5" s="1"/>
  <c r="E8" s="1"/>
  <c r="B48"/>
  <c r="C48" s="1"/>
  <c r="N5" s="1"/>
  <c r="N8" s="1"/>
  <c r="C50"/>
  <c r="J5" s="1"/>
  <c r="J8" s="1"/>
  <c r="H19" i="14" l="1"/>
  <c r="R19" s="1"/>
  <c r="G10" i="48"/>
  <c r="E12" i="13"/>
  <c r="F41" i="14" s="1"/>
  <c r="F11"/>
  <c r="E4" i="48"/>
  <c r="O33"/>
  <c r="N20" i="14"/>
  <c r="M9" i="48"/>
  <c r="H20" i="14"/>
  <c r="G9" i="48"/>
  <c r="N19" i="14"/>
  <c r="M10" i="48"/>
  <c r="M28" s="1"/>
  <c r="O22" i="16"/>
  <c r="P43" i="14" s="1"/>
  <c r="P46" s="1"/>
  <c r="P61" s="1"/>
  <c r="P13"/>
  <c r="P16" s="1"/>
  <c r="P27" s="1"/>
  <c r="O8" i="48"/>
  <c r="O26" s="1"/>
  <c r="O11" i="14"/>
  <c r="N4" i="48"/>
  <c r="N22" s="1"/>
  <c r="I23"/>
  <c r="I33" s="1"/>
  <c r="I15"/>
  <c r="K11" i="14"/>
  <c r="J4" i="48"/>
  <c r="F24" i="14"/>
  <c r="F26" s="1"/>
  <c r="E7" i="48"/>
  <c r="E25" s="1"/>
  <c r="Q13"/>
  <c r="G31"/>
  <c r="Q46" i="14"/>
  <c r="Q61" s="1"/>
  <c r="Q63" s="1"/>
  <c r="N22"/>
  <c r="N27" s="1"/>
  <c r="P33" i="48"/>
  <c r="R18" i="14"/>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H52" l="1"/>
  <c r="H61" s="1"/>
  <c r="P63"/>
  <c r="J22" i="48"/>
  <c r="I20" i="14"/>
  <c r="H9" i="48"/>
  <c r="M27"/>
  <c r="M33" s="1"/>
  <c r="M15"/>
  <c r="E22"/>
  <c r="Q4"/>
  <c r="R11" i="14"/>
  <c r="H22"/>
  <c r="H27" s="1"/>
  <c r="K10"/>
  <c r="J5" i="48"/>
  <c r="J23" s="1"/>
  <c r="G28"/>
  <c r="Q10"/>
  <c r="F10" i="14"/>
  <c r="E5" i="48"/>
  <c r="E23" s="1"/>
  <c r="G27"/>
  <c r="G33" s="1"/>
  <c r="G15"/>
  <c r="O15"/>
  <c r="L25"/>
  <c r="Q7"/>
  <c r="M26" i="14"/>
  <c r="R24"/>
  <c r="R26" s="1"/>
  <c r="E20" i="15"/>
  <c r="F40" i="14" s="1"/>
  <c r="F18" i="16"/>
  <c r="F22" s="1"/>
  <c r="G43" i="14" s="1"/>
  <c r="J18" i="16"/>
  <c r="E18"/>
  <c r="J20" i="15"/>
  <c r="K40" i="14" s="1"/>
  <c r="N18" i="16"/>
  <c r="N22" s="1"/>
  <c r="O43" i="14" s="1"/>
  <c r="G18" i="22"/>
  <c r="H50" i="14" s="1"/>
  <c r="E22" i="16"/>
  <c r="F43" i="14" s="1"/>
  <c r="H18" i="22"/>
  <c r="I50" i="14" s="1"/>
  <c r="I52" s="1"/>
  <c r="I61" s="1"/>
  <c r="I22" l="1"/>
  <c r="I27" s="1"/>
  <c r="I63" s="1"/>
  <c r="R20"/>
  <c r="R22" s="1"/>
  <c r="J22" i="16"/>
  <c r="K43" i="14" s="1"/>
  <c r="J8" i="48"/>
  <c r="K13" i="14"/>
  <c r="K16" s="1"/>
  <c r="K27" s="1"/>
  <c r="H27" i="48"/>
  <c r="H33" s="1"/>
  <c r="H15"/>
  <c r="Q9"/>
  <c r="E8"/>
  <c r="F13" i="14"/>
  <c r="F16" s="1"/>
  <c r="F27" s="1"/>
  <c r="F46"/>
  <c r="F61" s="1"/>
  <c r="H63"/>
  <c r="K46"/>
  <c r="K61" s="1"/>
  <c r="O13"/>
  <c r="N8" i="48"/>
  <c r="N26" s="1"/>
  <c r="F8"/>
  <c r="G13" i="14"/>
  <c r="E26" i="48" l="1"/>
  <c r="E33" s="1"/>
  <c r="E15"/>
  <c r="K63" i="14"/>
  <c r="J26" i="48"/>
  <c r="J33" s="1"/>
  <c r="J15"/>
  <c r="R1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<sst xmlns="http://schemas.openxmlformats.org/spreadsheetml/2006/main" count="2491" uniqueCount="935">
  <si>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</si>
  <si>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</si>
  <si>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</si>
  <si>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</si>
  <si>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</si>
  <si>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</si>
  <si>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</si>
  <si>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</si>
  <si>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</si>
  <si>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</si>
  <si>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</si>
  <si>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</si>
  <si>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</si>
  <si>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</si>
  <si>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</si>
  <si>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</si>
  <si>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</si>
  <si>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</si>
  <si>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</si>
  <si>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</si>
  <si>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</si>
  <si>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</si>
  <si>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</si>
  <si>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</si>
  <si>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</si>
  <si>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</si>
  <si>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</si>
  <si>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</si>
  <si>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</si>
  <si>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</si>
  <si>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</si>
  <si>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</si>
  <si>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</si>
  <si>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</si>
  <si>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</si>
  <si>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</si>
  <si>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</si>
  <si>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</si>
  <si>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</si>
  <si>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</si>
  <si>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</si>
  <si>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</si>
  <si>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</si>
  <si>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</si>
  <si>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</si>
  <si>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</si>
  <si>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</si>
  <si>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</si>
  <si>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</si>
  <si>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</si>
  <si>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</si>
  <si>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</si>
  <si>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</si>
  <si>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</si>
  <si>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</si>
  <si>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</si>
  <si>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</si>
  <si>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</si>
  <si>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</si>
  <si>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</si>
  <si>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</si>
  <si>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</si>
  <si>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</si>
  <si>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</si>
  <si>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</si>
  <si>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</si>
  <si>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</si>
  <si>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</si>
  <si>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</si>
  <si>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</si>
  <si>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</si>
  <si>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</si>
  <si>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</si>
  <si>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</si>
  <si>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</si>
  <si>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</si>
  <si>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</si>
  <si>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</si>
  <si>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</si>
  <si>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</si>
  <si>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</si>
  <si>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</si>
  <si>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</si>
  <si>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</si>
  <si>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</si>
  <si>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</si>
  <si>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</si>
  <si>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</si>
  <si>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</si>
  <si>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</si>
  <si>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</si>
  <si>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</si>
  <si>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</si>
  <si>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</si>
  <si>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</si>
  <si>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</si>
  <si>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</si>
  <si>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</si>
  <si>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</si>
  <si>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</si>
  <si>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</si>
  <si>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</si>
  <si>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</si>
  <si>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</si>
  <si>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</si>
  <si>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</si>
  <si>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</si>
  <si>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</si>
  <si>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</si>
  <si>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</si>
  <si>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</si>
  <si>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</si>
  <si>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</si>
  <si>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</si>
  <si>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</si>
  <si>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</si>
  <si>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</si>
  <si>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</si>
  <si>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</si>
  <si>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</si>
  <si>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</si>
  <si>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</si>
  <si>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</si>
  <si>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</si>
  <si>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</si>
  <si>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</si>
  <si>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</si>
  <si>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</si>
  <si>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</si>
  <si>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</si>
  <si>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</si>
  <si>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</si>
  <si>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</si>
  <si>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</si>
  <si>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</si>
  <si>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</si>
  <si>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</si>
  <si>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</si>
  <si>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</si>
  <si>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</si>
  <si>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</si>
  <si>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</si>
  <si>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</si>
  <si>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</si>
  <si>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</si>
  <si>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</si>
  <si>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</si>
  <si>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</si>
  <si>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</si>
  <si>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</si>
  <si>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</si>
  <si>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</si>
  <si>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</si>
  <si>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</si>
  <si>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</si>
  <si>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</si>
  <si>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</si>
  <si>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</si>
  <si>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</si>
  <si>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</si>
  <si>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</si>
  <si>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</si>
  <si>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</si>
  <si>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</si>
  <si>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</si>
  <si>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</si>
  <si>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</si>
  <si>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</si>
  <si>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</si>
  <si>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</si>
  <si>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</si>
  <si>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</si>
  <si>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</si>
  <si>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</si>
  <si>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</si>
  <si>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</si>
  <si>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</si>
  <si>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</si>
  <si>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</si>
  <si>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</si>
  <si>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</si>
  <si>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</si>
  <si>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</si>
  <si>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</si>
  <si>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</si>
  <si>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</si>
  <si>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</si>
  <si>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</si>
  <si>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</si>
  <si>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</si>
  <si>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</si>
  <si>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</si>
  <si>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</si>
  <si>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</si>
  <si>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</si>
  <si>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</si>
  <si>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</si>
  <si>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</si>
  <si>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</si>
  <si>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</si>
  <si>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</si>
  <si>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</si>
  <si>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</si>
  <si>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</si>
  <si>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</si>
  <si>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</si>
  <si>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</si>
  <si>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</si>
  <si>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</si>
  <si>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</si>
  <si>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</si>
  <si>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</si>
  <si>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</si>
  <si>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</si>
  <si>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</si>
  <si>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</si>
  <si>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</si>
  <si>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</si>
  <si>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</si>
  <si>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</si>
  <si>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</si>
  <si>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</si>
  <si>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</si>
  <si>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</si>
  <si>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</si>
  <si>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</si>
  <si>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</si>
  <si>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</si>
  <si>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</si>
  <si>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</si>
  <si>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</si>
  <si>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</si>
  <si>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</si>
  <si>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</si>
  <si>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</si>
  <si>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</si>
  <si>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</si>
  <si>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</si>
  <si>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</si>
  <si>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</si>
  <si>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</si>
  <si>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</si>
  <si>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</si>
  <si>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</si>
  <si>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</si>
  <si>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</si>
  <si>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</si>
  <si>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</si>
  <si>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</si>
  <si>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</si>
  <si>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</si>
  <si>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</si>
  <si>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</si>
  <si>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</si>
  <si>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</si>
  <si>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</si>
  <si>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</si>
  <si>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</si>
  <si>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</si>
  <si>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</si>
  <si>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</si>
  <si>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</si>
  <si>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</si>
  <si>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</si>
  <si>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</si>
  <si>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</si>
  <si>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</si>
  <si>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</si>
  <si>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</si>
  <si>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</si>
  <si>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</si>
  <si>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</si>
  <si>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</si>
  <si>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</si>
  <si>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</si>
  <si>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</si>
  <si>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</si>
  <si>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</si>
  <si>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</si>
  <si>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</si>
  <si>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</si>
  <si>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</si>
  <si>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</si>
  <si>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</si>
  <si>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</si>
  <si>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</si>
  <si>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</si>
  <si>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</si>
  <si>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</si>
  <si>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</si>
  <si>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</si>
  <si>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</si>
  <si>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</si>
  <si>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</si>
  <si>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</si>
  <si>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</si>
  <si>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</si>
  <si>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</si>
  <si>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</si>
  <si>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</si>
  <si>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</si>
  <si>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</si>
  <si>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</si>
  <si>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</si>
  <si>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</si>
  <si>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</si>
  <si>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</si>
  <si>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</si>
  <si>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</si>
  <si>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</si>
  <si>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</si>
  <si>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</si>
  <si>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</si>
  <si>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</si>
  <si>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</si>
  <si>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</si>
  <si>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</si>
  <si>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</si>
  <si>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</si>
  <si>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</si>
  <si>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</si>
  <si>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</si>
  <si>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</si>
  <si>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</si>
  <si>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</si>
  <si>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</si>
  <si>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</si>
  <si>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</si>
  <si>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</si>
  <si>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</si>
  <si>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</si>
  <si>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</si>
  <si>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</si>
  <si>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</si>
  <si>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</si>
  <si>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</si>
  <si>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</si>
  <si>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</si>
  <si>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</si>
  <si>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</si>
  <si>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</si>
  <si>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</si>
  <si>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</si>
  <si>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</si>
  <si>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</si>
  <si>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</si>
  <si>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</si>
  <si>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</si>
  <si>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</si>
  <si>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</si>
  <si>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</si>
  <si>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</si>
  <si>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</si>
  <si>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</si>
  <si>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</si>
  <si>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</si>
  <si>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</si>
  <si>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</si>
  <si>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</si>
  <si>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</si>
  <si>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</si>
  <si>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</si>
  <si>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</si>
  <si>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</si>
  <si>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</si>
  <si>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</si>
  <si>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</si>
  <si>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</si>
  <si>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</si>
  <si>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</si>
  <si>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</si>
  <si>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</si>
  <si>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</si>
  <si>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</si>
  <si>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</si>
  <si>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</si>
  <si>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</si>
  <si>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</si>
  <si>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</si>
  <si>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</si>
  <si>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</si>
  <si>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</si>
  <si>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</si>
  <si>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</si>
  <si>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</si>
  <si>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</si>
  <si>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</si>
  <si>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</si>
  <si>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</si>
  <si>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</si>
  <si>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</si>
  <si>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</si>
  <si>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</si>
  <si>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</si>
  <si>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</si>
  <si>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</si>
  <si>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</si>
  <si>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</si>
  <si>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</si>
  <si>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</si>
  <si>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</si>
  <si>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</si>
  <si>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</si>
  <si>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</si>
  <si>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</si>
  <si>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</si>
  <si>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</si>
  <si>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</si>
  <si>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</si>
  <si>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</si>
  <si>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</si>
  <si>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</si>
  <si>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</si>
  <si>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</si>
  <si>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</si>
  <si>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</si>
  <si>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</si>
  <si>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</si>
  <si>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</si>
  <si>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</si>
  <si>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</si>
  <si>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</si>
  <si>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</si>
  <si>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</si>
  <si>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</si>
  <si>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</si>
  <si>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</si>
  <si>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</si>
  <si>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</si>
  <si>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</si>
  <si>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</si>
  <si>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</si>
  <si>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</si>
  <si>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</si>
  <si>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</si>
  <si>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</si>
  <si>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</si>
  <si>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</si>
  <si>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</si>
  <si>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</si>
  <si>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</si>
  <si>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</si>
  <si>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</si>
  <si>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</si>
  <si>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</si>
  <si>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</si>
  <si>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</si>
  <si>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</si>
  <si>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</si>
  <si>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</si>
  <si>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</si>
  <si>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</si>
  <si>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</si>
  <si>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</si>
  <si>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</si>
  <si>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</si>
  <si>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</si>
  <si>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</si>
  <si>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</si>
  <si>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</si>
  <si>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</si>
  <si>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</si>
  <si>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</si>
  <si>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</si>
  <si>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</si>
  <si>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</si>
  <si>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</si>
  <si>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</si>
  <si>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</si>
  <si>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</si>
  <si>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</si>
  <si>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</si>
  <si>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</si>
  <si>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</si>
  <si>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</si>
  <si>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</si>
  <si>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</si>
  <si>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</si>
  <si>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</si>
  <si>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</si>
  <si>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</si>
  <si>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</si>
  <si>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</si>
  <si>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</si>
  <si>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</si>
  <si>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</si>
  <si>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</si>
  <si>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</si>
  <si>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</si>
  <si>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</si>
  <si>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</si>
  <si>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</si>
  <si>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</si>
  <si>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</si>
  <si>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</si>
  <si>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</si>
  <si>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</si>
  <si>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</si>
  <si>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</si>
  <si>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</si>
  <si>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</si>
  <si>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</si>
  <si>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</si>
  <si>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</si>
  <si>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</si>
  <si>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</si>
  <si>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</si>
  <si>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</si>
  <si>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</si>
  <si>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</si>
  <si>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</si>
  <si>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</si>
  <si>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</si>
  <si>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</si>
  <si>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</si>
  <si>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</si>
  <si>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</si>
  <si>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</si>
  <si>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</si>
  <si>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</si>
  <si>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</si>
  <si>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</si>
  <si>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</si>
  <si>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</si>
  <si>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</si>
  <si>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</si>
  <si>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</si>
  <si>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</si>
  <si>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</si>
  <si>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</si>
  <si>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</si>
  <si>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</si>
  <si>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</si>
  <si>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</si>
  <si>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</si>
  <si>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</si>
  <si>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</si>
  <si>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</si>
  <si>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</si>
  <si>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</si>
  <si>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</si>
  <si>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</si>
  <si>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</si>
  <si>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</si>
  <si>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</si>
  <si>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</si>
  <si>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</si>
  <si>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</si>
  <si>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</si>
  <si>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</si>
  <si>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</si>
  <si>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</si>
  <si>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</si>
  <si>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</si>
  <si>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</si>
  <si>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</si>
  <si>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</si>
  <si>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</si>
  <si>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</si>
  <si>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</si>
  <si>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</si>
  <si>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</si>
  <si>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</si>
  <si>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</si>
  <si>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</si>
  <si>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</si>
  <si>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</si>
  <si>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</si>
  <si>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</si>
  <si>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</si>
  <si>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</si>
  <si>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</si>
  <si>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</si>
  <si>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</si>
  <si>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</si>
  <si>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</si>
  <si>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</si>
  <si>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</si>
  <si>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</si>
  <si>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</si>
  <si>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</si>
  <si>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</si>
  <si>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</si>
  <si>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</si>
  <si>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</si>
  <si>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</si>
  <si>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</si>
  <si>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</si>
  <si>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</si>
  <si>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</si>
  <si>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</si>
  <si>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</si>
  <si>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</si>
  <si>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</si>
  <si>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</si>
  <si>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</si>
  <si>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</si>
  <si>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</si>
  <si>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</si>
  <si>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</si>
  <si>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</si>
  <si>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</si>
  <si>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</si>
  <si>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</si>
  <si>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</si>
  <si>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</si>
  <si>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</si>
  <si>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</si>
  <si>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</si>
  <si>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</si>
  <si>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</si>
  <si>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</si>
  <si>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</si>
  <si>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</si>
  <si>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</si>
  <si>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</si>
  <si>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</si>
  <si>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</si>
  <si>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</si>
  <si>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</si>
  <si>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</si>
  <si>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</si>
  <si>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</si>
  <si>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</si>
  <si>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</si>
  <si>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</si>
  <si>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</si>
  <si>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</si>
  <si>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</si>
  <si>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</si>
  <si>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</si>
  <si>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</si>
  <si>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</si>
  <si>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</si>
  <si>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</si>
  <si>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</si>
  <si>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</si>
  <si>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</si>
  <si>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</si>
  <si>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</si>
  <si>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</si>
  <si>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</si>
  <si>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</si>
  <si>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</si>
  <si>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</si>
  <si>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</si>
  <si>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</si>
  <si>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</si>
  <si>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</si>
  <si>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</si>
  <si>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</si>
  <si>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</si>
  <si>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</si>
  <si>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</si>
  <si>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</si>
  <si>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</si>
  <si>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</si>
  <si>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</si>
  <si>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</si>
  <si>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</si>
  <si>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</si>
  <si>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</si>
  <si>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</si>
  <si>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</si>
  <si>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</si>
  <si>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</si>
  <si>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</si>
  <si>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</si>
  <si>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</si>
  <si>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</si>
  <si>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</si>
  <si>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</si>
  <si>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</si>
  <si>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</si>
  <si>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</si>
  <si>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</si>
  <si>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</si>
  <si>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</si>
  <si>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</si>
  <si>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</si>
  <si>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</si>
  <si>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</si>
  <si>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</si>
  <si>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</si>
  <si>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</si>
  <si>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</si>
  <si>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</si>
  <si>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</si>
  <si>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</si>
  <si>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</si>
  <si>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</si>
  <si>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</si>
  <si>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</si>
  <si>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</si>
  <si>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</si>
  <si>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</si>
  <si>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</si>
  <si>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</si>
  <si>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</si>
  <si>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</si>
  <si>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</si>
  <si>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</si>
  <si>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</si>
  <si>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</si>
  <si>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</si>
  <si>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</si>
  <si>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</si>
  <si>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</si>
  <si>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</si>
  <si>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</si>
  <si>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</si>
  <si>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</si>
  <si>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</si>
  <si>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</si>
  <si>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</si>
  <si>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</si>
  <si>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</si>
  <si>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</si>
  <si>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</si>
  <si>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</si>
  <si>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</si>
  <si>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</si>
  <si>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</si>
  <si>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</si>
  <si>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</si>
  <si>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</si>
  <si>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</si>
  <si>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</si>
  <si>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</si>
  <si>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</si>
  <si>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</si>
  <si>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</si>
  <si>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</si>
  <si>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</si>
  <si>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</si>
  <si>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</si>
  <si>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</si>
  <si>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</si>
  <si>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</si>
  <si>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</si>
  <si>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</si>
  <si>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</si>
  <si>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</si>
  <si>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</si>
  <si>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</si>
  <si>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</si>
  <si>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</si>
  <si>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</si>
  <si>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</si>
  <si>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</si>
  <si>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</si>
  <si>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</si>
  <si>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</si>
  <si>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</si>
  <si>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</si>
  <si>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</si>
  <si>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</si>
  <si>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</si>
  <si>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</si>
  <si>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</si>
  <si>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</si>
  <si>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</si>
  <si>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</si>
  <si>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</si>
  <si>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</si>
  <si>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</si>
  <si>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</si>
  <si>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</si>
  <si>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</si>
  <si>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</si>
  <si>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</si>
  <si>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</si>
  <si>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</si>
  <si>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</si>
  <si>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</si>
  <si>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</si>
  <si>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</si>
  <si>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</si>
  <si>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</si>
  <si>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</si>
  <si>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</si>
  <si>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</si>
  <si>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</si>
  <si>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</si>
  <si>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</si>
  <si>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</si>
  <si>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</si>
  <si>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</si>
  <si>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</si>
  <si>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</si>
  <si>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</si>
  <si>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</si>
  <si>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</si>
  <si>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</si>
  <si>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</si>
  <si>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</si>
  <si>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</si>
  <si>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</si>
  <si>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</si>
  <si>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</si>
  <si>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</si>
  <si>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</si>
  <si>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</si>
  <si>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</si>
  <si>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</si>
  <si>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</si>
  <si>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</si>
  <si>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</si>
  <si>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</si>
  <si>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</si>
  <si>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</si>
  <si>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</si>
  <si>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</si>
  <si>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</si>
  <si>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</si>
  <si>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</si>
  <si>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</si>
  <si>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</si>
  <si>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</si>
  <si>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</si>
  <si>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</si>
  <si>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</si>
  <si>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</si>
  <si>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</si>
  <si>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</si>
  <si>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</si>
  <si>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</si>
  <si>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</si>
  <si>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</si>
  <si>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</si>
  <si>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</si>
  <si>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</si>
  <si>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</si>
  <si>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</si>
  <si>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</si>
  <si>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</si>
  <si>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</si>
  <si>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</si>
  <si>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</si>
  <si>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</si>
  <si>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</si>
  <si>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</si>
  <si>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</si>
  <si>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</si>
  <si>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</si>
  <si>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</si>
  <si>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</si>
  <si>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</si>
  <si>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</si>
  <si>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</si>
  <si>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</si>
  <si>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</si>
  <si>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</si>
  <si>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</si>
  <si>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</si>
  <si>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</si>
  <si>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</si>
  <si>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</si>
  <si>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</si>
  <si>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</si>
  <si>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</si>
  <si>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</si>
  <si>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</si>
  <si>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</si>
  <si>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</si>
  <si>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</si>
  <si>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</si>
  <si>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</si>
  <si>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</si>
  <si>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</si>
  <si>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</si>
  <si>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</si>
  <si>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</si>
  <si>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</si>
  <si>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</si>
  <si>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</si>
  <si>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</si>
  <si>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</si>
  <si>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</si>
  <si>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</si>
  <si>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</si>
  <si>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</si>
  <si>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</si>
  <si>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</si>
  <si>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</si>
  <si>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</si>
  <si>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</si>
  <si>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</si>
  <si>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</si>
  <si>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</si>
  <si>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</si>
  <si>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</si>
  <si>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</si>
  <si>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</si>
  <si>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</si>
  <si>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</si>
  <si>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</si>
  <si>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</si>
  <si>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</si>
  <si>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11037</t>
  </si>
  <si>
    <t>RUMST</t>
  </si>
  <si>
    <t>Paarden&amp;pony's 200 - 600 kg</t>
  </si>
  <si>
    <t>Paarden&amp;pony's &lt; 200 kg</t>
  </si>
  <si>
    <t>referentietaak LNE (2017); Jaarverslag De Lijn (2014)</t>
  </si>
  <si>
    <t>op basis van VEA (maart 2018) en Inventaris Hernieuwbare Energiebronnen (juni 2018)</t>
  </si>
  <si>
    <t>VEA (maart 2016)</t>
  </si>
  <si>
    <t>VEA (juni 2018)</t>
  </si>
  <si>
    <t>Nobis CVBA</t>
  </si>
  <si>
    <t>Herderstraat 13 B, 2840 Rumst</t>
  </si>
  <si>
    <t>WKK-0058 Nobis</t>
  </si>
  <si>
    <t>interne verbrandingsmotor</t>
  </si>
  <si>
    <t>WKK interne verbrandinsgmotor (gas)</t>
  </si>
  <si>
    <t>Herderstraat 138, 2840 Rumst</t>
  </si>
  <si>
    <t>IVEKA</t>
  </si>
  <si>
    <t>Lavalo bvba</t>
  </si>
  <si>
    <t>Hoveniersstraat 35, 2840 Rumst</t>
  </si>
  <si>
    <t>WKK-0059 Lavalo</t>
  </si>
  <si>
    <t>Pitoma bvba</t>
  </si>
  <si>
    <t>Morenhoevestraat 11, 2840 Reet</t>
  </si>
  <si>
    <t>WKK-0060 Pitoma</t>
  </si>
  <si>
    <t>Peetrima</t>
  </si>
  <si>
    <t>Slijkenhoefstraat 22, 2840 Rumst</t>
  </si>
  <si>
    <t>WKK-0061 Peetrima</t>
  </si>
  <si>
    <t>Frani bvba</t>
  </si>
  <si>
    <t>Morenhoekstraat 23, 2840 Rumst</t>
  </si>
  <si>
    <t xml:space="preserve">WKK-0077 Frani* </t>
  </si>
  <si>
    <t>Greenglass nv</t>
  </si>
  <si>
    <t>Morenhoekstraat 23 , 2840 Rumst</t>
  </si>
  <si>
    <t>WKK-0077 Frani</t>
  </si>
  <si>
    <t>De Weerdt-Rockele bvba</t>
  </si>
  <si>
    <t>Pierstraat 63 , 2840 Reet</t>
  </si>
  <si>
    <t>WKK-0139 De Weerdt-Rockele</t>
  </si>
  <si>
    <t>Witters bvba</t>
  </si>
  <si>
    <t>Slijkenhoefstraat 33 , 2840 Rumst</t>
  </si>
  <si>
    <t>WKK-0587 Witters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</si>
</sst>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100333.1369334308</c:v>
                </c:pt>
                <c:pt idx="1">
                  <c:v>80373.881938933759</c:v>
                </c:pt>
                <c:pt idx="2">
                  <c:v>1071.182</c:v>
                </c:pt>
                <c:pt idx="3">
                  <c:v>87860.390101276382</c:v>
                </c:pt>
                <c:pt idx="4">
                  <c:v>76895.937109382954</c:v>
                </c:pt>
                <c:pt idx="5">
                  <c:v>256365.23874181896</c:v>
                </c:pt>
                <c:pt idx="6">
                  <c:v>2202.7354374016895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24224"/>
        <c:axId val="181925760"/>
      </c:barChart>
      <c:catAx>
        <c:axId val="181924224"/>
        <c:scaling>
          <c:orientation val="minMax"/>
        </c:scaling>
        <c:axPos val="b"/>
        <c:numFmt formatCode="General" sourceLinked="0"/>
        <c:tickLblPos val="nextTo"/>
        <c:crossAx val="181925760"/>
        <c:crosses val="autoZero"/>
        <c:auto val="1"/>
        <c:lblAlgn val="ctr"/>
        <c:lblOffset val="100"/>
      </c:catAx>
      <c:valAx>
        <c:axId val="181925760"/>
        <c:scaling>
          <c:orientation val="minMax"/>
        </c:scaling>
        <c:axPos val="l"/>
        <c:majorGridlines/>
        <c:numFmt formatCode="#,##0" sourceLinked="1"/>
        <c:tickLblPos val="nextTo"/>
        <c:crossAx val="181924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100333.1369334308</c:v>
                </c:pt>
                <c:pt idx="1">
                  <c:v>80373.881938933759</c:v>
                </c:pt>
                <c:pt idx="2">
                  <c:v>1071.182</c:v>
                </c:pt>
                <c:pt idx="3">
                  <c:v>87860.390101276382</c:v>
                </c:pt>
                <c:pt idx="4">
                  <c:v>76895.937109382954</c:v>
                </c:pt>
                <c:pt idx="5">
                  <c:v>256365.23874181896</c:v>
                </c:pt>
                <c:pt idx="6">
                  <c:v>2202.7354374016895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19873.083781506713</c:v>
                </c:pt>
                <c:pt idx="2">
                  <c:v>15107.610018418814</c:v>
                </c:pt>
                <c:pt idx="3">
                  <c:v>238.36593182227438</c:v>
                </c:pt>
                <c:pt idx="4">
                  <c:v>20986.680987446467</c:v>
                </c:pt>
                <c:pt idx="5">
                  <c:v>15588.644767348751</c:v>
                </c:pt>
                <c:pt idx="6">
                  <c:v>64288.884290109003</c:v>
                </c:pt>
                <c:pt idx="7">
                  <c:v>556.40046524812635</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54688"/>
      </c:barChart>
      <c:catAx>
        <c:axId val="182316032"/>
        <c:scaling>
          <c:orientation val="minMax"/>
        </c:scaling>
        <c:axPos val="b"/>
        <c:numFmt formatCode="General" sourceLinked="0"/>
        <c:tickLblPos val="nextTo"/>
        <c:crossAx val="182354688"/>
        <c:crosses val="autoZero"/>
        <c:auto val="1"/>
        <c:lblAlgn val="ctr"/>
        <c:lblOffset val="100"/>
      </c:catAx>
      <c:valAx>
        <c:axId val="182354688"/>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19873.083781506713</c:v>
                </c:pt>
                <c:pt idx="2">
                  <c:v>15107.610018418814</c:v>
                </c:pt>
                <c:pt idx="3">
                  <c:v>238.36593182227438</c:v>
                </c:pt>
                <c:pt idx="4">
                  <c:v>20986.680987446467</c:v>
                </c:pt>
                <c:pt idx="5">
                  <c:v>15588.644767348751</c:v>
                </c:pt>
                <c:pt idx="6">
                  <c:v>64288.884290109003</c:v>
                </c:pt>
                <c:pt idx="7">
                  <c:v>556.40046524812635</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11037</v>
      </c>
      <c r="B6" s="416"/>
      <c r="C6" s="417"/>
    </row>
    <row r="7" spans="1:7" s="414" customFormat="1" ht="15.75" customHeight="1">
      <c r="A7" s="418" t="str">
        <f>txtMunicipality</f>
        <v>RUMST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0.22252608036941843</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0.22252608036941843</v>
      </c>
      <c r="C29" s="526">
        <f ca="1">'EF ele_warmte'!B22</f>
        <v>0.23764705882352946</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11037</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6066</v>
      </c>
      <c r="C9" s="342">
        <v>6186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606</v>
      </c>
    </row>
    <row r="15" spans="1:6">
      <c r="A15" s="348" t="s">
        <v>184</v>
      </c>
      <c r="B15" s="334">
        <v>8</v>
      </c>
    </row>
    <row r="16" spans="1:6">
      <c r="A16" s="348" t="s">
        <v>6</v>
      </c>
      <c r="B16" s="334">
        <v>666</v>
      </c>
    </row>
    <row r="17" spans="1:6">
      <c r="A17" s="348" t="s">
        <v>7</v>
      </c>
      <c r="B17" s="334">
        <v>39</v>
      </c>
    </row>
    <row r="18" spans="1:6">
      <c r="A18" s="348" t="s">
        <v>8</v>
      </c>
      <c r="B18" s="334">
        <v>404</v>
      </c>
    </row>
    <row r="19" spans="1:6">
      <c r="A19" s="348" t="s">
        <v>9</v>
      </c>
      <c r="B19" s="334">
        <v>352</v>
      </c>
    </row>
    <row r="20" spans="1:6">
      <c r="A20" s="348" t="s">
        <v>10</v>
      </c>
      <c r="B20" s="334">
        <v>153</v>
      </c>
    </row>
    <row r="21" spans="1:6">
      <c r="A21" s="348" t="s">
        <v>11</v>
      </c>
      <c r="B21" s="334">
        <v>0</v>
      </c>
    </row>
    <row r="22" spans="1:6">
      <c r="A22" s="348" t="s">
        <v>12</v>
      </c>
      <c r="B22" s="334">
        <v>399</v>
      </c>
    </row>
    <row r="23" spans="1:6">
      <c r="A23" s="348" t="s">
        <v>13</v>
      </c>
      <c r="B23" s="334">
        <v>0</v>
      </c>
    </row>
    <row r="24" spans="1:6">
      <c r="A24" s="348" t="s">
        <v>14</v>
      </c>
      <c r="B24" s="334">
        <v>0</v>
      </c>
    </row>
    <row r="25" spans="1:6">
      <c r="A25" s="348" t="s">
        <v>15</v>
      </c>
      <c r="B25" s="334">
        <v>0</v>
      </c>
    </row>
    <row r="26" spans="1:6">
      <c r="A26" s="348" t="s">
        <v>16</v>
      </c>
      <c r="B26" s="334">
        <v>9</v>
      </c>
    </row>
    <row r="27" spans="1:6">
      <c r="A27" s="348" t="s">
        <v>17</v>
      </c>
      <c r="B27" s="334">
        <v>7</v>
      </c>
    </row>
    <row r="28" spans="1:6" s="356" customFormat="1">
      <c r="A28" s="355" t="s">
        <v>18</v>
      </c>
      <c r="B28" s="355">
        <v>65653</v>
      </c>
    </row>
    <row r="29" spans="1:6">
      <c r="A29" s="355" t="s">
        <v>901</v>
      </c>
      <c r="B29" s="355">
        <v>12</v>
      </c>
      <c r="C29" s="356"/>
      <c r="D29" s="356"/>
      <c r="E29" s="356"/>
      <c r="F29" s="356"/>
    </row>
    <row r="30" spans="1:6">
      <c r="A30" s="341" t="s">
        <v>902</v>
      </c>
      <c r="B30" s="341">
        <v>5</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8558.6129999999994</v>
      </c>
    </row>
    <row r="37" spans="1:6">
      <c r="A37" s="348" t="s">
        <v>25</v>
      </c>
      <c r="B37" s="348" t="s">
        <v>28</v>
      </c>
      <c r="C37" s="334">
        <v>0</v>
      </c>
      <c r="D37" s="334">
        <v>0</v>
      </c>
      <c r="E37" s="334">
        <v>0</v>
      </c>
      <c r="F37" s="334">
        <v>0</v>
      </c>
    </row>
    <row r="38" spans="1:6">
      <c r="A38" s="348" t="s">
        <v>25</v>
      </c>
      <c r="B38" s="348" t="s">
        <v>29</v>
      </c>
      <c r="C38" s="334">
        <v>1</v>
      </c>
      <c r="D38" s="334">
        <v>21910699.579599999</v>
      </c>
      <c r="E38" s="334">
        <v>1</v>
      </c>
      <c r="F38" s="334">
        <v>157724</v>
      </c>
    </row>
    <row r="39" spans="1:6">
      <c r="A39" s="348" t="s">
        <v>30</v>
      </c>
      <c r="B39" s="348" t="s">
        <v>31</v>
      </c>
      <c r="C39" s="334">
        <v>4691</v>
      </c>
      <c r="D39" s="334">
        <v>73490167.001772597</v>
      </c>
      <c r="E39" s="334">
        <v>5993</v>
      </c>
      <c r="F39" s="334">
        <v>26262056</v>
      </c>
    </row>
    <row r="40" spans="1:6">
      <c r="A40" s="348" t="s">
        <v>30</v>
      </c>
      <c r="B40" s="348" t="s">
        <v>29</v>
      </c>
      <c r="C40" s="334">
        <v>1</v>
      </c>
      <c r="D40" s="334">
        <v>58972</v>
      </c>
      <c r="E40" s="334">
        <v>0</v>
      </c>
      <c r="F40" s="334">
        <v>0</v>
      </c>
    </row>
    <row r="41" spans="1:6">
      <c r="A41" s="348" t="s">
        <v>32</v>
      </c>
      <c r="B41" s="348" t="s">
        <v>33</v>
      </c>
      <c r="C41" s="334">
        <v>53</v>
      </c>
      <c r="D41" s="334">
        <v>1353709.4460088899</v>
      </c>
      <c r="E41" s="334">
        <v>112</v>
      </c>
      <c r="F41" s="334">
        <v>1720537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9</v>
      </c>
      <c r="F44" s="334">
        <v>95036.61</v>
      </c>
    </row>
    <row r="45" spans="1:6">
      <c r="A45" s="348" t="s">
        <v>32</v>
      </c>
      <c r="B45" s="348" t="s">
        <v>37</v>
      </c>
      <c r="C45" s="334">
        <v>0</v>
      </c>
      <c r="D45" s="334">
        <v>0</v>
      </c>
      <c r="E45" s="334">
        <v>4</v>
      </c>
      <c r="F45" s="334">
        <v>1239282</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18</v>
      </c>
      <c r="D48" s="334">
        <v>55469262.121737301</v>
      </c>
      <c r="E48" s="334">
        <v>34</v>
      </c>
      <c r="F48" s="334">
        <v>12831572</v>
      </c>
    </row>
    <row r="49" spans="1:6">
      <c r="A49" s="348" t="s">
        <v>32</v>
      </c>
      <c r="B49" s="348" t="s">
        <v>40</v>
      </c>
      <c r="C49" s="334">
        <v>0</v>
      </c>
      <c r="D49" s="334">
        <v>0</v>
      </c>
      <c r="E49" s="334">
        <v>0</v>
      </c>
      <c r="F49" s="334">
        <v>0</v>
      </c>
    </row>
    <row r="50" spans="1:6">
      <c r="A50" s="348" t="s">
        <v>32</v>
      </c>
      <c r="B50" s="348" t="s">
        <v>41</v>
      </c>
      <c r="C50" s="334">
        <v>7</v>
      </c>
      <c r="D50" s="334">
        <v>435747.08473529603</v>
      </c>
      <c r="E50" s="334">
        <v>12</v>
      </c>
      <c r="F50" s="334">
        <v>247772.5</v>
      </c>
    </row>
    <row r="51" spans="1:6">
      <c r="A51" s="348" t="s">
        <v>42</v>
      </c>
      <c r="B51" s="348" t="s">
        <v>43</v>
      </c>
      <c r="C51" s="334">
        <v>10</v>
      </c>
      <c r="D51" s="334">
        <v>95329011.054475904</v>
      </c>
      <c r="E51" s="334">
        <v>54</v>
      </c>
      <c r="F51" s="334">
        <v>1146900</v>
      </c>
    </row>
    <row r="52" spans="1:6">
      <c r="A52" s="348" t="s">
        <v>42</v>
      </c>
      <c r="B52" s="348" t="s">
        <v>29</v>
      </c>
      <c r="C52" s="334">
        <v>6</v>
      </c>
      <c r="D52" s="334">
        <v>27382673.936204299</v>
      </c>
      <c r="E52" s="334">
        <v>7</v>
      </c>
      <c r="F52" s="334">
        <v>239973.4</v>
      </c>
    </row>
    <row r="53" spans="1:6">
      <c r="A53" s="348" t="s">
        <v>44</v>
      </c>
      <c r="B53" s="348" t="s">
        <v>45</v>
      </c>
      <c r="C53" s="334">
        <v>91</v>
      </c>
      <c r="D53" s="334">
        <v>2702878.6978877801</v>
      </c>
      <c r="E53" s="334">
        <v>190</v>
      </c>
      <c r="F53" s="334">
        <v>972006.9</v>
      </c>
    </row>
    <row r="54" spans="1:6">
      <c r="A54" s="348" t="s">
        <v>46</v>
      </c>
      <c r="B54" s="348" t="s">
        <v>47</v>
      </c>
      <c r="C54" s="334">
        <v>0</v>
      </c>
      <c r="D54" s="334">
        <v>0</v>
      </c>
      <c r="E54" s="334">
        <v>1</v>
      </c>
      <c r="F54" s="334">
        <v>1071182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665256.65042638697</v>
      </c>
      <c r="E57" s="334">
        <v>44</v>
      </c>
      <c r="F57" s="334">
        <v>15468448</v>
      </c>
    </row>
    <row r="58" spans="1:6">
      <c r="A58" s="348" t="s">
        <v>49</v>
      </c>
      <c r="B58" s="348" t="s">
        <v>51</v>
      </c>
      <c r="C58" s="334">
        <v>14</v>
      </c>
      <c r="D58" s="334">
        <v>340915.49597341102</v>
      </c>
      <c r="E58" s="334">
        <v>31</v>
      </c>
      <c r="F58" s="334">
        <v>970373.4</v>
      </c>
    </row>
    <row r="59" spans="1:6">
      <c r="A59" s="348" t="s">
        <v>49</v>
      </c>
      <c r="B59" s="348" t="s">
        <v>52</v>
      </c>
      <c r="C59" s="334">
        <v>47</v>
      </c>
      <c r="D59" s="334">
        <v>5719390.3799748002</v>
      </c>
      <c r="E59" s="334">
        <v>109</v>
      </c>
      <c r="F59" s="334">
        <v>7377953</v>
      </c>
    </row>
    <row r="60" spans="1:6">
      <c r="A60" s="348" t="s">
        <v>49</v>
      </c>
      <c r="B60" s="348" t="s">
        <v>53</v>
      </c>
      <c r="C60" s="334">
        <v>43</v>
      </c>
      <c r="D60" s="334">
        <v>1764511.4929156499</v>
      </c>
      <c r="E60" s="334">
        <v>56</v>
      </c>
      <c r="F60" s="334">
        <v>1421693</v>
      </c>
    </row>
    <row r="61" spans="1:6">
      <c r="A61" s="348" t="s">
        <v>49</v>
      </c>
      <c r="B61" s="348" t="s">
        <v>54</v>
      </c>
      <c r="C61" s="334">
        <v>134</v>
      </c>
      <c r="D61" s="334">
        <v>5083899.6233818503</v>
      </c>
      <c r="E61" s="334">
        <v>292</v>
      </c>
      <c r="F61" s="334">
        <v>4876105</v>
      </c>
    </row>
    <row r="62" spans="1:6">
      <c r="A62" s="348" t="s">
        <v>49</v>
      </c>
      <c r="B62" s="348" t="s">
        <v>55</v>
      </c>
      <c r="C62" s="334">
        <v>7</v>
      </c>
      <c r="D62" s="334">
        <v>597499.33175413299</v>
      </c>
      <c r="E62" s="334">
        <v>13</v>
      </c>
      <c r="F62" s="334">
        <v>166314.20000000001</v>
      </c>
    </row>
    <row r="63" spans="1:6">
      <c r="A63" s="348" t="s">
        <v>49</v>
      </c>
      <c r="B63" s="348" t="s">
        <v>29</v>
      </c>
      <c r="C63" s="334">
        <v>100</v>
      </c>
      <c r="D63" s="334">
        <v>10603376.4489225</v>
      </c>
      <c r="E63" s="334">
        <v>99</v>
      </c>
      <c r="F63" s="334">
        <v>8936715</v>
      </c>
    </row>
    <row r="64" spans="1:6">
      <c r="A64" s="348" t="s">
        <v>56</v>
      </c>
      <c r="B64" s="348" t="s">
        <v>57</v>
      </c>
      <c r="C64" s="334">
        <v>0</v>
      </c>
      <c r="D64" s="334">
        <v>0</v>
      </c>
      <c r="E64" s="334">
        <v>0</v>
      </c>
      <c r="F64" s="334">
        <v>0</v>
      </c>
    </row>
    <row r="65" spans="1:6">
      <c r="A65" s="348" t="s">
        <v>56</v>
      </c>
      <c r="B65" s="348" t="s">
        <v>29</v>
      </c>
      <c r="C65" s="334">
        <v>1</v>
      </c>
      <c r="D65" s="334">
        <v>18177.1356737147</v>
      </c>
      <c r="E65" s="334">
        <v>0</v>
      </c>
      <c r="F65" s="334">
        <v>0</v>
      </c>
    </row>
    <row r="66" spans="1:6">
      <c r="A66" s="348" t="s">
        <v>56</v>
      </c>
      <c r="B66" s="348" t="s">
        <v>58</v>
      </c>
      <c r="C66" s="334">
        <v>0</v>
      </c>
      <c r="D66" s="334">
        <v>0</v>
      </c>
      <c r="E66" s="334">
        <v>9</v>
      </c>
      <c r="F66" s="334">
        <v>424444.1</v>
      </c>
    </row>
    <row r="67" spans="1:6">
      <c r="A67" s="355" t="s">
        <v>56</v>
      </c>
      <c r="B67" s="355" t="s">
        <v>59</v>
      </c>
      <c r="C67" s="334">
        <v>0</v>
      </c>
      <c r="D67" s="334">
        <v>0</v>
      </c>
      <c r="E67" s="334">
        <v>0</v>
      </c>
      <c r="F67" s="334">
        <v>0</v>
      </c>
    </row>
    <row r="68" spans="1:6">
      <c r="A68" s="341" t="s">
        <v>56</v>
      </c>
      <c r="B68" s="341" t="s">
        <v>60</v>
      </c>
      <c r="C68" s="334">
        <v>3</v>
      </c>
      <c r="D68" s="334">
        <v>73716.669244937701</v>
      </c>
      <c r="E68" s="334">
        <v>13</v>
      </c>
      <c r="F68" s="334">
        <v>334638.59999999998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116012325</v>
      </c>
      <c r="E73" s="476">
        <v>132547701.27857608</v>
      </c>
    </row>
    <row r="74" spans="1:6">
      <c r="A74" s="348" t="s">
        <v>64</v>
      </c>
      <c r="B74" s="348" t="s">
        <v>714</v>
      </c>
      <c r="C74" s="1311" t="s">
        <v>716</v>
      </c>
      <c r="D74" s="476">
        <v>12651686.25090719</v>
      </c>
      <c r="E74" s="476">
        <v>13627021.635729669</v>
      </c>
    </row>
    <row r="75" spans="1:6">
      <c r="A75" s="348" t="s">
        <v>65</v>
      </c>
      <c r="B75" s="348" t="s">
        <v>713</v>
      </c>
      <c r="C75" s="1311" t="s">
        <v>717</v>
      </c>
      <c r="D75" s="476">
        <v>8325044</v>
      </c>
      <c r="E75" s="476">
        <v>9252612.3050932046</v>
      </c>
    </row>
    <row r="76" spans="1:6">
      <c r="A76" s="348" t="s">
        <v>65</v>
      </c>
      <c r="B76" s="348" t="s">
        <v>714</v>
      </c>
      <c r="C76" s="1311" t="s">
        <v>718</v>
      </c>
      <c r="D76" s="476">
        <v>13025.2</v>
      </c>
      <c r="E76" s="476">
        <v>13706.277801699227</v>
      </c>
    </row>
    <row r="77" spans="1:6">
      <c r="A77" s="348" t="s">
        <v>66</v>
      </c>
      <c r="B77" s="348" t="s">
        <v>713</v>
      </c>
      <c r="C77" s="1311" t="s">
        <v>719</v>
      </c>
      <c r="D77" s="476">
        <v>148368260</v>
      </c>
      <c r="E77" s="476">
        <v>162326962.87342253</v>
      </c>
    </row>
    <row r="78" spans="1:6">
      <c r="A78" s="341" t="s">
        <v>66</v>
      </c>
      <c r="B78" s="341" t="s">
        <v>714</v>
      </c>
      <c r="C78" s="341" t="s">
        <v>720</v>
      </c>
      <c r="D78" s="1307">
        <v>17873854</v>
      </c>
      <c r="E78" s="1307">
        <v>19069666.219598666</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588623.49818561866</v>
      </c>
      <c r="C83" s="476">
        <v>581954.34480366751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2085.6534891252027</v>
      </c>
    </row>
    <row r="92" spans="1:6">
      <c r="A92" s="341" t="s">
        <v>69</v>
      </c>
      <c r="B92" s="342">
        <v>1674.5986856549309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3577</v>
      </c>
    </row>
    <row r="98" spans="1:6">
      <c r="A98" s="348" t="s">
        <v>72</v>
      </c>
      <c r="B98" s="334">
        <v>8</v>
      </c>
    </row>
    <row r="99" spans="1:6">
      <c r="A99" s="348" t="s">
        <v>73</v>
      </c>
      <c r="B99" s="334">
        <v>24</v>
      </c>
    </row>
    <row r="100" spans="1:6">
      <c r="A100" s="348" t="s">
        <v>74</v>
      </c>
      <c r="B100" s="334">
        <v>607</v>
      </c>
    </row>
    <row r="101" spans="1:6">
      <c r="A101" s="348" t="s">
        <v>75</v>
      </c>
      <c r="B101" s="334">
        <v>38</v>
      </c>
    </row>
    <row r="102" spans="1:6">
      <c r="A102" s="348" t="s">
        <v>76</v>
      </c>
      <c r="B102" s="334">
        <v>92</v>
      </c>
    </row>
    <row r="103" spans="1:6">
      <c r="A103" s="348" t="s">
        <v>77</v>
      </c>
      <c r="B103" s="334">
        <v>96</v>
      </c>
    </row>
    <row r="104" spans="1:6">
      <c r="A104" s="348" t="s">
        <v>78</v>
      </c>
      <c r="B104" s="334">
        <v>1007</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8</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72</v>
      </c>
    </row>
    <row r="130" spans="1:6">
      <c r="A130" s="348" t="s">
        <v>295</v>
      </c>
      <c r="B130" s="334">
        <v>0</v>
      </c>
    </row>
    <row r="131" spans="1:6">
      <c r="A131" s="348" t="s">
        <v>296</v>
      </c>
      <c r="B131" s="334">
        <v>0</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87166.948765802197</v>
      </c>
      <c r="C3" s="43" t="s">
        <v>170</v>
      </c>
      <c r="D3" s="43"/>
      <c r="E3" s="154"/>
      <c r="F3" s="43"/>
      <c r="G3" s="43"/>
      <c r="H3" s="43"/>
      <c r="I3" s="43"/>
      <c r="J3" s="43"/>
      <c r="K3" s="96"/>
    </row>
    <row r="4" spans="1:11">
      <c r="A4" s="384" t="s">
        <v>171</v>
      </c>
      <c r="B4" s="49">
        <f>IF(ISERROR('SEAP template'!B78+'SEAP template'!C78),0,'SEAP template'!B78+'SEAP template'!C78)</f>
        <v>61670.752174780137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13762.26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0.22252608036941843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19660.371428571434</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82729.285714285725</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0.23764705882352946</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1071.182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1071.182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0.22252608036941843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238.36593182227438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26262.056</v>
      </c>
      <c r="C5" s="17">
        <f>IF(ISERROR('Eigen informatie GS &amp; warmtenet'!B57),0,'Eigen informatie GS &amp; warmtenet'!B57)</f>
        <v>0</v>
      </c>
      <c r="D5" s="30">
        <f>(SUM(HH_hh_gas_kWh,HH_rest_gas_kWh)/1000)*0.902</f>
        <v>66341.323379598878</v>
      </c>
      <c r="E5" s="17">
        <f>B46*B57</f>
        <v>722.60695489752766</v>
      </c>
      <c r="F5" s="17">
        <f>B51*B62</f>
        <v>0</v>
      </c>
      <c r="G5" s="18"/>
      <c r="H5" s="17"/>
      <c r="I5" s="17"/>
      <c r="J5" s="17">
        <f>B50*B61+C50*C61</f>
        <v>0</v>
      </c>
      <c r="K5" s="17"/>
      <c r="L5" s="17"/>
      <c r="M5" s="17"/>
      <c r="N5" s="17">
        <f>B48*B59+C48*C59</f>
        <v>4338.8304431425167</v>
      </c>
      <c r="O5" s="17">
        <f>B69*B70*B71</f>
        <v>125.06666666666666</v>
      </c>
      <c r="P5" s="17">
        <f>B77*B78*B79/1000-B77*B78*B79/1000/B80</f>
        <v>457.6</v>
      </c>
    </row>
    <row r="6" spans="1:16">
      <c r="A6" s="16" t="s">
        <v>631</v>
      </c>
      <c r="B6" s="789">
        <f>kWh_PV_kleiner_dan_10kW</f>
        <v>2085.6534891252027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28347.709489125202</v>
      </c>
      <c r="C8" s="21">
        <f>C5</f>
        <v>0</v>
      </c>
      <c r="D8" s="21">
        <f>D5</f>
        <v>66341.323379598878</v>
      </c>
      <c r="E8" s="21">
        <f>E5</f>
        <v>722.60695489752766</v>
      </c>
      <c r="F8" s="21">
        <f>F5</f>
        <v>0</v>
      </c>
      <c r="G8" s="21"/>
      <c r="H8" s="21"/>
      <c r="I8" s="21"/>
      <c r="J8" s="21">
        <f>J5</f>
        <v>0</v>
      </c>
      <c r="K8" s="21"/>
      <c r="L8" s="21">
        <f>L5</f>
        <v>0</v>
      </c>
      <c r="M8" s="21">
        <f>M5</f>
        <v>0</v>
      </c>
      <c r="N8" s="21">
        <f>N5</f>
        <v>4338.8304431425167</v>
      </c>
      <c r="O8" s="21">
        <f>O5</f>
        <v>125.06666666666666</v>
      </c>
      <c r="P8" s="21">
        <f>P5</f>
        <v>457.6</v>
      </c>
    </row>
    <row r="9" spans="1:16">
      <c r="B9" s="19"/>
      <c r="C9" s="19"/>
      <c r="D9" s="258"/>
      <c r="E9" s="19"/>
      <c r="F9" s="19"/>
      <c r="G9" s="19"/>
      <c r="H9" s="19"/>
      <c r="I9" s="19"/>
      <c r="J9" s="19"/>
      <c r="K9" s="19"/>
      <c r="L9" s="19"/>
      <c r="M9" s="19"/>
      <c r="N9" s="19"/>
      <c r="O9" s="19"/>
      <c r="P9" s="19"/>
    </row>
    <row r="10" spans="1:16">
      <c r="A10" s="24" t="s">
        <v>214</v>
      </c>
      <c r="B10" s="25">
        <f ca="1">'EF ele_warmte'!B12</f>
        <v>0.22252608036941843</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6308.1046800659997</v>
      </c>
      <c r="C12" s="23">
        <f ca="1">C10*C8</f>
        <v>0</v>
      </c>
      <c r="D12" s="23">
        <f>D8*D10</f>
        <v>13400.947322678974</v>
      </c>
      <c r="E12" s="23">
        <f>E10*E8</f>
        <v>164.03177876173879</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3577</v>
      </c>
      <c r="C18" s="166" t="s">
        <v>111</v>
      </c>
      <c r="D18" s="228"/>
      <c r="E18" s="15"/>
    </row>
    <row r="19" spans="1:7">
      <c r="A19" s="171" t="s">
        <v>72</v>
      </c>
      <c r="B19" s="37">
        <f>aantalw2001_ander</f>
        <v>8</v>
      </c>
      <c r="C19" s="166" t="s">
        <v>111</v>
      </c>
      <c r="D19" s="229"/>
      <c r="E19" s="15"/>
    </row>
    <row r="20" spans="1:7">
      <c r="A20" s="171" t="s">
        <v>73</v>
      </c>
      <c r="B20" s="37">
        <f>aantalw2001_propaan</f>
        <v>24</v>
      </c>
      <c r="C20" s="167">
        <f>IF(ISERROR(B20/SUM($B$20,$B$21,$B$22)*100),0,B20/SUM($B$20,$B$21,$B$22)*100)</f>
        <v>3.5874439461883409</v>
      </c>
      <c r="D20" s="229"/>
      <c r="E20" s="15"/>
    </row>
    <row r="21" spans="1:7">
      <c r="A21" s="171" t="s">
        <v>74</v>
      </c>
      <c r="B21" s="37">
        <f>aantalw2001_elektriciteit</f>
        <v>607</v>
      </c>
      <c r="C21" s="167">
        <f>IF(ISERROR(B21/SUM($B$20,$B$21,$B$22)*100),0,B21/SUM($B$20,$B$21,$B$22)*100)</f>
        <v>90.732436472346791</v>
      </c>
      <c r="D21" s="229"/>
      <c r="E21" s="15"/>
    </row>
    <row r="22" spans="1:7">
      <c r="A22" s="171" t="s">
        <v>75</v>
      </c>
      <c r="B22" s="37">
        <f>aantalw2001_hout</f>
        <v>38</v>
      </c>
      <c r="C22" s="167">
        <f>IF(ISERROR(B22/SUM($B$20,$B$21,$B$22)*100),0,B22/SUM($B$20,$B$21,$B$22)*100)</f>
        <v>5.6801195814648731</v>
      </c>
      <c r="D22" s="229"/>
      <c r="E22" s="15"/>
    </row>
    <row r="23" spans="1:7">
      <c r="A23" s="171" t="s">
        <v>76</v>
      </c>
      <c r="B23" s="37">
        <f>aantalw2001_niet_gespec</f>
        <v>92</v>
      </c>
      <c r="C23" s="166" t="s">
        <v>111</v>
      </c>
      <c r="D23" s="228"/>
      <c r="E23" s="15"/>
    </row>
    <row r="24" spans="1:7">
      <c r="A24" s="171" t="s">
        <v>77</v>
      </c>
      <c r="B24" s="37">
        <f>aantalw2001_steenkool</f>
        <v>96</v>
      </c>
      <c r="C24" s="166" t="s">
        <v>111</v>
      </c>
      <c r="D24" s="229"/>
      <c r="E24" s="15"/>
    </row>
    <row r="25" spans="1:7">
      <c r="A25" s="171" t="s">
        <v>78</v>
      </c>
      <c r="B25" s="37">
        <f>aantalw2001_stookolie</f>
        <v>1007</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6066</v>
      </c>
      <c r="C28" s="36"/>
      <c r="D28" s="228"/>
    </row>
    <row r="29" spans="1:7" s="15" customFormat="1">
      <c r="A29" s="230" t="s">
        <v>741</v>
      </c>
      <c r="B29" s="37">
        <f>SUM(HH_hh_gas_aantal,HH_rest_gas_aantal)</f>
        <v>4692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4692</v>
      </c>
      <c r="C32" s="167">
        <f>IF(ISERROR(B32/SUM($B$32,$B$34,$B$35,$B$36,$B$38,$B$39)*100),0,B32/SUM($B$32,$B$34,$B$35,$B$36,$B$38,$B$39)*100)</f>
        <v>77.656405163853037</v>
      </c>
      <c r="D32" s="233"/>
      <c r="G32" s="15"/>
    </row>
    <row r="33" spans="1:7">
      <c r="A33" s="171" t="s">
        <v>72</v>
      </c>
      <c r="B33" s="34" t="s">
        <v>111</v>
      </c>
      <c r="C33" s="167"/>
      <c r="D33" s="233"/>
      <c r="G33" s="15"/>
    </row>
    <row r="34" spans="1:7">
      <c r="A34" s="171" t="s">
        <v>73</v>
      </c>
      <c r="B34" s="33">
        <f>IF((($B$28-$B$32-$B$39-$B$77-$B$38)*C20/100)&lt;0,0,($B$28-$B$32-$B$39-$B$77-$B$38)*C20/100)</f>
        <v>48.430493273542609</v>
      </c>
      <c r="C34" s="167">
        <f>IF(ISERROR(B34/SUM($B$32,$B$34,$B$35,$B$36,$B$38,$B$39)*100),0,B34/SUM($B$32,$B$34,$B$35,$B$36,$B$38,$B$39)*100)</f>
        <v>0.8015639403102055</v>
      </c>
      <c r="D34" s="233"/>
      <c r="G34" s="15"/>
    </row>
    <row r="35" spans="1:7">
      <c r="A35" s="171" t="s">
        <v>74</v>
      </c>
      <c r="B35" s="33">
        <f>IF((($B$28-$B$32-$B$39-$B$77-$B$38)*C21/100)&lt;0,0,($B$28-$B$32-$B$39-$B$77-$B$38)*C21/100)</f>
        <v>1224.8878923766817</v>
      </c>
      <c r="C35" s="167">
        <f>IF(ISERROR(B35/SUM($B$32,$B$34,$B$35,$B$36,$B$38,$B$39)*100),0,B35/SUM($B$32,$B$34,$B$35,$B$36,$B$38,$B$39)*100)</f>
        <v>20.272887990345613</v>
      </c>
      <c r="D35" s="233"/>
      <c r="G35" s="15"/>
    </row>
    <row r="36" spans="1:7">
      <c r="A36" s="171" t="s">
        <v>75</v>
      </c>
      <c r="B36" s="33">
        <f>IF((($B$28-$B$32-$B$39-$B$77-$B$38)*C22/100)&lt;0,0,($B$28-$B$32-$B$39-$B$77-$B$38)*C22/100)</f>
        <v>76.681614349775785</v>
      </c>
      <c r="C36" s="167">
        <f>IF(ISERROR(B36/SUM($B$32,$B$34,$B$35,$B$36,$B$38,$B$39)*100),0,B36/SUM($B$32,$B$34,$B$35,$B$36,$B$38,$B$39)*100)</f>
        <v>1.2691429054911585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4692</v>
      </c>
      <c r="C44" s="34" t="s">
        <v>111</v>
      </c>
      <c r="D44" s="174"/>
    </row>
    <row r="45" spans="1:7">
      <c r="A45" s="171" t="s">
        <v>72</v>
      </c>
      <c r="B45" s="33" t="str">
        <f t="shared" si="0"/>
        <v>-</v>
      </c>
      <c r="C45" s="34" t="s">
        <v>111</v>
      </c>
      <c r="D45" s="174"/>
    </row>
    <row r="46" spans="1:7">
      <c r="A46" s="171" t="s">
        <v>73</v>
      </c>
      <c r="B46" s="33">
        <f t="shared" si="0"/>
        <v>48.430493273542609</v>
      </c>
      <c r="C46" s="34" t="s">
        <v>111</v>
      </c>
      <c r="D46" s="174"/>
    </row>
    <row r="47" spans="1:7">
      <c r="A47" s="171" t="s">
        <v>74</v>
      </c>
      <c r="B47" s="33">
        <f t="shared" si="0"/>
        <v>1224.8878923766817</v>
      </c>
      <c r="C47" s="34" t="s">
        <v>111</v>
      </c>
      <c r="D47" s="174"/>
    </row>
    <row r="48" spans="1:7">
      <c r="A48" s="171" t="s">
        <v>75</v>
      </c>
      <c r="B48" s="33">
        <f t="shared" si="0"/>
        <v>76.681614349775785</v>
      </c>
      <c r="C48" s="33">
        <f>B48*10</f>
        <v>766.81614349775782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80</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39217.601600000002</v>
      </c>
      <c r="C5" s="17">
        <f>IF(ISERROR('Eigen informatie GS &amp; warmtenet'!B58),0,'Eigen informatie GS &amp; warmtenet'!B58)</f>
        <v>0</v>
      </c>
      <c r="D5" s="30">
        <f>SUM(D6:D12)</f>
        <v>22346.914179860556</v>
      </c>
      <c r="E5" s="17">
        <f>SUM(E6:E12)</f>
        <v>287.74766296735896</v>
      </c>
      <c r="F5" s="17">
        <f>SUM(F6:F12)</f>
        <v>6746.3500713706253</v>
      </c>
      <c r="G5" s="18"/>
      <c r="H5" s="17"/>
      <c r="I5" s="17"/>
      <c r="J5" s="17">
        <f>SUM(J6:J12)</f>
        <v>0</v>
      </c>
      <c r="K5" s="17"/>
      <c r="L5" s="17"/>
      <c r="M5" s="17"/>
      <c r="N5" s="17">
        <f>SUM(N6:N12)</f>
        <v>11775.268424735214</v>
      </c>
      <c r="O5" s="17">
        <f>B38*B39*B40</f>
        <v>0</v>
      </c>
      <c r="P5" s="17">
        <f>B46*B47*B48/1000-B46*B47*B48/1000/B49</f>
        <v>0</v>
      </c>
      <c r="R5" s="32"/>
    </row>
    <row r="6" spans="1:18">
      <c r="A6" s="32" t="s">
        <v>54</v>
      </c>
      <c r="B6" s="37">
        <f>B26</f>
        <v>4876.1049999999996</v>
      </c>
      <c r="C6" s="33"/>
      <c r="D6" s="37">
        <f>IF(ISERROR(TER_kantoor_gas_kWh/1000),0,TER_kantoor_gas_kWh/1000)*0.902</f>
        <v>4585.6774602904297</v>
      </c>
      <c r="E6" s="33">
        <f>$C$26*'E Balans VL '!I12/100/3.6*1000000</f>
        <v>14.126791611045611</v>
      </c>
      <c r="F6" s="33">
        <f>$C$26*('E Balans VL '!L12+'E Balans VL '!N12)/100/3.6*1000000</f>
        <v>551.86765707763368</v>
      </c>
      <c r="G6" s="34"/>
      <c r="H6" s="33"/>
      <c r="I6" s="33"/>
      <c r="J6" s="33">
        <f>$C$26*('E Balans VL '!D12+'E Balans VL '!E12)/100/3.6*1000000</f>
        <v>0</v>
      </c>
      <c r="K6" s="33"/>
      <c r="L6" s="33"/>
      <c r="M6" s="33"/>
      <c r="N6" s="33">
        <f>$C$26*'E Balans VL '!Y12/100/3.6*1000000</f>
        <v>48.806218175418564</v>
      </c>
      <c r="O6" s="33"/>
      <c r="P6" s="33"/>
      <c r="R6" s="32"/>
    </row>
    <row r="7" spans="1:18">
      <c r="A7" s="32" t="s">
        <v>53</v>
      </c>
      <c r="B7" s="37">
        <f t="shared" ref="B7:B12" si="0">B27</f>
        <v>1421.693</v>
      </c>
      <c r="C7" s="33"/>
      <c r="D7" s="37">
        <f>IF(ISERROR(TER_horeca_gas_kWh/1000),0,TER_horeca_gas_kWh/1000)*0.902</f>
        <v>1591.5893666099162</v>
      </c>
      <c r="E7" s="33">
        <f>$C$27*'E Balans VL '!I9/100/3.6*1000000</f>
        <v>59.678700008262553</v>
      </c>
      <c r="F7" s="33">
        <f>$C$27*('E Balans VL '!L9+'E Balans VL '!N9)/100/3.6*1000000</f>
        <v>305.47989561082744</v>
      </c>
      <c r="G7" s="34"/>
      <c r="H7" s="33"/>
      <c r="I7" s="33"/>
      <c r="J7" s="33">
        <f>$C$27*('E Balans VL '!D9+'E Balans VL '!E9)/100/3.6*1000000</f>
        <v>0</v>
      </c>
      <c r="K7" s="33"/>
      <c r="L7" s="33"/>
      <c r="M7" s="33"/>
      <c r="N7" s="33">
        <f>$C$27*'E Balans VL '!Y9/100/3.6*1000000</f>
        <v>0.36635785294367351</v>
      </c>
      <c r="O7" s="33"/>
      <c r="P7" s="33"/>
      <c r="R7" s="32"/>
    </row>
    <row r="8" spans="1:18">
      <c r="A8" s="6" t="s">
        <v>52</v>
      </c>
      <c r="B8" s="37">
        <f t="shared" si="0"/>
        <v>7377.9530000000004</v>
      </c>
      <c r="C8" s="33"/>
      <c r="D8" s="37">
        <f>IF(ISERROR(TER_handel_gas_kWh/1000),0,TER_handel_gas_kWh/1000)*0.902</f>
        <v>5158.8901227372698</v>
      </c>
      <c r="E8" s="33">
        <f>$C$28*'E Balans VL '!I13/100/3.6*1000000</f>
        <v>79.24535571572855</v>
      </c>
      <c r="F8" s="33">
        <f>$C$28*('E Balans VL '!L13+'E Balans VL '!N13)/100/3.6*1000000</f>
        <v>955.13694172989972</v>
      </c>
      <c r="G8" s="34"/>
      <c r="H8" s="33"/>
      <c r="I8" s="33"/>
      <c r="J8" s="33">
        <f>$C$28*('E Balans VL '!D13+'E Balans VL '!E13)/100/3.6*1000000</f>
        <v>0</v>
      </c>
      <c r="K8" s="33"/>
      <c r="L8" s="33"/>
      <c r="M8" s="33"/>
      <c r="N8" s="33">
        <f>$C$28*'E Balans VL '!Y13/100/3.6*1000000</f>
        <v>59.850357589749699</v>
      </c>
      <c r="O8" s="33"/>
      <c r="P8" s="33"/>
      <c r="R8" s="32"/>
    </row>
    <row r="9" spans="1:18">
      <c r="A9" s="32" t="s">
        <v>51</v>
      </c>
      <c r="B9" s="37">
        <f t="shared" si="0"/>
        <v>970.37340000000006</v>
      </c>
      <c r="C9" s="33"/>
      <c r="D9" s="37">
        <f>IF(ISERROR(TER_gezond_gas_kWh/1000),0,TER_gezond_gas_kWh/1000)*0.902</f>
        <v>307.50577736801671</v>
      </c>
      <c r="E9" s="33">
        <f>$C$29*'E Balans VL '!I10/100/3.6*1000000</f>
        <v>0.77247998847006649</v>
      </c>
      <c r="F9" s="33">
        <f>$C$29*('E Balans VL '!L10+'E Balans VL '!N10)/100/3.6*1000000</f>
        <v>117.96290992870161</v>
      </c>
      <c r="G9" s="34"/>
      <c r="H9" s="33"/>
      <c r="I9" s="33"/>
      <c r="J9" s="33">
        <f>$C$29*('E Balans VL '!D10+'E Balans VL '!E10)/100/3.6*1000000</f>
        <v>0</v>
      </c>
      <c r="K9" s="33"/>
      <c r="L9" s="33"/>
      <c r="M9" s="33"/>
      <c r="N9" s="33">
        <f>$C$29*'E Balans VL '!Y10/100/3.6*1000000</f>
        <v>7.838419241659011</v>
      </c>
      <c r="O9" s="33"/>
      <c r="P9" s="33"/>
      <c r="R9" s="32"/>
    </row>
    <row r="10" spans="1:18">
      <c r="A10" s="32" t="s">
        <v>50</v>
      </c>
      <c r="B10" s="37">
        <f t="shared" si="0"/>
        <v>15468.448</v>
      </c>
      <c r="C10" s="33"/>
      <c r="D10" s="37">
        <f>IF(ISERROR(TER_ander_gas_kWh/1000),0,TER_ander_gas_kWh/1000)*0.902</f>
        <v>600.06149868460102</v>
      </c>
      <c r="E10" s="33">
        <f>$C$30*'E Balans VL '!I14/100/3.6*1000000</f>
        <v>53.011183904092981</v>
      </c>
      <c r="F10" s="33">
        <f>$C$30*('E Balans VL '!L14+'E Balans VL '!N14)/100/3.6*1000000</f>
        <v>3455.0227195158836</v>
      </c>
      <c r="G10" s="34"/>
      <c r="H10" s="33"/>
      <c r="I10" s="33"/>
      <c r="J10" s="33">
        <f>$C$30*('E Balans VL '!D14+'E Balans VL '!E14)/100/3.6*1000000</f>
        <v>0</v>
      </c>
      <c r="K10" s="33"/>
      <c r="L10" s="33"/>
      <c r="M10" s="33"/>
      <c r="N10" s="33">
        <f>$C$30*'E Balans VL '!Y14/100/3.6*1000000</f>
        <v>10896.05927367963</v>
      </c>
      <c r="O10" s="33"/>
      <c r="P10" s="33"/>
      <c r="R10" s="32"/>
    </row>
    <row r="11" spans="1:18">
      <c r="A11" s="32" t="s">
        <v>55</v>
      </c>
      <c r="B11" s="37">
        <f t="shared" si="0"/>
        <v>166.3142</v>
      </c>
      <c r="C11" s="33"/>
      <c r="D11" s="37">
        <f>IF(ISERROR(TER_onderwijs_gas_kWh/1000),0,TER_onderwijs_gas_kWh/1000)*0.902</f>
        <v>538.94439724222798</v>
      </c>
      <c r="E11" s="33">
        <f>$C$31*'E Balans VL '!I11/100/3.6*1000000</f>
        <v>0.11496788438575359</v>
      </c>
      <c r="F11" s="33">
        <f>$C$31*('E Balans VL '!L11+'E Balans VL '!N11)/100/3.6*1000000</f>
        <v>43.536226460287978</v>
      </c>
      <c r="G11" s="34"/>
      <c r="H11" s="33"/>
      <c r="I11" s="33"/>
      <c r="J11" s="33">
        <f>$C$31*('E Balans VL '!D11+'E Balans VL '!E11)/100/3.6*1000000</f>
        <v>0</v>
      </c>
      <c r="K11" s="33"/>
      <c r="L11" s="33"/>
      <c r="M11" s="33"/>
      <c r="N11" s="33">
        <f>$C$31*'E Balans VL '!Y11/100/3.6*1000000</f>
        <v>0.16555162056147302</v>
      </c>
      <c r="O11" s="33"/>
      <c r="P11" s="33"/>
      <c r="R11" s="32"/>
    </row>
    <row r="12" spans="1:18">
      <c r="A12" s="32" t="s">
        <v>260</v>
      </c>
      <c r="B12" s="37">
        <f t="shared" si="0"/>
        <v>8936.7150000000001</v>
      </c>
      <c r="C12" s="33"/>
      <c r="D12" s="37">
        <f>IF(ISERROR(TER_rest_gas_kWh/1000),0,TER_rest_gas_kWh/1000)*0.902</f>
        <v>9564.2455569280955</v>
      </c>
      <c r="E12" s="33">
        <f>$C$32*'E Balans VL '!I8/100/3.6*1000000</f>
        <v>80.798183855373495</v>
      </c>
      <c r="F12" s="33">
        <f>$C$32*('E Balans VL '!L8+'E Balans VL '!N8)/100/3.6*1000000</f>
        <v>1317.3437210473912</v>
      </c>
      <c r="G12" s="34"/>
      <c r="H12" s="33"/>
      <c r="I12" s="33"/>
      <c r="J12" s="33">
        <f>$C$32*('E Balans VL '!D8+'E Balans VL '!E8)/100/3.6*1000000</f>
        <v>0</v>
      </c>
      <c r="K12" s="33"/>
      <c r="L12" s="33"/>
      <c r="M12" s="33"/>
      <c r="N12" s="33">
        <f>$C$32*'E Balans VL '!Y8/100/3.6*1000000</f>
        <v>762.18224657525184</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39217.601600000002</v>
      </c>
      <c r="C16" s="21">
        <f t="shared" ca="1" si="1"/>
        <v>0</v>
      </c>
      <c r="D16" s="21">
        <f t="shared" ca="1" si="1"/>
        <v>22346.914179860556</v>
      </c>
      <c r="E16" s="21">
        <f t="shared" si="1"/>
        <v>287.74766296735896</v>
      </c>
      <c r="F16" s="21">
        <f t="shared" ca="1" si="1"/>
        <v>6746.3500713706253</v>
      </c>
      <c r="G16" s="21">
        <f t="shared" si="1"/>
        <v>0</v>
      </c>
      <c r="H16" s="21">
        <f t="shared" si="1"/>
        <v>0</v>
      </c>
      <c r="I16" s="21">
        <f t="shared" si="1"/>
        <v>0</v>
      </c>
      <c r="J16" s="21">
        <f t="shared" si="1"/>
        <v>0</v>
      </c>
      <c r="K16" s="21">
        <f t="shared" si="1"/>
        <v>0</v>
      </c>
      <c r="L16" s="21">
        <f t="shared" ca="1" si="1"/>
        <v>0</v>
      </c>
      <c r="M16" s="21">
        <f t="shared" si="1"/>
        <v>0</v>
      </c>
      <c r="N16" s="21">
        <f t="shared" ca="1" si="1"/>
        <v>11775.268424735214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0.22252608036941843</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8726.9391655374329</v>
      </c>
      <c r="C20" s="23">
        <f t="shared" ref="C20:P20" ca="1" si="2">C16*C18</f>
        <v>0</v>
      </c>
      <c r="D20" s="23">
        <f t="shared" ca="1" si="2"/>
        <v>4514.0766643318329</v>
      </c>
      <c r="E20" s="23">
        <f t="shared" si="2"/>
        <v>65.318719493590493</v>
      </c>
      <c r="F20" s="23">
        <f t="shared" ca="1" si="2"/>
        <v>1801.275469055957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4876.1049999999996</v>
      </c>
      <c r="C26" s="39">
        <f>IF(ISERROR(B26*3.6/1000000/'E Balans VL '!Z12*100),0,B26*3.6/1000000/'E Balans VL '!Z12*100)</f>
        <v>0.10710928366688785</v>
      </c>
      <c r="D26" s="237" t="s">
        <v>692</v>
      </c>
      <c r="F26" s="6"/>
    </row>
    <row r="27" spans="1:18">
      <c r="A27" s="231" t="s">
        <v>53</v>
      </c>
      <c r="B27" s="33">
        <f>IF(ISERROR(TER_horeca_ele_kWh/1000),0,TER_horeca_ele_kWh/1000)</f>
        <v>1421.693</v>
      </c>
      <c r="C27" s="39">
        <f>IF(ISERROR(B27*3.6/1000000/'E Balans VL '!Z9*100),0,B27*3.6/1000000/'E Balans VL '!Z9*100)</f>
        <v>0.11424720415320594</v>
      </c>
      <c r="D27" s="237" t="s">
        <v>692</v>
      </c>
      <c r="F27" s="6"/>
    </row>
    <row r="28" spans="1:18">
      <c r="A28" s="171" t="s">
        <v>52</v>
      </c>
      <c r="B28" s="33">
        <f>IF(ISERROR(TER_handel_ele_kWh/1000),0,TER_handel_ele_kWh/1000)</f>
        <v>7377.9530000000004</v>
      </c>
      <c r="C28" s="39">
        <f>IF(ISERROR(B28*3.6/1000000/'E Balans VL '!Z13*100),0,B28*3.6/1000000/'E Balans VL '!Z13*100)</f>
        <v>0.21816091586381062</v>
      </c>
      <c r="D28" s="237" t="s">
        <v>692</v>
      </c>
      <c r="F28" s="6"/>
    </row>
    <row r="29" spans="1:18">
      <c r="A29" s="231" t="s">
        <v>51</v>
      </c>
      <c r="B29" s="33">
        <f>IF(ISERROR(TER_gezond_ele_kWh/1000),0,TER_gezond_ele_kWh/1000)</f>
        <v>970.37340000000006</v>
      </c>
      <c r="C29" s="39">
        <f>IF(ISERROR(B29*3.6/1000000/'E Balans VL '!Z10*100),0,B29*3.6/1000000/'E Balans VL '!Z10*100)</f>
        <v>0.10933602934722481</v>
      </c>
      <c r="D29" s="237" t="s">
        <v>692</v>
      </c>
      <c r="F29" s="6"/>
    </row>
    <row r="30" spans="1:18">
      <c r="A30" s="231" t="s">
        <v>50</v>
      </c>
      <c r="B30" s="33">
        <f>IF(ISERROR(TER_ander_ele_kWh/1000),0,TER_ander_ele_kWh/1000)</f>
        <v>15468.448</v>
      </c>
      <c r="C30" s="39">
        <f>IF(ISERROR(B30*3.6/1000000/'E Balans VL '!Z14*100),0,B30*3.6/1000000/'E Balans VL '!Z14*100)</f>
        <v>1.1698522801225364</v>
      </c>
      <c r="D30" s="237" t="s">
        <v>692</v>
      </c>
      <c r="F30" s="6"/>
    </row>
    <row r="31" spans="1:18">
      <c r="A31" s="231" t="s">
        <v>55</v>
      </c>
      <c r="B31" s="33">
        <f>IF(ISERROR(TER_onderwijs_ele_kWh/1000),0,TER_onderwijs_ele_kWh/1000)</f>
        <v>166.3142</v>
      </c>
      <c r="C31" s="39">
        <f>IF(ISERROR(B31*3.6/1000000/'E Balans VL '!Z11*100),0,B31*3.6/1000000/'E Balans VL '!Z11*100)</f>
        <v>3.4522967101593569E-2</v>
      </c>
      <c r="D31" s="237" t="s">
        <v>692</v>
      </c>
    </row>
    <row r="32" spans="1:18">
      <c r="A32" s="231" t="s">
        <v>260</v>
      </c>
      <c r="B32" s="33">
        <f>IF(ISERROR(TER_rest_ele_kWh/1000),0,TER_rest_ele_kWh/1000)</f>
        <v>8936.7150000000001</v>
      </c>
      <c r="C32" s="39">
        <f>IF(ISERROR(B32*3.6/1000000/'E Balans VL '!Z8*100),0,B32*3.6/1000000/'E Balans VL '!Z8*100)</f>
        <v>7.5286566583601805E-2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16134.20011</v>
      </c>
      <c r="C5" s="17">
        <f>IF(ISERROR('Eigen informatie GS &amp; warmtenet'!B59),0,'Eigen informatie GS &amp; warmtenet'!B59)</f>
        <v>0</v>
      </c>
      <c r="D5" s="30">
        <f>SUM(D6:D15)</f>
        <v>51647.364224538302</v>
      </c>
      <c r="E5" s="17">
        <f>SUM(E6:E15)</f>
        <v>1134.5166478322662</v>
      </c>
      <c r="F5" s="17">
        <f>SUM(F6:F15)</f>
        <v>4817.4348646572253</v>
      </c>
      <c r="G5" s="18"/>
      <c r="H5" s="17"/>
      <c r="I5" s="17"/>
      <c r="J5" s="17">
        <f>SUM(J6:J15)</f>
        <v>61.600270329016183</v>
      </c>
      <c r="K5" s="17"/>
      <c r="L5" s="17"/>
      <c r="M5" s="17"/>
      <c r="N5" s="17">
        <f>SUM(N6:N15)</f>
        <v>3100.8209920261388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95.036609999999996</v>
      </c>
      <c r="C8" s="33"/>
      <c r="D8" s="37">
        <f>IF( ISERROR(IND_metaal_Gas_kWH/1000),0,IND_metaal_Gas_kWH/1000)*0.902</f>
        <v>0</v>
      </c>
      <c r="E8" s="33">
        <f>C30*'E Balans VL '!I18/100/3.6*1000000</f>
        <v>2.3784337272909406</v>
      </c>
      <c r="F8" s="33">
        <f>C30*'E Balans VL '!L18/100/3.6*1000000+C30*'E Balans VL '!N18/100/3.6*1000000</f>
        <v>29.78494631041001</v>
      </c>
      <c r="G8" s="34"/>
      <c r="H8" s="33"/>
      <c r="I8" s="33"/>
      <c r="J8" s="40">
        <f>C30*'E Balans VL '!D18/100/3.6*1000000+C30*'E Balans VL '!E18/100/3.6*1000000</f>
        <v>0</v>
      </c>
      <c r="K8" s="33"/>
      <c r="L8" s="33"/>
      <c r="M8" s="33"/>
      <c r="N8" s="33">
        <f>C30*'E Balans VL '!Y18/100/3.6*1000000</f>
        <v>2.3875662847102559</v>
      </c>
      <c r="O8" s="33"/>
      <c r="P8" s="33"/>
      <c r="R8" s="32"/>
    </row>
    <row r="9" spans="1:18">
      <c r="A9" s="6" t="s">
        <v>33</v>
      </c>
      <c r="B9" s="37">
        <f t="shared" si="0"/>
        <v>1720.537</v>
      </c>
      <c r="C9" s="33"/>
      <c r="D9" s="37">
        <f>IF( ISERROR(IND_andere_gas_kWh/1000),0,IND_andere_gas_kWh/1000)*0.902</f>
        <v>1221.0459203000187</v>
      </c>
      <c r="E9" s="33">
        <f>C31*'E Balans VL '!I19/100/3.6*1000000</f>
        <v>473.07710707929317</v>
      </c>
      <c r="F9" s="33">
        <f>C31*'E Balans VL '!L19/100/3.6*1000000+C31*'E Balans VL '!N19/100/3.6*1000000</f>
        <v>1356.0825509339456</v>
      </c>
      <c r="G9" s="34"/>
      <c r="H9" s="33"/>
      <c r="I9" s="33"/>
      <c r="J9" s="40">
        <f>C31*'E Balans VL '!D19/100/3.6*1000000+C31*'E Balans VL '!E19/100/3.6*1000000</f>
        <v>0</v>
      </c>
      <c r="K9" s="33"/>
      <c r="L9" s="33"/>
      <c r="M9" s="33"/>
      <c r="N9" s="33">
        <f>C31*'E Balans VL '!Y19/100/3.6*1000000</f>
        <v>556.98324147716335</v>
      </c>
      <c r="O9" s="33"/>
      <c r="P9" s="33"/>
      <c r="R9" s="32"/>
    </row>
    <row r="10" spans="1:18">
      <c r="A10" s="6" t="s">
        <v>41</v>
      </c>
      <c r="B10" s="37">
        <f t="shared" si="0"/>
        <v>247.77250000000001</v>
      </c>
      <c r="C10" s="33"/>
      <c r="D10" s="37">
        <f>IF( ISERROR(IND_voed_gas_kWh/1000),0,IND_voed_gas_kWh/1000)*0.902</f>
        <v>393.04387043123705</v>
      </c>
      <c r="E10" s="33">
        <f>C32*'E Balans VL '!I20/100/3.6*1000000</f>
        <v>2.5259041388508856</v>
      </c>
      <c r="F10" s="33">
        <f>C32*'E Balans VL '!L20/100/3.6*1000000+C32*'E Balans VL '!N20/100/3.6*1000000</f>
        <v>468.04070283260342</v>
      </c>
      <c r="G10" s="34"/>
      <c r="H10" s="33"/>
      <c r="I10" s="33"/>
      <c r="J10" s="40">
        <f>C32*'E Balans VL '!D20/100/3.6*1000000+C32*'E Balans VL '!E20/100/3.6*1000000</f>
        <v>5.9300066402904301</v>
      </c>
      <c r="K10" s="33"/>
      <c r="L10" s="33"/>
      <c r="M10" s="33"/>
      <c r="N10" s="33">
        <f>C32*'E Balans VL '!Y20/100/3.6*1000000</f>
        <v>130.60464739233663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1239.2819999999999</v>
      </c>
      <c r="C12" s="33"/>
      <c r="D12" s="37">
        <f>IF( ISERROR(IND_min_gas_kWh/1000),0,IND_min_gas_kWh/1000)*0.902</f>
        <v>0</v>
      </c>
      <c r="E12" s="33">
        <f>C34*'E Balans VL '!I22/100/3.6*1000000</f>
        <v>3.7532245851526453</v>
      </c>
      <c r="F12" s="33">
        <f>C34*'E Balans VL '!L22/100/3.6*1000000+C34*'E Balans VL '!N22/100/3.6*1000000</f>
        <v>38.728627955479666</v>
      </c>
      <c r="G12" s="34"/>
      <c r="H12" s="33"/>
      <c r="I12" s="33"/>
      <c r="J12" s="40">
        <f>C34*'E Balans VL '!D22/100/3.6*1000000+C34*'E Balans VL '!E22/100/3.6*1000000</f>
        <v>1.8375800995719682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12831.572</v>
      </c>
      <c r="C15" s="33"/>
      <c r="D15" s="37">
        <f>IF( ISERROR(IND_rest_gas_kWh/1000),0,IND_rest_gas_kWh/1000)*0.902</f>
        <v>50033.274433807048</v>
      </c>
      <c r="E15" s="33">
        <f>C37*'E Balans VL '!I15/100/3.6*1000000</f>
        <v>652.78197830167869</v>
      </c>
      <c r="F15" s="33">
        <f>C37*'E Balans VL '!L15/100/3.6*1000000+C37*'E Balans VL '!N15/100/3.6*1000000</f>
        <v>2924.7980366247871</v>
      </c>
      <c r="G15" s="34"/>
      <c r="H15" s="33"/>
      <c r="I15" s="33"/>
      <c r="J15" s="40">
        <f>C37*'E Balans VL '!D15/100/3.6*1000000+C37*'E Balans VL '!E15/100/3.6*1000000</f>
        <v>53.832683589153788</v>
      </c>
      <c r="K15" s="33"/>
      <c r="L15" s="33"/>
      <c r="M15" s="33"/>
      <c r="N15" s="33">
        <f>C37*'E Balans VL '!Y15/100/3.6*1000000</f>
        <v>2410.8455368719287</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16134.20011</v>
      </c>
      <c r="C18" s="21">
        <f>C5+C16</f>
        <v>0</v>
      </c>
      <c r="D18" s="21">
        <f>MAX((D5+D16),0)</f>
        <v>51647.364224538302</v>
      </c>
      <c r="E18" s="21">
        <f>MAX((E5+E16),0)</f>
        <v>1134.5166478322662</v>
      </c>
      <c r="F18" s="21">
        <f>MAX((F5+F16),0)</f>
        <v>4817.4348646572253</v>
      </c>
      <c r="G18" s="21"/>
      <c r="H18" s="21"/>
      <c r="I18" s="21"/>
      <c r="J18" s="21">
        <f>MAX((J5+J16),0)</f>
        <v>61.600270329016183</v>
      </c>
      <c r="K18" s="21"/>
      <c r="L18" s="21">
        <f>MAX((L5+L16),0)</f>
        <v>0</v>
      </c>
      <c r="M18" s="21"/>
      <c r="N18" s="21">
        <f>MAX((N5+N16),0)</f>
        <v>3100.8209920261388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0.22252608036941843</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3590.2803103741394</v>
      </c>
      <c r="C22" s="23">
        <f ca="1">C18*C20</f>
        <v>0</v>
      </c>
      <c r="D22" s="23">
        <f>D18*D20</f>
        <v>10432.767573356738</v>
      </c>
      <c r="E22" s="23">
        <f>E18*E20</f>
        <v>257.53527905792447</v>
      </c>
      <c r="F22" s="23">
        <f>F18*F20</f>
        <v>1286.2551088634791</v>
      </c>
      <c r="G22" s="23"/>
      <c r="H22" s="23"/>
      <c r="I22" s="23"/>
      <c r="J22" s="23">
        <f>J18*J20</f>
        <v>21.806495696471728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95.036609999999996</v>
      </c>
      <c r="C30" s="39">
        <f>IF(ISERROR(B30*3.6/1000000/'E Balans VL '!Z18*100),0,B30*3.6/1000000/'E Balans VL '!Z18*100)</f>
        <v>1.3301958269983498E-2</v>
      </c>
      <c r="D30" s="237" t="s">
        <v>692</v>
      </c>
    </row>
    <row r="31" spans="1:18">
      <c r="A31" s="6" t="s">
        <v>33</v>
      </c>
      <c r="B31" s="37">
        <f>IF( ISERROR(IND_ander_ele_kWh/1000),0,IND_ander_ele_kWh/1000)</f>
        <v>1720.537</v>
      </c>
      <c r="C31" s="39">
        <f>IF(ISERROR(B31*3.6/1000000/'E Balans VL '!Z19*100),0,B31*3.6/1000000/'E Balans VL '!Z19*100)</f>
        <v>7.5307625379244125E-2</v>
      </c>
      <c r="D31" s="237" t="s">
        <v>692</v>
      </c>
    </row>
    <row r="32" spans="1:18">
      <c r="A32" s="171" t="s">
        <v>41</v>
      </c>
      <c r="B32" s="37">
        <f>IF( ISERROR(IND_voed_ele_kWh/1000),0,IND_voed_ele_kWh/1000)</f>
        <v>247.77250000000001</v>
      </c>
      <c r="C32" s="39">
        <f>IF(ISERROR(B32*3.6/1000000/'E Balans VL '!Z20*100),0,B32*3.6/1000000/'E Balans VL '!Z20*100)</f>
        <v>6.1340242881130914E-2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1239.2819999999999</v>
      </c>
      <c r="C34" s="39">
        <f>IF(ISERROR(B34*3.6/1000000/'E Balans VL '!Z22*100),0,B34*3.6/1000000/'E Balans VL '!Z22*100)</f>
        <v>3.5165767161171896E-2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12831.572</v>
      </c>
      <c r="C37" s="39">
        <f>IF(ISERROR(B37*3.6/1000000/'E Balans VL '!Z15*100),0,B37*3.6/1000000/'E Balans VL '!Z15*100)</f>
        <v>9.5143909521910375E-2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1386.8733999999999</v>
      </c>
      <c r="C5" s="17">
        <f>'Eigen informatie GS &amp; warmtenet'!B60</f>
        <v>0</v>
      </c>
      <c r="D5" s="30">
        <f>IF(ISERROR(SUM(LB_lb_gas_kWh,LB_rest_gas_kWh)/1000),0,SUM(LB_lb_gas_kWh,LB_rest_gas_kWh)/1000)*0.902</f>
        <v>110685.93986159355</v>
      </c>
      <c r="E5" s="17">
        <f>B17*'E Balans VL '!I25/3.6*1000000/100</f>
        <v>12.845802306775159</v>
      </c>
      <c r="F5" s="17">
        <f>B17*('E Balans VL '!L25/3.6*1000000+'E Balans VL '!N25/3.6*1000000)/100</f>
        <v>3518.7620149115742</v>
      </c>
      <c r="G5" s="18"/>
      <c r="H5" s="17"/>
      <c r="I5" s="17"/>
      <c r="J5" s="17">
        <f>('E Balans VL '!D25+'E Balans VL '!E25)/3.6*1000000*landbouw!B17/100</f>
        <v>212.62316977231671</v>
      </c>
      <c r="K5" s="17"/>
      <c r="L5" s="17">
        <f>L6*(-1)</f>
        <v>0</v>
      </c>
      <c r="M5" s="17"/>
      <c r="N5" s="17">
        <f>N6*(-1)</f>
        <v>0</v>
      </c>
      <c r="O5" s="17"/>
      <c r="P5" s="17"/>
      <c r="R5" s="32"/>
    </row>
    <row r="6" spans="1:18">
      <c r="A6" s="16" t="s">
        <v>494</v>
      </c>
      <c r="B6" s="17" t="s">
        <v>211</v>
      </c>
      <c r="C6" s="17">
        <f>'lokale energieproductie'!O92+'lokale energieproductie'!O61</f>
        <v>82729.285714285725</v>
      </c>
      <c r="D6" s="310">
        <f>('lokale energieproductie'!P61+'lokale energieproductie'!P92)*(-1)</f>
        <v>-165458.57142857145</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1386.8733999999999</v>
      </c>
      <c r="C8" s="21">
        <f>C5+C6</f>
        <v>82729.285714285725</v>
      </c>
      <c r="D8" s="21">
        <f>MAX((D5+D6),0)</f>
        <v>0</v>
      </c>
      <c r="E8" s="21">
        <f>MAX((E5+E6),0)</f>
        <v>12.845802306775159</v>
      </c>
      <c r="F8" s="21">
        <f>MAX((F5+F6),0)</f>
        <v>3518.7620149115742</v>
      </c>
      <c r="G8" s="21"/>
      <c r="H8" s="21"/>
      <c r="I8" s="21"/>
      <c r="J8" s="21">
        <f>MAX((J5+J6),0)</f>
        <v>212.62316977231671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0.22252608036941843</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308.61550167060858</v>
      </c>
      <c r="C12" s="23">
        <f ca="1">C8*C10</f>
        <v>19660.371428571434</v>
      </c>
      <c r="D12" s="23">
        <f>D8*D10</f>
        <v>0</v>
      </c>
      <c r="E12" s="23">
        <f>E8*E10</f>
        <v>2.9159971236379612</v>
      </c>
      <c r="F12" s="23">
        <f>F8*F10</f>
        <v>939.50945798139037</v>
      </c>
      <c r="G12" s="23"/>
      <c r="H12" s="23"/>
      <c r="I12" s="23"/>
      <c r="J12" s="23">
        <f>J8*J10</f>
        <v>75.268602099400113</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0.19718399068098216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137.63403212335663</v>
      </c>
      <c r="C26" s="247">
        <f>B26*'GWP N2O_CH4'!B5</f>
        <v>2890.3146745904892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32.455502359260954</v>
      </c>
      <c r="C27" s="247">
        <f>B27*'GWP N2O_CH4'!B5</f>
        <v>681.56554954448006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1.5563273414084924</v>
      </c>
      <c r="C28" s="247">
        <f>B28*'GWP N2O_CH4'!B4</f>
        <v>482.46147583663264</v>
      </c>
      <c r="D28" s="50"/>
    </row>
    <row r="29" spans="1:4">
      <c r="A29" s="41" t="s">
        <v>277</v>
      </c>
      <c r="B29" s="247">
        <f>B34*'ha_N2O bodem landbouw'!B4</f>
        <v>4.0115910114391626</v>
      </c>
      <c r="C29" s="247">
        <f>B29*'GWP N2O_CH4'!B4</f>
        <v>1243.5932135461403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8.9972919042189282E-4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1.345509600371468E-4</v>
      </c>
      <c r="C5" s="464" t="s">
        <v>211</v>
      </c>
      <c r="D5" s="449">
        <f>SUM(D6:D11)</f>
        <v>3.2674779762759712E-4</v>
      </c>
      <c r="E5" s="449">
        <f>SUM(E6:E11)</f>
        <v>2.4043948999020173E-3</v>
      </c>
      <c r="F5" s="462" t="s">
        <v>211</v>
      </c>
      <c r="G5" s="449">
        <f>SUM(G6:G11)</f>
        <v>0.74568538146977892</v>
      </c>
      <c r="H5" s="449">
        <f>SUM(H6:H11)</f>
        <v>0.1273102200675337</v>
      </c>
      <c r="I5" s="464" t="s">
        <v>211</v>
      </c>
      <c r="J5" s="464" t="s">
        <v>211</v>
      </c>
      <c r="K5" s="464" t="s">
        <v>211</v>
      </c>
      <c r="L5" s="464" t="s">
        <v>211</v>
      </c>
      <c r="M5" s="449">
        <f>SUM(M6:M11)</f>
        <v>4.7053564275668966E-2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5.7239631474169116E-5</v>
      </c>
      <c r="C6" s="450"/>
      <c r="D6" s="893">
        <f>vkm_2011_GW_PW*SUMIFS(TableVerdeelsleutelVkm[CNG],TableVerdeelsleutelVkm[Voertuigtype],"Lichte voertuigen")*SUMIFS(TableECFTransport[EnergieConsumptieFactor (PJ per km)],TableECFTransport[Index],CONCATENATE($A6,"_CNG_CNG"))</f>
        <v>1.3240156942212743E-4</v>
      </c>
      <c r="E6" s="893">
        <f>vkm_2011_GW_PW*SUMIFS(TableVerdeelsleutelVkm[LPG],TableVerdeelsleutelVkm[Voertuigtype],"Lichte voertuigen")*SUMIFS(TableECFTransport[EnergieConsumptieFactor (PJ per km)],TableECFTransport[Index],CONCATENATE($A6,"_LPG_LPG"))</f>
        <v>8.6211906500871624E-4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0.17909885756602184</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5.0484266759388413E-2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1.1914174009229082E-2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0.11802561331517174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4.0362616308804356E-5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6.8284507298190496E-3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4.1075157365068132E-6</v>
      </c>
      <c r="C8" s="450"/>
      <c r="D8" s="452">
        <f>vkm_2011_NGW_PW*SUMIFS(TableVerdeelsleutelVkm[CNG],TableVerdeelsleutelVkm[Voertuigtype],"Lichte voertuigen")*SUMIFS(TableECFTransport[EnergieConsumptieFactor (PJ per km)],TableECFTransport[Index],CONCATENATE($A8,"_CNG_CNG"))</f>
        <v>1.6804733141981101E-5</v>
      </c>
      <c r="E8" s="452">
        <f>vkm_2011_NGW_PW*SUMIFS(TableVerdeelsleutelVkm[LPG],TableVerdeelsleutelVkm[Voertuigtype],"Lichte voertuigen")*SUMIFS(TableECFTransport[EnergieConsumptieFactor (PJ per km)],TableECFTransport[Index],CONCATENATE($A8,"_LPG_LPG"))</f>
        <v>1.0098537495102563E-4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1.9611211461457393E-2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6.1956848249678223E-3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1.3251495607542766E-3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1.5501489938586361E-4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5.0161015721574904E-8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8.9684028166355682E-6</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7.3203812826470868E-5</v>
      </c>
      <c r="C10" s="450"/>
      <c r="D10" s="452">
        <f>vkm_2011_SW_PW*SUMIFS(TableVerdeelsleutelVkm[CNG],TableVerdeelsleutelVkm[Voertuigtype],"Lichte voertuigen")*SUMIFS(TableECFTransport[EnergieConsumptieFactor (PJ per km)],TableECFTransport[Index],CONCATENATE($A10,"_CNG_CNG"))</f>
        <v>1.7754149506348858E-4</v>
      </c>
      <c r="E10" s="452">
        <f>vkm_2011_SW_PW*SUMIFS(TableVerdeelsleutelVkm[LPG],TableVerdeelsleutelVkm[Voertuigtype],"Lichte voertuigen")*SUMIFS(TableECFTransport[EnergieConsumptieFactor (PJ per km)],TableECFTransport[Index],CONCATENATE($A10,"_LPG_LPG"))</f>
        <v>1.4412904599422755E-3</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0.26956269903978508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7.0531168805102393E-2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1.7764218364538044E-2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0.15923198518795703</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5.8686900750524807E-5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9.2126032085118742E-3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37.375266676985227</v>
      </c>
      <c r="C14" s="21"/>
      <c r="D14" s="21">
        <f t="shared" ref="D14:M14" si="0">((D5)*10^9/3600)+D12</f>
        <v>90.763277118776983</v>
      </c>
      <c r="E14" s="21">
        <f t="shared" si="0"/>
        <v>667.88747219500476</v>
      </c>
      <c r="F14" s="21"/>
      <c r="G14" s="21">
        <f t="shared" si="0"/>
        <v>207134.82818604968</v>
      </c>
      <c r="H14" s="21">
        <f t="shared" si="0"/>
        <v>35363.950018759358</v>
      </c>
      <c r="I14" s="21"/>
      <c r="J14" s="21"/>
      <c r="K14" s="21"/>
      <c r="L14" s="21"/>
      <c r="M14" s="21">
        <f t="shared" si="0"/>
        <v>13070.434521019157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0.22252608036941843</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8.3169715963912605</v>
      </c>
      <c r="C18" s="23"/>
      <c r="D18" s="23">
        <f t="shared" ref="D18:M18" si="1">D14*D16</f>
        <v>18.334181977992952</v>
      </c>
      <c r="E18" s="23">
        <f t="shared" si="1"/>
        <v>151.61045618826608</v>
      </c>
      <c r="F18" s="23"/>
      <c r="G18" s="23">
        <f t="shared" si="1"/>
        <v>55304.999125675269</v>
      </c>
      <c r="H18" s="23">
        <f t="shared" si="1"/>
        <v>8805.6235546710795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7.5020287449185574E-3</v>
      </c>
      <c r="H50" s="321">
        <f t="shared" si="2"/>
        <v>0</v>
      </c>
      <c r="I50" s="321">
        <f t="shared" si="2"/>
        <v>0</v>
      </c>
      <c r="J50" s="321">
        <f t="shared" si="2"/>
        <v>0</v>
      </c>
      <c r="K50" s="321">
        <f t="shared" si="2"/>
        <v>0</v>
      </c>
      <c r="L50" s="321">
        <f t="shared" si="2"/>
        <v>0</v>
      </c>
      <c r="M50" s="321">
        <f t="shared" si="2"/>
        <v>4.2781882972752383E-4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7.5020287449185574E-3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4.2781882972752383E-4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2083.8968735884882</v>
      </c>
      <c r="H54" s="21">
        <f t="shared" si="3"/>
        <v>0</v>
      </c>
      <c r="I54" s="21">
        <f t="shared" si="3"/>
        <v>0</v>
      </c>
      <c r="J54" s="21">
        <f t="shared" si="3"/>
        <v>0</v>
      </c>
      <c r="K54" s="21">
        <f t="shared" si="3"/>
        <v>0</v>
      </c>
      <c r="L54" s="21">
        <f t="shared" si="3"/>
        <v>0</v>
      </c>
      <c r="M54" s="21">
        <f t="shared" si="3"/>
        <v>118.83856381320106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0.22252608036941843</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556.40046524812635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40288.783600000002</v>
      </c>
      <c r="D10" s="1025">
        <f ca="1">tertiair!C16</f>
        <v>0</v>
      </c>
      <c r="E10" s="1025">
        <f ca="1">tertiair!D16</f>
        <v>22346.914179860556</v>
      </c>
      <c r="F10" s="1025">
        <f>tertiair!E16</f>
        <v>287.74766296735896</v>
      </c>
      <c r="G10" s="1025">
        <f ca="1">tertiair!F16</f>
        <v>6746.3500713706253</v>
      </c>
      <c r="H10" s="1025">
        <f>tertiair!G16</f>
        <v>0</v>
      </c>
      <c r="I10" s="1025">
        <f>tertiair!H16</f>
        <v>0</v>
      </c>
      <c r="J10" s="1025">
        <f>tertiair!I16</f>
        <v>0</v>
      </c>
      <c r="K10" s="1025">
        <f>tertiair!J16</f>
        <v>0</v>
      </c>
      <c r="L10" s="1025">
        <f>tertiair!K16</f>
        <v>0</v>
      </c>
      <c r="M10" s="1025">
        <f ca="1">tertiair!L16</f>
        <v>0</v>
      </c>
      <c r="N10" s="1025">
        <f>tertiair!M16</f>
        <v>0</v>
      </c>
      <c r="O10" s="1025">
        <f ca="1">tertiair!N16</f>
        <v>11775.268424735214</v>
      </c>
      <c r="P10" s="1025">
        <f>tertiair!O16</f>
        <v>0</v>
      </c>
      <c r="Q10" s="1026">
        <f>tertiair!P16</f>
        <v>0</v>
      </c>
      <c r="R10" s="701">
        <f ca="1">SUM(C10:Q10)</f>
        <v>81445.063938933759</v>
      </c>
      <c r="S10" s="67"/>
    </row>
    <row r="11" spans="1:19" s="474" customFormat="1">
      <c r="A11" s="810" t="s">
        <v>225</v>
      </c>
      <c r="B11" s="815"/>
      <c r="C11" s="1025">
        <f>huishoudens!B8</f>
        <v>28347.709489125202</v>
      </c>
      <c r="D11" s="1025">
        <f>huishoudens!C8</f>
        <v>0</v>
      </c>
      <c r="E11" s="1025">
        <f>huishoudens!D8</f>
        <v>66341.323379598878</v>
      </c>
      <c r="F11" s="1025">
        <f>huishoudens!E8</f>
        <v>722.60695489752766</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4338.8304431425167</v>
      </c>
      <c r="P11" s="1025">
        <f>huishoudens!O8</f>
        <v>125.06666666666666</v>
      </c>
      <c r="Q11" s="1026">
        <f>huishoudens!P8</f>
        <v>457.6</v>
      </c>
      <c r="R11" s="701">
        <f>SUM(C11:Q11)</f>
        <v>100333.1369334308</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16134.20011</v>
      </c>
      <c r="D13" s="1025">
        <f>industrie!C18</f>
        <v>0</v>
      </c>
      <c r="E13" s="1025">
        <f>industrie!D18</f>
        <v>51647.364224538302</v>
      </c>
      <c r="F13" s="1025">
        <f>industrie!E18</f>
        <v>1134.5166478322662</v>
      </c>
      <c r="G13" s="1025">
        <f>industrie!F18</f>
        <v>4817.4348646572253</v>
      </c>
      <c r="H13" s="1025">
        <f>industrie!G18</f>
        <v>0</v>
      </c>
      <c r="I13" s="1025">
        <f>industrie!H18</f>
        <v>0</v>
      </c>
      <c r="J13" s="1025">
        <f>industrie!I18</f>
        <v>0</v>
      </c>
      <c r="K13" s="1025">
        <f>industrie!J18</f>
        <v>61.600270329016183</v>
      </c>
      <c r="L13" s="1025">
        <f>industrie!K18</f>
        <v>0</v>
      </c>
      <c r="M13" s="1025">
        <f>industrie!L18</f>
        <v>0</v>
      </c>
      <c r="N13" s="1025">
        <f>industrie!M18</f>
        <v>0</v>
      </c>
      <c r="O13" s="1025">
        <f>industrie!N18</f>
        <v>3100.8209920261388</v>
      </c>
      <c r="P13" s="1025">
        <f>industrie!O18</f>
        <v>0</v>
      </c>
      <c r="Q13" s="1026">
        <f>industrie!P18</f>
        <v>0</v>
      </c>
      <c r="R13" s="701">
        <f>SUM(C13:Q13)</f>
        <v>76895.937109382954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84770.693199125206</v>
      </c>
      <c r="D16" s="733">
        <f t="shared" ref="D16:R16" ca="1" si="0">SUM(D9:D15)</f>
        <v>0</v>
      </c>
      <c r="E16" s="733">
        <f t="shared" ca="1" si="0"/>
        <v>140335.60178399773</v>
      </c>
      <c r="F16" s="733">
        <f t="shared" si="0"/>
        <v>2144.8712656971529</v>
      </c>
      <c r="G16" s="733">
        <f t="shared" ca="1" si="0"/>
        <v>11563.784936027851</v>
      </c>
      <c r="H16" s="733">
        <f t="shared" si="0"/>
        <v>0</v>
      </c>
      <c r="I16" s="733">
        <f t="shared" si="0"/>
        <v>0</v>
      </c>
      <c r="J16" s="733">
        <f t="shared" si="0"/>
        <v>0</v>
      </c>
      <c r="K16" s="733">
        <f t="shared" si="0"/>
        <v>61.600270329016183</v>
      </c>
      <c r="L16" s="733">
        <f t="shared" si="0"/>
        <v>0</v>
      </c>
      <c r="M16" s="733">
        <f t="shared" ca="1" si="0"/>
        <v>0</v>
      </c>
      <c r="N16" s="733">
        <f t="shared" si="0"/>
        <v>0</v>
      </c>
      <c r="O16" s="733">
        <f t="shared" ca="1" si="0"/>
        <v>19214.919859903868</v>
      </c>
      <c r="P16" s="733">
        <f t="shared" si="0"/>
        <v>125.06666666666666</v>
      </c>
      <c r="Q16" s="733">
        <f t="shared" si="0"/>
        <v>457.6</v>
      </c>
      <c r="R16" s="733">
        <f t="shared" ca="1" si="0"/>
        <v>258674.13798174751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2083.8968735884882</v>
      </c>
      <c r="I19" s="1025">
        <f>transport!H54</f>
        <v>0</v>
      </c>
      <c r="J19" s="1025">
        <f>transport!I54</f>
        <v>0</v>
      </c>
      <c r="K19" s="1025">
        <f>transport!J54</f>
        <v>0</v>
      </c>
      <c r="L19" s="1025">
        <f>transport!K54</f>
        <v>0</v>
      </c>
      <c r="M19" s="1025">
        <f>transport!L54</f>
        <v>0</v>
      </c>
      <c r="N19" s="1025">
        <f>transport!M54</f>
        <v>118.83856381320106</v>
      </c>
      <c r="O19" s="1025">
        <f>transport!N54</f>
        <v>0</v>
      </c>
      <c r="P19" s="1025">
        <f>transport!O54</f>
        <v>0</v>
      </c>
      <c r="Q19" s="1026">
        <f>transport!P54</f>
        <v>0</v>
      </c>
      <c r="R19" s="701">
        <f>SUM(C19:Q19)</f>
        <v>2202.7354374016895</v>
      </c>
      <c r="S19" s="67"/>
    </row>
    <row r="20" spans="1:19" s="474" customFormat="1">
      <c r="A20" s="810" t="s">
        <v>307</v>
      </c>
      <c r="B20" s="815"/>
      <c r="C20" s="1025">
        <f>transport!B14</f>
        <v>37.375266676985227</v>
      </c>
      <c r="D20" s="1025">
        <f>transport!C14</f>
        <v>0</v>
      </c>
      <c r="E20" s="1025">
        <f>transport!D14</f>
        <v>90.763277118776983</v>
      </c>
      <c r="F20" s="1025">
        <f>transport!E14</f>
        <v>667.88747219500476</v>
      </c>
      <c r="G20" s="1025">
        <f>transport!F14</f>
        <v>0</v>
      </c>
      <c r="H20" s="1025">
        <f>transport!G14</f>
        <v>207134.82818604968</v>
      </c>
      <c r="I20" s="1025">
        <f>transport!H14</f>
        <v>35363.950018759358</v>
      </c>
      <c r="J20" s="1025">
        <f>transport!I14</f>
        <v>0</v>
      </c>
      <c r="K20" s="1025">
        <f>transport!J14</f>
        <v>0</v>
      </c>
      <c r="L20" s="1025">
        <f>transport!K14</f>
        <v>0</v>
      </c>
      <c r="M20" s="1025">
        <f>transport!L14</f>
        <v>0</v>
      </c>
      <c r="N20" s="1025">
        <f>transport!M14</f>
        <v>13070.434521019157</v>
      </c>
      <c r="O20" s="1025">
        <f>transport!N14</f>
        <v>0</v>
      </c>
      <c r="P20" s="1025">
        <f>transport!O14</f>
        <v>0</v>
      </c>
      <c r="Q20" s="1026">
        <f>transport!P14</f>
        <v>0</v>
      </c>
      <c r="R20" s="701">
        <f>SUM(C20:Q20)</f>
        <v>256365.23874181896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37.375266676985227</v>
      </c>
      <c r="D22" s="813">
        <f t="shared" ref="D22:R22" si="1">SUM(D18:D21)</f>
        <v>0</v>
      </c>
      <c r="E22" s="813">
        <f t="shared" si="1"/>
        <v>90.763277118776983</v>
      </c>
      <c r="F22" s="813">
        <f t="shared" si="1"/>
        <v>667.88747219500476</v>
      </c>
      <c r="G22" s="813">
        <f t="shared" si="1"/>
        <v>0</v>
      </c>
      <c r="H22" s="813">
        <f t="shared" si="1"/>
        <v>209218.72505963818</v>
      </c>
      <c r="I22" s="813">
        <f t="shared" si="1"/>
        <v>35363.950018759358</v>
      </c>
      <c r="J22" s="813">
        <f t="shared" si="1"/>
        <v>0</v>
      </c>
      <c r="K22" s="813">
        <f t="shared" si="1"/>
        <v>0</v>
      </c>
      <c r="L22" s="813">
        <f t="shared" si="1"/>
        <v>0</v>
      </c>
      <c r="M22" s="813">
        <f t="shared" si="1"/>
        <v>0</v>
      </c>
      <c r="N22" s="813">
        <f t="shared" si="1"/>
        <v>13189.273084832357</v>
      </c>
      <c r="O22" s="813">
        <f t="shared" si="1"/>
        <v>0</v>
      </c>
      <c r="P22" s="813">
        <f t="shared" si="1"/>
        <v>0</v>
      </c>
      <c r="Q22" s="813">
        <f t="shared" si="1"/>
        <v>0</v>
      </c>
      <c r="R22" s="813">
        <f t="shared" si="1"/>
        <v>258567.97417922065</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1386.8733999999999</v>
      </c>
      <c r="D24" s="1025">
        <f>+landbouw!C8</f>
        <v>82729.285714285725</v>
      </c>
      <c r="E24" s="1025">
        <f>+landbouw!D8</f>
        <v>0</v>
      </c>
      <c r="F24" s="1025">
        <f>+landbouw!E8</f>
        <v>12.845802306775159</v>
      </c>
      <c r="G24" s="1025">
        <f>+landbouw!F8</f>
        <v>3518.7620149115742</v>
      </c>
      <c r="H24" s="1025">
        <f>+landbouw!G8</f>
        <v>0</v>
      </c>
      <c r="I24" s="1025">
        <f>+landbouw!H8</f>
        <v>0</v>
      </c>
      <c r="J24" s="1025">
        <f>+landbouw!I8</f>
        <v>0</v>
      </c>
      <c r="K24" s="1025">
        <f>+landbouw!J8</f>
        <v>212.62316977231671</v>
      </c>
      <c r="L24" s="1025">
        <f>+landbouw!K8</f>
        <v>0</v>
      </c>
      <c r="M24" s="1025">
        <f>+landbouw!L8</f>
        <v>0</v>
      </c>
      <c r="N24" s="1025">
        <f>+landbouw!M8</f>
        <v>0</v>
      </c>
      <c r="O24" s="1025">
        <f>+landbouw!N8</f>
        <v>0</v>
      </c>
      <c r="P24" s="1025">
        <f>+landbouw!O8</f>
        <v>0</v>
      </c>
      <c r="Q24" s="1026">
        <f>+landbouw!P8</f>
        <v>0</v>
      </c>
      <c r="R24" s="701">
        <f>SUM(C24:Q24)</f>
        <v>87860.390101276382</v>
      </c>
      <c r="S24" s="67"/>
    </row>
    <row r="25" spans="1:19" s="474" customFormat="1" ht="15" thickBot="1">
      <c r="A25" s="832" t="s">
        <v>864</v>
      </c>
      <c r="B25" s="1028"/>
      <c r="C25" s="1029">
        <f>IF(Onbekend_ele_kWh="---",0,Onbekend_ele_kWh)/1000+IF(REST_rest_ele_kWh="---",0,REST_rest_ele_kWh)/1000</f>
        <v>972.00689999999997</v>
      </c>
      <c r="D25" s="1029"/>
      <c r="E25" s="1029">
        <f>IF(onbekend_gas_kWh="---",0,onbekend_gas_kWh)/1000+IF(REST_rest_gas_kWh="---",0,REST_rest_gas_kWh)/1000</f>
        <v>2702.8786978877802</v>
      </c>
      <c r="F25" s="1029"/>
      <c r="G25" s="1029"/>
      <c r="H25" s="1029"/>
      <c r="I25" s="1029"/>
      <c r="J25" s="1029"/>
      <c r="K25" s="1029"/>
      <c r="L25" s="1029"/>
      <c r="M25" s="1029"/>
      <c r="N25" s="1029"/>
      <c r="O25" s="1029"/>
      <c r="P25" s="1029"/>
      <c r="Q25" s="1030"/>
      <c r="R25" s="701">
        <f>SUM(C25:Q25)</f>
        <v>3674.88559788778</v>
      </c>
      <c r="S25" s="67"/>
    </row>
    <row r="26" spans="1:19" s="474" customFormat="1" ht="15.75" thickBot="1">
      <c r="A26" s="706" t="s">
        <v>865</v>
      </c>
      <c r="B26" s="818"/>
      <c r="C26" s="813">
        <f>SUM(C24:C25)</f>
        <v>2358.8802999999998</v>
      </c>
      <c r="D26" s="813">
        <f t="shared" ref="D26:R26" si="2">SUM(D24:D25)</f>
        <v>82729.285714285725</v>
      </c>
      <c r="E26" s="813">
        <f t="shared" si="2"/>
        <v>2702.8786978877802</v>
      </c>
      <c r="F26" s="813">
        <f t="shared" si="2"/>
        <v>12.845802306775159</v>
      </c>
      <c r="G26" s="813">
        <f t="shared" si="2"/>
        <v>3518.7620149115742</v>
      </c>
      <c r="H26" s="813">
        <f t="shared" si="2"/>
        <v>0</v>
      </c>
      <c r="I26" s="813">
        <f t="shared" si="2"/>
        <v>0</v>
      </c>
      <c r="J26" s="813">
        <f t="shared" si="2"/>
        <v>0</v>
      </c>
      <c r="K26" s="813">
        <f t="shared" si="2"/>
        <v>212.62316977231671</v>
      </c>
      <c r="L26" s="813">
        <f t="shared" si="2"/>
        <v>0</v>
      </c>
      <c r="M26" s="813">
        <f t="shared" si="2"/>
        <v>0</v>
      </c>
      <c r="N26" s="813">
        <f t="shared" si="2"/>
        <v>0</v>
      </c>
      <c r="O26" s="813">
        <f t="shared" si="2"/>
        <v>0</v>
      </c>
      <c r="P26" s="813">
        <f t="shared" si="2"/>
        <v>0</v>
      </c>
      <c r="Q26" s="813">
        <f t="shared" si="2"/>
        <v>0</v>
      </c>
      <c r="R26" s="813">
        <f t="shared" si="2"/>
        <v>91535.275699164165</v>
      </c>
      <c r="S26" s="67"/>
    </row>
    <row r="27" spans="1:19" s="474" customFormat="1" ht="17.25" thickTop="1" thickBot="1">
      <c r="A27" s="707" t="s">
        <v>116</v>
      </c>
      <c r="B27" s="806"/>
      <c r="C27" s="708">
        <f ca="1">C22+C16+C26</f>
        <v>87166.948765802197</v>
      </c>
      <c r="D27" s="708">
        <f t="shared" ref="D27:R27" ca="1" si="3">D22+D16+D26</f>
        <v>82729.285714285725</v>
      </c>
      <c r="E27" s="708">
        <f t="shared" ca="1" si="3"/>
        <v>143129.24375900428</v>
      </c>
      <c r="F27" s="708">
        <f t="shared" si="3"/>
        <v>2825.6045401989327</v>
      </c>
      <c r="G27" s="708">
        <f t="shared" ca="1" si="3"/>
        <v>15082.546950939424</v>
      </c>
      <c r="H27" s="708">
        <f t="shared" si="3"/>
        <v>209218.72505963818</v>
      </c>
      <c r="I27" s="708">
        <f t="shared" si="3"/>
        <v>35363.950018759358</v>
      </c>
      <c r="J27" s="708">
        <f t="shared" si="3"/>
        <v>0</v>
      </c>
      <c r="K27" s="708">
        <f t="shared" si="3"/>
        <v>274.22344010133293</v>
      </c>
      <c r="L27" s="708">
        <f t="shared" si="3"/>
        <v>0</v>
      </c>
      <c r="M27" s="708">
        <f t="shared" ca="1" si="3"/>
        <v>0</v>
      </c>
      <c r="N27" s="708">
        <f t="shared" si="3"/>
        <v>13189.273084832357</v>
      </c>
      <c r="O27" s="708">
        <f t="shared" ca="1" si="3"/>
        <v>19214.919859903868</v>
      </c>
      <c r="P27" s="708">
        <f t="shared" si="3"/>
        <v>125.06666666666666</v>
      </c>
      <c r="Q27" s="708">
        <f t="shared" si="3"/>
        <v>457.6</v>
      </c>
      <c r="R27" s="708">
        <f t="shared" ca="1" si="3"/>
        <v>608777.38786013226</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8965.3050973597074</v>
      </c>
      <c r="D40" s="1025">
        <f ca="1">tertiair!C20</f>
        <v>0</v>
      </c>
      <c r="E40" s="1025">
        <f ca="1">tertiair!D20</f>
        <v>4514.0766643318329</v>
      </c>
      <c r="F40" s="1025">
        <f>tertiair!E20</f>
        <v>65.318719493590493</v>
      </c>
      <c r="G40" s="1025">
        <f ca="1">tertiair!F20</f>
        <v>1801.275469055957</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15345.975950241089</v>
      </c>
    </row>
    <row r="41" spans="1:18">
      <c r="A41" s="823" t="s">
        <v>225</v>
      </c>
      <c r="B41" s="830"/>
      <c r="C41" s="1025">
        <f ca="1">huishoudens!B12</f>
        <v>6308.1046800659997</v>
      </c>
      <c r="D41" s="1025">
        <f ca="1">huishoudens!C12</f>
        <v>0</v>
      </c>
      <c r="E41" s="1025">
        <f>huishoudens!D12</f>
        <v>13400.947322678974</v>
      </c>
      <c r="F41" s="1025">
        <f>huishoudens!E12</f>
        <v>164.03177876173879</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19873.083781506713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3590.2803103741394</v>
      </c>
      <c r="D43" s="1025">
        <f ca="1">industrie!C22</f>
        <v>0</v>
      </c>
      <c r="E43" s="1025">
        <f>industrie!D22</f>
        <v>10432.767573356738</v>
      </c>
      <c r="F43" s="1025">
        <f>industrie!E22</f>
        <v>257.53527905792447</v>
      </c>
      <c r="G43" s="1025">
        <f>industrie!F22</f>
        <v>1286.2551088634791</v>
      </c>
      <c r="H43" s="1025">
        <f>industrie!G22</f>
        <v>0</v>
      </c>
      <c r="I43" s="1025">
        <f>industrie!H22</f>
        <v>0</v>
      </c>
      <c r="J43" s="1025">
        <f>industrie!I22</f>
        <v>0</v>
      </c>
      <c r="K43" s="1025">
        <f>industrie!J22</f>
        <v>21.806495696471728</v>
      </c>
      <c r="L43" s="1025">
        <f>industrie!K22</f>
        <v>0</v>
      </c>
      <c r="M43" s="1025">
        <f>industrie!L22</f>
        <v>0</v>
      </c>
      <c r="N43" s="1025">
        <f>industrie!M22</f>
        <v>0</v>
      </c>
      <c r="O43" s="1025">
        <f>industrie!N22</f>
        <v>0</v>
      </c>
      <c r="P43" s="1025">
        <f>industrie!O22</f>
        <v>0</v>
      </c>
      <c r="Q43" s="775">
        <f>industrie!P22</f>
        <v>0</v>
      </c>
      <c r="R43" s="850">
        <f t="shared" ca="1" si="4"/>
        <v>15588.644767348751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18863.690087799845</v>
      </c>
      <c r="D46" s="733">
        <f t="shared" ref="D46:Q46" ca="1" si="5">SUM(D39:D45)</f>
        <v>0</v>
      </c>
      <c r="E46" s="733">
        <f t="shared" ca="1" si="5"/>
        <v>28347.791560367543</v>
      </c>
      <c r="F46" s="733">
        <f t="shared" si="5"/>
        <v>486.88577731325375</v>
      </c>
      <c r="G46" s="733">
        <f t="shared" ca="1" si="5"/>
        <v>3087.5305779194359</v>
      </c>
      <c r="H46" s="733">
        <f t="shared" si="5"/>
        <v>0</v>
      </c>
      <c r="I46" s="733">
        <f t="shared" si="5"/>
        <v>0</v>
      </c>
      <c r="J46" s="733">
        <f t="shared" si="5"/>
        <v>0</v>
      </c>
      <c r="K46" s="733">
        <f t="shared" si="5"/>
        <v>21.806495696471728</v>
      </c>
      <c r="L46" s="733">
        <f t="shared" si="5"/>
        <v>0</v>
      </c>
      <c r="M46" s="733">
        <f t="shared" ca="1" si="5"/>
        <v>0</v>
      </c>
      <c r="N46" s="733">
        <f t="shared" si="5"/>
        <v>0</v>
      </c>
      <c r="O46" s="733">
        <f t="shared" ca="1" si="5"/>
        <v>0</v>
      </c>
      <c r="P46" s="733">
        <f t="shared" si="5"/>
        <v>0</v>
      </c>
      <c r="Q46" s="733">
        <f t="shared" si="5"/>
        <v>0</v>
      </c>
      <c r="R46" s="733">
        <f ca="1">SUM(R39:R45)</f>
        <v>50807.704499096551</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556.40046524812635</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556.40046524812635</v>
      </c>
    </row>
    <row r="50" spans="1:18">
      <c r="A50" s="826" t="s">
        <v>307</v>
      </c>
      <c r="B50" s="836"/>
      <c r="C50" s="704">
        <f ca="1">transport!B18</f>
        <v>8.3169715963912605</v>
      </c>
      <c r="D50" s="704">
        <f>transport!C18</f>
        <v>0</v>
      </c>
      <c r="E50" s="704">
        <f>transport!D18</f>
        <v>18.334181977992952</v>
      </c>
      <c r="F50" s="704">
        <f>transport!E18</f>
        <v>151.61045618826608</v>
      </c>
      <c r="G50" s="704">
        <f>transport!F18</f>
        <v>0</v>
      </c>
      <c r="H50" s="704">
        <f>transport!G18</f>
        <v>55304.999125675269</v>
      </c>
      <c r="I50" s="704">
        <f>transport!H18</f>
        <v>8805.6235546710795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64288.884290109003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8.3169715963912605</v>
      </c>
      <c r="D52" s="733">
        <f t="shared" ref="D52:Q52" ca="1" si="6">SUM(D48:D51)</f>
        <v>0</v>
      </c>
      <c r="E52" s="733">
        <f t="shared" si="6"/>
        <v>18.334181977992952</v>
      </c>
      <c r="F52" s="733">
        <f t="shared" si="6"/>
        <v>151.61045618826608</v>
      </c>
      <c r="G52" s="733">
        <f t="shared" si="6"/>
        <v>0</v>
      </c>
      <c r="H52" s="733">
        <f t="shared" si="6"/>
        <v>55861.399590923393</v>
      </c>
      <c r="I52" s="733">
        <f t="shared" si="6"/>
        <v>8805.6235546710795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64845.284755357126</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308.61550167060858</v>
      </c>
      <c r="D54" s="704">
        <f ca="1">+landbouw!C12</f>
        <v>19660.371428571434</v>
      </c>
      <c r="E54" s="704">
        <f>+landbouw!D12</f>
        <v>0</v>
      </c>
      <c r="F54" s="704">
        <f>+landbouw!E12</f>
        <v>2.9159971236379612</v>
      </c>
      <c r="G54" s="704">
        <f>+landbouw!F12</f>
        <v>939.50945798139037</v>
      </c>
      <c r="H54" s="704">
        <f>+landbouw!G12</f>
        <v>0</v>
      </c>
      <c r="I54" s="704">
        <f>+landbouw!H12</f>
        <v>0</v>
      </c>
      <c r="J54" s="704">
        <f>+landbouw!I12</f>
        <v>0</v>
      </c>
      <c r="K54" s="704">
        <f>+landbouw!J12</f>
        <v>75.268602099400113</v>
      </c>
      <c r="L54" s="704">
        <f>+landbouw!K12</f>
        <v>0</v>
      </c>
      <c r="M54" s="704">
        <f>+landbouw!L12</f>
        <v>0</v>
      </c>
      <c r="N54" s="704">
        <f>+landbouw!M12</f>
        <v>0</v>
      </c>
      <c r="O54" s="704">
        <f>+landbouw!N12</f>
        <v>0</v>
      </c>
      <c r="P54" s="704">
        <f>+landbouw!O12</f>
        <v>0</v>
      </c>
      <c r="Q54" s="705">
        <f>+landbouw!P12</f>
        <v>0</v>
      </c>
      <c r="R54" s="732">
        <f ca="1">SUM(C54:Q54)</f>
        <v>20986.680987446467</v>
      </c>
    </row>
    <row r="55" spans="1:18" ht="15" thickBot="1">
      <c r="A55" s="826" t="s">
        <v>864</v>
      </c>
      <c r="B55" s="836"/>
      <c r="C55" s="704">
        <f ca="1">C25*'EF ele_warmte'!B12</f>
        <v>216.29688554902924</v>
      </c>
      <c r="D55" s="704"/>
      <c r="E55" s="704">
        <f>E25*EF_CO2_aardgas</f>
        <v>545.98149697333167</v>
      </c>
      <c r="F55" s="704"/>
      <c r="G55" s="704"/>
      <c r="H55" s="704"/>
      <c r="I55" s="704"/>
      <c r="J55" s="704"/>
      <c r="K55" s="704"/>
      <c r="L55" s="704"/>
      <c r="M55" s="704"/>
      <c r="N55" s="704"/>
      <c r="O55" s="704"/>
      <c r="P55" s="704"/>
      <c r="Q55" s="705"/>
      <c r="R55" s="732">
        <f ca="1">SUM(C55:Q55)</f>
        <v>762.27838252236097</v>
      </c>
    </row>
    <row r="56" spans="1:18" ht="15.75" thickBot="1">
      <c r="A56" s="824" t="s">
        <v>865</v>
      </c>
      <c r="B56" s="837"/>
      <c r="C56" s="733">
        <f ca="1">SUM(C54:C55)</f>
        <v>524.91238721963782</v>
      </c>
      <c r="D56" s="733">
        <f t="shared" ref="D56:Q56" ca="1" si="7">SUM(D54:D55)</f>
        <v>19660.371428571434</v>
      </c>
      <c r="E56" s="733">
        <f t="shared" si="7"/>
        <v>545.98149697333167</v>
      </c>
      <c r="F56" s="733">
        <f t="shared" si="7"/>
        <v>2.9159971236379612</v>
      </c>
      <c r="G56" s="733">
        <f t="shared" si="7"/>
        <v>939.50945798139037</v>
      </c>
      <c r="H56" s="733">
        <f t="shared" si="7"/>
        <v>0</v>
      </c>
      <c r="I56" s="733">
        <f t="shared" si="7"/>
        <v>0</v>
      </c>
      <c r="J56" s="733">
        <f t="shared" si="7"/>
        <v>0</v>
      </c>
      <c r="K56" s="733">
        <f t="shared" si="7"/>
        <v>75.268602099400113</v>
      </c>
      <c r="L56" s="733">
        <f t="shared" si="7"/>
        <v>0</v>
      </c>
      <c r="M56" s="733">
        <f t="shared" si="7"/>
        <v>0</v>
      </c>
      <c r="N56" s="733">
        <f t="shared" si="7"/>
        <v>0</v>
      </c>
      <c r="O56" s="733">
        <f t="shared" si="7"/>
        <v>0</v>
      </c>
      <c r="P56" s="733">
        <f t="shared" si="7"/>
        <v>0</v>
      </c>
      <c r="Q56" s="734">
        <f t="shared" si="7"/>
        <v>0</v>
      </c>
      <c r="R56" s="735">
        <f ca="1">SUM(R54:R55)</f>
        <v>21748.959369968827</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19396.919446615873</v>
      </c>
      <c r="D61" s="741">
        <f t="shared" ref="D61:Q61" ca="1" si="8">D46+D52+D56</f>
        <v>19660.371428571434</v>
      </c>
      <c r="E61" s="741">
        <f t="shared" ca="1" si="8"/>
        <v>28912.107239318866</v>
      </c>
      <c r="F61" s="741">
        <f t="shared" si="8"/>
        <v>641.41223062515769</v>
      </c>
      <c r="G61" s="741">
        <f t="shared" ca="1" si="8"/>
        <v>4027.0400359008263</v>
      </c>
      <c r="H61" s="741">
        <f t="shared" si="8"/>
        <v>55861.399590923393</v>
      </c>
      <c r="I61" s="741">
        <f t="shared" si="8"/>
        <v>8805.6235546710795</v>
      </c>
      <c r="J61" s="741">
        <f t="shared" si="8"/>
        <v>0</v>
      </c>
      <c r="K61" s="741">
        <f t="shared" si="8"/>
        <v>97.075097795871841</v>
      </c>
      <c r="L61" s="741">
        <f t="shared" si="8"/>
        <v>0</v>
      </c>
      <c r="M61" s="741">
        <f t="shared" ca="1" si="8"/>
        <v>0</v>
      </c>
      <c r="N61" s="741">
        <f t="shared" si="8"/>
        <v>0</v>
      </c>
      <c r="O61" s="741">
        <f t="shared" ca="1" si="8"/>
        <v>0</v>
      </c>
      <c r="P61" s="741">
        <f t="shared" si="8"/>
        <v>0</v>
      </c>
      <c r="Q61" s="741">
        <f t="shared" si="8"/>
        <v>0</v>
      </c>
      <c r="R61" s="741">
        <f ca="1">R46+R52+R56</f>
        <v>137401.94862442251</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0.22252608036941837</v>
      </c>
      <c r="D63" s="782">
        <f t="shared" ca="1" si="9"/>
        <v>0.23764705882352946</v>
      </c>
      <c r="E63" s="1036">
        <f t="shared" ca="1" si="9"/>
        <v>0.20200000000000001</v>
      </c>
      <c r="F63" s="782">
        <f t="shared" si="9"/>
        <v>0.22699999999999998</v>
      </c>
      <c r="G63" s="782">
        <f t="shared" ca="1" si="9"/>
        <v>0.26700000000000002</v>
      </c>
      <c r="H63" s="782">
        <f t="shared" si="9"/>
        <v>0.26700000000000002</v>
      </c>
      <c r="I63" s="782">
        <f t="shared" si="9"/>
        <v>0.24899999999999997</v>
      </c>
      <c r="J63" s="782">
        <f t="shared" si="9"/>
        <v>0</v>
      </c>
      <c r="K63" s="782">
        <f t="shared" si="9"/>
        <v>0.35399999999999993</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3760.2521747801338</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57910.5</v>
      </c>
      <c r="D76" s="1046">
        <f>'lokale energieproductie'!C8</f>
        <v>68130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13762.26</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3760.2521747801338</v>
      </c>
      <c r="C78" s="756">
        <f>SUM(C72:C77)</f>
        <v>57910.5</v>
      </c>
      <c r="D78" s="757">
        <f t="shared" ref="D78:H78" si="10">SUM(D76:D77)</f>
        <v>68130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13762.26</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82729.285714285725</v>
      </c>
      <c r="D87" s="778">
        <f>'lokale energieproductie'!C17</f>
        <v>97328.571428571449</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19660.371428571434</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82729.285714285725</v>
      </c>
      <c r="D90" s="756">
        <f t="shared" ref="D90:H90" si="12">SUM(D87:D89)</f>
        <v>97328.571428571449</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19660.371428571434</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3760.2521747801338</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57910.5</v>
      </c>
      <c r="C8" s="571">
        <f>B101</f>
        <v>68130</v>
      </c>
      <c r="D8" s="1056"/>
      <c r="E8" s="1056">
        <f>E101</f>
        <v>0</v>
      </c>
      <c r="F8" s="1057"/>
      <c r="G8" s="572"/>
      <c r="H8" s="1056">
        <f>I101</f>
        <v>0</v>
      </c>
      <c r="I8" s="1056">
        <f>G101+F101</f>
        <v>0</v>
      </c>
      <c r="J8" s="1056">
        <f>H101+D101+C101</f>
        <v>0</v>
      </c>
      <c r="K8" s="1056"/>
      <c r="L8" s="1056"/>
      <c r="M8" s="1056"/>
      <c r="N8" s="573"/>
      <c r="O8" s="574">
        <f>C8*$C$12+D8*$D$12+E8*$E$12+F8*$F$12+G8*$G$12+H8*$H$12+I8*$I$12+J8*$J$12</f>
        <v>13762.26</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61670.752174780137</v>
      </c>
      <c r="C10" s="584">
        <f t="shared" ref="C10:L10" si="0">SUM(C8:C9)</f>
        <v>68130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13762.26</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82729.285714285725</v>
      </c>
      <c r="C17" s="596">
        <f>B102</f>
        <v>97328.571428571449</v>
      </c>
      <c r="D17" s="597"/>
      <c r="E17" s="597">
        <f>E102</f>
        <v>0</v>
      </c>
      <c r="F17" s="1062"/>
      <c r="G17" s="598"/>
      <c r="H17" s="596">
        <f>I102</f>
        <v>0</v>
      </c>
      <c r="I17" s="597">
        <f>G102+F102</f>
        <v>0</v>
      </c>
      <c r="J17" s="597">
        <f>H102+D102+C102</f>
        <v>0</v>
      </c>
      <c r="K17" s="597"/>
      <c r="L17" s="597"/>
      <c r="M17" s="597"/>
      <c r="N17" s="1063"/>
      <c r="O17" s="599">
        <f>C17*$C$22+E17*$E$22+H17*$H$22+I17*$I$22+J17*$J$22+D17*$D$22+F17*$F$22+G17*$G$22+K17*$K$22+L17*$L$22</f>
        <v>19660.371428571434</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82729.285714285725</v>
      </c>
      <c r="C20" s="583">
        <f>SUM(C17:C19)</f>
        <v>97328.571428571449</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19660.371428571434</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11037</v>
      </c>
      <c r="C28" s="797">
        <v>2840</v>
      </c>
      <c r="D28" s="654" t="s">
        <v>907</v>
      </c>
      <c r="E28" s="653" t="s">
        <v>908</v>
      </c>
      <c r="F28" s="653" t="s">
        <v>909</v>
      </c>
      <c r="G28" s="653" t="s">
        <v>910</v>
      </c>
      <c r="H28" s="653" t="s">
        <v>911</v>
      </c>
      <c r="I28" s="653" t="s">
        <v>912</v>
      </c>
      <c r="J28" s="796">
        <v>41040</v>
      </c>
      <c r="K28" s="796">
        <v>39164</v>
      </c>
      <c r="L28" s="653" t="s">
        <v>913</v>
      </c>
      <c r="M28" s="653">
        <v>2358</v>
      </c>
      <c r="N28" s="653">
        <v>10611</v>
      </c>
      <c r="O28" s="653">
        <v>15158.571428571429</v>
      </c>
      <c r="P28" s="653">
        <v>30317.142857142859</v>
      </c>
      <c r="Q28" s="653">
        <v>0</v>
      </c>
      <c r="R28" s="653">
        <v>0</v>
      </c>
      <c r="S28" s="653">
        <v>0</v>
      </c>
      <c r="T28" s="653">
        <v>0</v>
      </c>
      <c r="U28" s="653">
        <v>0</v>
      </c>
      <c r="V28" s="653">
        <v>0</v>
      </c>
      <c r="W28" s="653">
        <v>0</v>
      </c>
      <c r="X28" s="653">
        <v>10</v>
      </c>
      <c r="Y28" s="653" t="s">
        <v>112</v>
      </c>
      <c r="Z28" s="655" t="s">
        <v>112</v>
      </c>
    </row>
    <row r="29" spans="1:26" s="607" customFormat="1" ht="25.5">
      <c r="A29" s="606"/>
      <c r="B29" s="797">
        <v>11037</v>
      </c>
      <c r="C29" s="797">
        <v>2840</v>
      </c>
      <c r="D29" s="654" t="s">
        <v>914</v>
      </c>
      <c r="E29" s="653" t="s">
        <v>915</v>
      </c>
      <c r="F29" s="653" t="s">
        <v>916</v>
      </c>
      <c r="G29" s="653" t="s">
        <v>910</v>
      </c>
      <c r="H29" s="653" t="s">
        <v>911</v>
      </c>
      <c r="I29" s="653" t="s">
        <v>915</v>
      </c>
      <c r="J29" s="796">
        <v>41523</v>
      </c>
      <c r="K29" s="796">
        <v>39170</v>
      </c>
      <c r="L29" s="653" t="s">
        <v>913</v>
      </c>
      <c r="M29" s="653">
        <v>1944</v>
      </c>
      <c r="N29" s="653">
        <v>8748</v>
      </c>
      <c r="O29" s="653">
        <v>12497.142857142857</v>
      </c>
      <c r="P29" s="653">
        <v>24994.285714285717</v>
      </c>
      <c r="Q29" s="653">
        <v>0</v>
      </c>
      <c r="R29" s="653">
        <v>0</v>
      </c>
      <c r="S29" s="653">
        <v>0</v>
      </c>
      <c r="T29" s="653">
        <v>0</v>
      </c>
      <c r="U29" s="653">
        <v>0</v>
      </c>
      <c r="V29" s="653">
        <v>0</v>
      </c>
      <c r="W29" s="653">
        <v>0</v>
      </c>
      <c r="X29" s="653">
        <v>10</v>
      </c>
      <c r="Y29" s="653" t="s">
        <v>112</v>
      </c>
      <c r="Z29" s="655" t="s">
        <v>112</v>
      </c>
    </row>
    <row r="30" spans="1:26" s="607" customFormat="1" ht="25.5">
      <c r="A30" s="606"/>
      <c r="B30" s="797">
        <v>11037</v>
      </c>
      <c r="C30" s="797">
        <v>2840</v>
      </c>
      <c r="D30" s="654" t="s">
        <v>917</v>
      </c>
      <c r="E30" s="653" t="s">
        <v>918</v>
      </c>
      <c r="F30" s="653" t="s">
        <v>919</v>
      </c>
      <c r="G30" s="653" t="s">
        <v>910</v>
      </c>
      <c r="H30" s="653" t="s">
        <v>911</v>
      </c>
      <c r="I30" s="653" t="s">
        <v>918</v>
      </c>
      <c r="J30" s="796">
        <v>41043</v>
      </c>
      <c r="K30" s="796">
        <v>39195</v>
      </c>
      <c r="L30" s="653" t="s">
        <v>913</v>
      </c>
      <c r="M30" s="653">
        <v>2358</v>
      </c>
      <c r="N30" s="653">
        <v>10611</v>
      </c>
      <c r="O30" s="653">
        <v>15158.571428571429</v>
      </c>
      <c r="P30" s="653">
        <v>30317.142857142859</v>
      </c>
      <c r="Q30" s="653">
        <v>0</v>
      </c>
      <c r="R30" s="653">
        <v>0</v>
      </c>
      <c r="S30" s="653">
        <v>0</v>
      </c>
      <c r="T30" s="653">
        <v>0</v>
      </c>
      <c r="U30" s="653">
        <v>0</v>
      </c>
      <c r="V30" s="653">
        <v>0</v>
      </c>
      <c r="W30" s="653">
        <v>0</v>
      </c>
      <c r="X30" s="653">
        <v>10</v>
      </c>
      <c r="Y30" s="653" t="s">
        <v>112</v>
      </c>
      <c r="Z30" s="655" t="s">
        <v>112</v>
      </c>
    </row>
    <row r="31" spans="1:26" s="607" customFormat="1" ht="25.5">
      <c r="A31" s="606"/>
      <c r="B31" s="797">
        <v>11037</v>
      </c>
      <c r="C31" s="797">
        <v>2840</v>
      </c>
      <c r="D31" s="654" t="s">
        <v>920</v>
      </c>
      <c r="E31" s="653" t="s">
        <v>921</v>
      </c>
      <c r="F31" s="653" t="s">
        <v>922</v>
      </c>
      <c r="G31" s="653" t="s">
        <v>910</v>
      </c>
      <c r="H31" s="653" t="s">
        <v>911</v>
      </c>
      <c r="I31" s="653" t="s">
        <v>921</v>
      </c>
      <c r="J31" s="796">
        <v>39838</v>
      </c>
      <c r="K31" s="796">
        <v>39198</v>
      </c>
      <c r="L31" s="653" t="s">
        <v>913</v>
      </c>
      <c r="M31" s="653">
        <v>2333</v>
      </c>
      <c r="N31" s="653">
        <v>10498.5</v>
      </c>
      <c r="O31" s="653">
        <v>14997.857142857143</v>
      </c>
      <c r="P31" s="653">
        <v>29995.714285714286</v>
      </c>
      <c r="Q31" s="653">
        <v>0</v>
      </c>
      <c r="R31" s="653">
        <v>0</v>
      </c>
      <c r="S31" s="653">
        <v>0</v>
      </c>
      <c r="T31" s="653">
        <v>0</v>
      </c>
      <c r="U31" s="653">
        <v>0</v>
      </c>
      <c r="V31" s="653">
        <v>0</v>
      </c>
      <c r="W31" s="653">
        <v>0</v>
      </c>
      <c r="X31" s="653">
        <v>10</v>
      </c>
      <c r="Y31" s="653" t="s">
        <v>112</v>
      </c>
      <c r="Z31" s="655" t="s">
        <v>112</v>
      </c>
    </row>
    <row r="32" spans="1:26" s="607" customFormat="1" ht="25.5">
      <c r="A32" s="606"/>
      <c r="B32" s="797">
        <v>11037</v>
      </c>
      <c r="C32" s="797">
        <v>2840</v>
      </c>
      <c r="D32" s="654" t="s">
        <v>923</v>
      </c>
      <c r="E32" s="653" t="s">
        <v>924</v>
      </c>
      <c r="F32" s="653" t="s">
        <v>925</v>
      </c>
      <c r="G32" s="653" t="s">
        <v>910</v>
      </c>
      <c r="H32" s="653" t="s">
        <v>911</v>
      </c>
      <c r="I32" s="653" t="s">
        <v>924</v>
      </c>
      <c r="J32" s="796">
        <v>39203</v>
      </c>
      <c r="K32" s="796">
        <v>39303</v>
      </c>
      <c r="L32" s="653" t="s">
        <v>913</v>
      </c>
      <c r="M32" s="653">
        <v>1532</v>
      </c>
      <c r="N32" s="653">
        <v>6894</v>
      </c>
      <c r="O32" s="653">
        <v>9848.5714285714294</v>
      </c>
      <c r="P32" s="653">
        <v>19697.142857142859</v>
      </c>
      <c r="Q32" s="653">
        <v>0</v>
      </c>
      <c r="R32" s="653">
        <v>0</v>
      </c>
      <c r="S32" s="653">
        <v>0</v>
      </c>
      <c r="T32" s="653">
        <v>0</v>
      </c>
      <c r="U32" s="653">
        <v>0</v>
      </c>
      <c r="V32" s="653">
        <v>0</v>
      </c>
      <c r="W32" s="653">
        <v>0</v>
      </c>
      <c r="X32" s="653">
        <v>10</v>
      </c>
      <c r="Y32" s="653" t="s">
        <v>112</v>
      </c>
      <c r="Z32" s="655" t="s">
        <v>112</v>
      </c>
    </row>
    <row r="33" spans="1:26" s="607" customFormat="1" ht="25.5">
      <c r="A33" s="606"/>
      <c r="B33" s="797">
        <v>11037</v>
      </c>
      <c r="C33" s="797">
        <v>2840</v>
      </c>
      <c r="D33" s="654" t="s">
        <v>926</v>
      </c>
      <c r="E33" s="653" t="s">
        <v>927</v>
      </c>
      <c r="F33" s="653" t="s">
        <v>928</v>
      </c>
      <c r="G33" s="653" t="s">
        <v>910</v>
      </c>
      <c r="H33" s="653" t="s">
        <v>911</v>
      </c>
      <c r="I33" s="653" t="s">
        <v>927</v>
      </c>
      <c r="J33" s="796">
        <v>39203</v>
      </c>
      <c r="K33" s="796">
        <v>39303</v>
      </c>
      <c r="L33" s="653" t="s">
        <v>913</v>
      </c>
      <c r="M33" s="653">
        <v>1532</v>
      </c>
      <c r="N33" s="653">
        <v>6894</v>
      </c>
      <c r="O33" s="653">
        <v>9848.5714285714294</v>
      </c>
      <c r="P33" s="653">
        <v>19697.142857142859</v>
      </c>
      <c r="Q33" s="653">
        <v>0</v>
      </c>
      <c r="R33" s="653">
        <v>0</v>
      </c>
      <c r="S33" s="653">
        <v>0</v>
      </c>
      <c r="T33" s="653">
        <v>0</v>
      </c>
      <c r="U33" s="653">
        <v>0</v>
      </c>
      <c r="V33" s="653">
        <v>0</v>
      </c>
      <c r="W33" s="653">
        <v>0</v>
      </c>
      <c r="X33" s="653">
        <v>11</v>
      </c>
      <c r="Y33" s="653" t="s">
        <v>112</v>
      </c>
      <c r="Z33" s="655" t="s">
        <v>112</v>
      </c>
    </row>
    <row r="34" spans="1:26" s="607" customFormat="1" ht="25.5">
      <c r="A34" s="606"/>
      <c r="B34" s="797">
        <v>11037</v>
      </c>
      <c r="C34" s="797">
        <v>2840</v>
      </c>
      <c r="D34" s="654" t="s">
        <v>929</v>
      </c>
      <c r="E34" s="653" t="s">
        <v>930</v>
      </c>
      <c r="F34" s="653" t="s">
        <v>931</v>
      </c>
      <c r="G34" s="653" t="s">
        <v>910</v>
      </c>
      <c r="H34" s="653" t="s">
        <v>911</v>
      </c>
      <c r="I34" s="653" t="s">
        <v>930</v>
      </c>
      <c r="J34" s="796">
        <v>41037</v>
      </c>
      <c r="K34" s="796">
        <v>41037</v>
      </c>
      <c r="L34" s="653" t="s">
        <v>913</v>
      </c>
      <c r="M34" s="653">
        <v>800</v>
      </c>
      <c r="N34" s="653">
        <v>3600</v>
      </c>
      <c r="O34" s="653">
        <v>5142.8571428571431</v>
      </c>
      <c r="P34" s="653">
        <v>10285.714285714286</v>
      </c>
      <c r="Q34" s="653">
        <v>0</v>
      </c>
      <c r="R34" s="653">
        <v>0</v>
      </c>
      <c r="S34" s="653">
        <v>0</v>
      </c>
      <c r="T34" s="653">
        <v>0</v>
      </c>
      <c r="U34" s="653">
        <v>0</v>
      </c>
      <c r="V34" s="653">
        <v>0</v>
      </c>
      <c r="W34" s="653">
        <v>0</v>
      </c>
      <c r="X34" s="653">
        <v>10</v>
      </c>
      <c r="Y34" s="653" t="s">
        <v>112</v>
      </c>
      <c r="Z34" s="655" t="s">
        <v>112</v>
      </c>
    </row>
    <row r="35" spans="1:26" s="607" customFormat="1" ht="25.5">
      <c r="A35" s="606"/>
      <c r="B35" s="797">
        <v>11037</v>
      </c>
      <c r="C35" s="797">
        <v>2840</v>
      </c>
      <c r="D35" s="654" t="s">
        <v>932</v>
      </c>
      <c r="E35" s="653" t="s">
        <v>933</v>
      </c>
      <c r="F35" s="653" t="s">
        <v>934</v>
      </c>
      <c r="G35" s="653" t="s">
        <v>910</v>
      </c>
      <c r="H35" s="653" t="s">
        <v>911</v>
      </c>
      <c r="I35" s="653" t="s">
        <v>933</v>
      </c>
      <c r="J35" s="796">
        <v>41431</v>
      </c>
      <c r="K35" s="796">
        <v>41431</v>
      </c>
      <c r="L35" s="653" t="s">
        <v>913</v>
      </c>
      <c r="M35" s="653">
        <v>12</v>
      </c>
      <c r="N35" s="653">
        <v>54</v>
      </c>
      <c r="O35" s="653">
        <v>77.142857142857139</v>
      </c>
      <c r="P35" s="653">
        <v>154.28571428571431</v>
      </c>
      <c r="Q35" s="653">
        <v>0</v>
      </c>
      <c r="R35" s="653">
        <v>0</v>
      </c>
      <c r="S35" s="653">
        <v>0</v>
      </c>
      <c r="T35" s="653">
        <v>0</v>
      </c>
      <c r="U35" s="653">
        <v>0</v>
      </c>
      <c r="V35" s="653">
        <v>0</v>
      </c>
      <c r="W35" s="653">
        <v>0</v>
      </c>
      <c r="X35" s="653">
        <v>10</v>
      </c>
      <c r="Y35" s="653" t="s">
        <v>112</v>
      </c>
      <c r="Z35" s="655" t="s">
        <v>112</v>
      </c>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12869</v>
      </c>
      <c r="N58" s="611">
        <f>SUM(N28:N57)</f>
        <v>57910.5</v>
      </c>
      <c r="O58" s="611">
        <f t="shared" ref="O58:W58" si="2">SUM(O28:O57)</f>
        <v>82729.285714285725</v>
      </c>
      <c r="P58" s="611">
        <f t="shared" si="2"/>
        <v>165458.57142857145</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12869</v>
      </c>
      <c r="N61" s="616">
        <f t="shared" si="4"/>
        <v>57910.5</v>
      </c>
      <c r="O61" s="616">
        <f t="shared" si="4"/>
        <v>82729.285714285725</v>
      </c>
      <c r="P61" s="616">
        <f t="shared" si="4"/>
        <v>165458.57142857145</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0.41176470588235287</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68130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97328.571428571449</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28347.709489125202</v>
      </c>
      <c r="C4" s="478">
        <f>huishoudens!C8</f>
        <v>0</v>
      </c>
      <c r="D4" s="478">
        <f>huishoudens!D8</f>
        <v>66341.323379598878</v>
      </c>
      <c r="E4" s="478">
        <f>huishoudens!E8</f>
        <v>722.60695489752766</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4338.8304431425167</v>
      </c>
      <c r="O4" s="478">
        <f>huishoudens!O8</f>
        <v>125.06666666666666</v>
      </c>
      <c r="P4" s="479">
        <f>huishoudens!P8</f>
        <v>457.6</v>
      </c>
      <c r="Q4" s="480">
        <f>SUM(B4:P4)</f>
        <v>100333.1369334308</v>
      </c>
    </row>
    <row r="5" spans="1:17">
      <c r="A5" s="477" t="s">
        <v>156</v>
      </c>
      <c r="B5" s="478">
        <f ca="1">tertiair!B16</f>
        <v>39217.601600000002</v>
      </c>
      <c r="C5" s="478">
        <f ca="1">tertiair!C16</f>
        <v>0</v>
      </c>
      <c r="D5" s="478">
        <f ca="1">tertiair!D16</f>
        <v>22346.914179860556</v>
      </c>
      <c r="E5" s="478">
        <f>tertiair!E16</f>
        <v>287.74766296735896</v>
      </c>
      <c r="F5" s="478">
        <f ca="1">tertiair!F16</f>
        <v>6746.3500713706253</v>
      </c>
      <c r="G5" s="478">
        <f>tertiair!G16</f>
        <v>0</v>
      </c>
      <c r="H5" s="478">
        <f>tertiair!H16</f>
        <v>0</v>
      </c>
      <c r="I5" s="478">
        <f>tertiair!I16</f>
        <v>0</v>
      </c>
      <c r="J5" s="478">
        <f>tertiair!J16</f>
        <v>0</v>
      </c>
      <c r="K5" s="478">
        <f>tertiair!K16</f>
        <v>0</v>
      </c>
      <c r="L5" s="478">
        <f ca="1">tertiair!L16</f>
        <v>0</v>
      </c>
      <c r="M5" s="478">
        <f>tertiair!M16</f>
        <v>0</v>
      </c>
      <c r="N5" s="478">
        <f ca="1">tertiair!N16</f>
        <v>11775.268424735214</v>
      </c>
      <c r="O5" s="478">
        <f>tertiair!O16</f>
        <v>0</v>
      </c>
      <c r="P5" s="479">
        <f>tertiair!P16</f>
        <v>0</v>
      </c>
      <c r="Q5" s="477">
        <f t="shared" ref="Q5:Q14" ca="1" si="0">SUM(B5:P5)</f>
        <v>80373.881938933759</v>
      </c>
    </row>
    <row r="6" spans="1:17">
      <c r="A6" s="477" t="s">
        <v>194</v>
      </c>
      <c r="B6" s="478">
        <f>'openbare verlichting'!B8</f>
        <v>1071.182</v>
      </c>
      <c r="C6" s="478"/>
      <c r="D6" s="478"/>
      <c r="E6" s="478"/>
      <c r="F6" s="478"/>
      <c r="G6" s="478"/>
      <c r="H6" s="478"/>
      <c r="I6" s="478"/>
      <c r="J6" s="478"/>
      <c r="K6" s="478"/>
      <c r="L6" s="478"/>
      <c r="M6" s="478"/>
      <c r="N6" s="478"/>
      <c r="O6" s="478"/>
      <c r="P6" s="479"/>
      <c r="Q6" s="477">
        <f t="shared" si="0"/>
        <v>1071.182</v>
      </c>
    </row>
    <row r="7" spans="1:17">
      <c r="A7" s="477" t="s">
        <v>112</v>
      </c>
      <c r="B7" s="478">
        <f>landbouw!B8</f>
        <v>1386.8733999999999</v>
      </c>
      <c r="C7" s="478">
        <f>landbouw!C8</f>
        <v>82729.285714285725</v>
      </c>
      <c r="D7" s="478">
        <f>landbouw!D8</f>
        <v>0</v>
      </c>
      <c r="E7" s="478">
        <f>landbouw!E8</f>
        <v>12.845802306775159</v>
      </c>
      <c r="F7" s="478">
        <f>landbouw!F8</f>
        <v>3518.7620149115742</v>
      </c>
      <c r="G7" s="478">
        <f>landbouw!G8</f>
        <v>0</v>
      </c>
      <c r="H7" s="478">
        <f>landbouw!H8</f>
        <v>0</v>
      </c>
      <c r="I7" s="478">
        <f>landbouw!I8</f>
        <v>0</v>
      </c>
      <c r="J7" s="478">
        <f>landbouw!J8</f>
        <v>212.62316977231671</v>
      </c>
      <c r="K7" s="478">
        <f>landbouw!K8</f>
        <v>0</v>
      </c>
      <c r="L7" s="478">
        <f>landbouw!L8</f>
        <v>0</v>
      </c>
      <c r="M7" s="478">
        <f>landbouw!M8</f>
        <v>0</v>
      </c>
      <c r="N7" s="478">
        <f>landbouw!N8</f>
        <v>0</v>
      </c>
      <c r="O7" s="478">
        <f>landbouw!O8</f>
        <v>0</v>
      </c>
      <c r="P7" s="479">
        <f>landbouw!P8</f>
        <v>0</v>
      </c>
      <c r="Q7" s="477">
        <f t="shared" si="0"/>
        <v>87860.390101276382</v>
      </c>
    </row>
    <row r="8" spans="1:17">
      <c r="A8" s="477" t="s">
        <v>650</v>
      </c>
      <c r="B8" s="478">
        <f>industrie!B18</f>
        <v>16134.20011</v>
      </c>
      <c r="C8" s="478">
        <f>industrie!C18</f>
        <v>0</v>
      </c>
      <c r="D8" s="478">
        <f>industrie!D18</f>
        <v>51647.364224538302</v>
      </c>
      <c r="E8" s="478">
        <f>industrie!E18</f>
        <v>1134.5166478322662</v>
      </c>
      <c r="F8" s="478">
        <f>industrie!F18</f>
        <v>4817.4348646572253</v>
      </c>
      <c r="G8" s="478">
        <f>industrie!G18</f>
        <v>0</v>
      </c>
      <c r="H8" s="478">
        <f>industrie!H18</f>
        <v>0</v>
      </c>
      <c r="I8" s="478">
        <f>industrie!I18</f>
        <v>0</v>
      </c>
      <c r="J8" s="478">
        <f>industrie!J18</f>
        <v>61.600270329016183</v>
      </c>
      <c r="K8" s="478">
        <f>industrie!K18</f>
        <v>0</v>
      </c>
      <c r="L8" s="478">
        <f>industrie!L18</f>
        <v>0</v>
      </c>
      <c r="M8" s="478">
        <f>industrie!M18</f>
        <v>0</v>
      </c>
      <c r="N8" s="478">
        <f>industrie!N18</f>
        <v>3100.8209920261388</v>
      </c>
      <c r="O8" s="478">
        <f>industrie!O18</f>
        <v>0</v>
      </c>
      <c r="P8" s="479">
        <f>industrie!P18</f>
        <v>0</v>
      </c>
      <c r="Q8" s="477">
        <f t="shared" si="0"/>
        <v>76895.937109382954</v>
      </c>
    </row>
    <row r="9" spans="1:17" s="483" customFormat="1">
      <c r="A9" s="481" t="s">
        <v>571</v>
      </c>
      <c r="B9" s="482">
        <f>transport!B14</f>
        <v>37.375266676985227</v>
      </c>
      <c r="C9" s="482">
        <f>transport!C14</f>
        <v>0</v>
      </c>
      <c r="D9" s="482">
        <f>transport!D14</f>
        <v>90.763277118776983</v>
      </c>
      <c r="E9" s="482">
        <f>transport!E14</f>
        <v>667.88747219500476</v>
      </c>
      <c r="F9" s="482">
        <f>transport!F14</f>
        <v>0</v>
      </c>
      <c r="G9" s="482">
        <f>transport!G14</f>
        <v>207134.82818604968</v>
      </c>
      <c r="H9" s="482">
        <f>transport!H14</f>
        <v>35363.950018759358</v>
      </c>
      <c r="I9" s="482">
        <f>transport!I14</f>
        <v>0</v>
      </c>
      <c r="J9" s="482">
        <f>transport!J14</f>
        <v>0</v>
      </c>
      <c r="K9" s="482">
        <f>transport!K14</f>
        <v>0</v>
      </c>
      <c r="L9" s="482">
        <f>transport!L14</f>
        <v>0</v>
      </c>
      <c r="M9" s="482">
        <f>transport!M14</f>
        <v>13070.434521019157</v>
      </c>
      <c r="N9" s="482">
        <f>transport!N14</f>
        <v>0</v>
      </c>
      <c r="O9" s="482">
        <f>transport!O14</f>
        <v>0</v>
      </c>
      <c r="P9" s="482">
        <f>transport!P14</f>
        <v>0</v>
      </c>
      <c r="Q9" s="481">
        <f>SUM(B9:P9)</f>
        <v>256365.23874181896</v>
      </c>
    </row>
    <row r="10" spans="1:17">
      <c r="A10" s="477" t="s">
        <v>561</v>
      </c>
      <c r="B10" s="478">
        <f>transport!B54</f>
        <v>0</v>
      </c>
      <c r="C10" s="478">
        <f>transport!C54</f>
        <v>0</v>
      </c>
      <c r="D10" s="478">
        <f>transport!D54</f>
        <v>0</v>
      </c>
      <c r="E10" s="478">
        <f>transport!E54</f>
        <v>0</v>
      </c>
      <c r="F10" s="478">
        <f>transport!F54</f>
        <v>0</v>
      </c>
      <c r="G10" s="478">
        <f>transport!G54</f>
        <v>2083.8968735884882</v>
      </c>
      <c r="H10" s="478">
        <f>transport!H54</f>
        <v>0</v>
      </c>
      <c r="I10" s="478">
        <f>transport!I54</f>
        <v>0</v>
      </c>
      <c r="J10" s="478">
        <f>transport!J54</f>
        <v>0</v>
      </c>
      <c r="K10" s="478">
        <f>transport!K54</f>
        <v>0</v>
      </c>
      <c r="L10" s="478">
        <f>transport!L54</f>
        <v>0</v>
      </c>
      <c r="M10" s="478">
        <f>transport!M54</f>
        <v>118.83856381320106</v>
      </c>
      <c r="N10" s="478">
        <f>transport!N54</f>
        <v>0</v>
      </c>
      <c r="O10" s="478">
        <f>transport!O54</f>
        <v>0</v>
      </c>
      <c r="P10" s="479">
        <f>transport!P54</f>
        <v>0</v>
      </c>
      <c r="Q10" s="477">
        <f t="shared" si="0"/>
        <v>2202.7354374016895</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972.00689999999997</v>
      </c>
      <c r="C14" s="485"/>
      <c r="D14" s="485">
        <f>'SEAP template'!E25</f>
        <v>2702.8786978877802</v>
      </c>
      <c r="E14" s="485"/>
      <c r="F14" s="485"/>
      <c r="G14" s="485"/>
      <c r="H14" s="485"/>
      <c r="I14" s="485"/>
      <c r="J14" s="485"/>
      <c r="K14" s="485"/>
      <c r="L14" s="485"/>
      <c r="M14" s="485"/>
      <c r="N14" s="485"/>
      <c r="O14" s="485"/>
      <c r="P14" s="486"/>
      <c r="Q14" s="477">
        <f t="shared" si="0"/>
        <v>3674.88559788778</v>
      </c>
    </row>
    <row r="15" spans="1:17" s="487" customFormat="1">
      <c r="A15" s="1051" t="s">
        <v>565</v>
      </c>
      <c r="B15" s="991">
        <f ca="1">SUM(B4:B14)</f>
        <v>87166.948765802183</v>
      </c>
      <c r="C15" s="991">
        <f t="shared" ref="C15:Q15" ca="1" si="1">SUM(C4:C14)</f>
        <v>82729.285714285725</v>
      </c>
      <c r="D15" s="991">
        <f t="shared" ca="1" si="1"/>
        <v>143129.24375900428</v>
      </c>
      <c r="E15" s="991">
        <f t="shared" si="1"/>
        <v>2825.6045401989327</v>
      </c>
      <c r="F15" s="991">
        <f t="shared" ca="1" si="1"/>
        <v>15082.546950939424</v>
      </c>
      <c r="G15" s="991">
        <f t="shared" si="1"/>
        <v>209218.72505963818</v>
      </c>
      <c r="H15" s="991">
        <f t="shared" si="1"/>
        <v>35363.950018759358</v>
      </c>
      <c r="I15" s="991">
        <f t="shared" si="1"/>
        <v>0</v>
      </c>
      <c r="J15" s="991">
        <f t="shared" si="1"/>
        <v>274.22344010133293</v>
      </c>
      <c r="K15" s="991">
        <f t="shared" si="1"/>
        <v>0</v>
      </c>
      <c r="L15" s="991">
        <f t="shared" ca="1" si="1"/>
        <v>0</v>
      </c>
      <c r="M15" s="991">
        <f t="shared" si="1"/>
        <v>13189.273084832357</v>
      </c>
      <c r="N15" s="991">
        <f t="shared" ca="1" si="1"/>
        <v>19214.919859903868</v>
      </c>
      <c r="O15" s="991">
        <f t="shared" si="1"/>
        <v>125.06666666666666</v>
      </c>
      <c r="P15" s="991">
        <f t="shared" si="1"/>
        <v>457.6</v>
      </c>
      <c r="Q15" s="991">
        <f t="shared" ca="1" si="1"/>
        <v>608777.38786013226</v>
      </c>
    </row>
    <row r="17" spans="1:17">
      <c r="A17" s="488" t="s">
        <v>566</v>
      </c>
      <c r="B17" s="787">
        <f ca="1">huishoudens!B10</f>
        <v>0.22252608036941843</v>
      </c>
      <c r="C17" s="787">
        <f ca="1">huishoudens!C10</f>
        <v>0.23764705882352946</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6308.1046800659997</v>
      </c>
      <c r="C22" s="478">
        <f t="shared" ref="C22:C32" ca="1" si="3">C4*$C$17</f>
        <v>0</v>
      </c>
      <c r="D22" s="478">
        <f t="shared" ref="D22:D32" si="4">D4*$D$17</f>
        <v>13400.947322678974</v>
      </c>
      <c r="E22" s="478">
        <f t="shared" ref="E22:E32" si="5">E4*$E$17</f>
        <v>164.03177876173879</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19873.083781506713</v>
      </c>
    </row>
    <row r="23" spans="1:17">
      <c r="A23" s="477" t="s">
        <v>156</v>
      </c>
      <c r="B23" s="478">
        <f t="shared" ca="1" si="2"/>
        <v>8726.9391655374329</v>
      </c>
      <c r="C23" s="478">
        <f t="shared" ca="1" si="3"/>
        <v>0</v>
      </c>
      <c r="D23" s="478">
        <f t="shared" ca="1" si="4"/>
        <v>4514.0766643318329</v>
      </c>
      <c r="E23" s="478">
        <f t="shared" si="5"/>
        <v>65.318719493590493</v>
      </c>
      <c r="F23" s="478">
        <f t="shared" ca="1" si="6"/>
        <v>1801.275469055957</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15107.610018418814</v>
      </c>
    </row>
    <row r="24" spans="1:17">
      <c r="A24" s="477" t="s">
        <v>194</v>
      </c>
      <c r="B24" s="478">
        <f t="shared" ca="1" si="2"/>
        <v>238.36593182227438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238.36593182227438</v>
      </c>
    </row>
    <row r="25" spans="1:17">
      <c r="A25" s="477" t="s">
        <v>112</v>
      </c>
      <c r="B25" s="478">
        <f t="shared" ca="1" si="2"/>
        <v>308.61550167060858</v>
      </c>
      <c r="C25" s="478">
        <f t="shared" ca="1" si="3"/>
        <v>19660.371428571434</v>
      </c>
      <c r="D25" s="478">
        <f t="shared" si="4"/>
        <v>0</v>
      </c>
      <c r="E25" s="478">
        <f t="shared" si="5"/>
        <v>2.9159971236379612</v>
      </c>
      <c r="F25" s="478">
        <f t="shared" si="6"/>
        <v>939.50945798139037</v>
      </c>
      <c r="G25" s="478">
        <f t="shared" si="7"/>
        <v>0</v>
      </c>
      <c r="H25" s="478">
        <f t="shared" si="8"/>
        <v>0</v>
      </c>
      <c r="I25" s="478">
        <f t="shared" si="9"/>
        <v>0</v>
      </c>
      <c r="J25" s="478">
        <f t="shared" si="10"/>
        <v>75.268602099400113</v>
      </c>
      <c r="K25" s="478">
        <f t="shared" si="11"/>
        <v>0</v>
      </c>
      <c r="L25" s="478">
        <f t="shared" si="12"/>
        <v>0</v>
      </c>
      <c r="M25" s="478">
        <f t="shared" si="13"/>
        <v>0</v>
      </c>
      <c r="N25" s="478">
        <f t="shared" si="14"/>
        <v>0</v>
      </c>
      <c r="O25" s="478">
        <f t="shared" si="15"/>
        <v>0</v>
      </c>
      <c r="P25" s="479">
        <f t="shared" si="16"/>
        <v>0</v>
      </c>
      <c r="Q25" s="477">
        <f t="shared" ca="1" si="17"/>
        <v>20986.680987446467</v>
      </c>
    </row>
    <row r="26" spans="1:17">
      <c r="A26" s="477" t="s">
        <v>650</v>
      </c>
      <c r="B26" s="478">
        <f t="shared" ca="1" si="2"/>
        <v>3590.2803103741394</v>
      </c>
      <c r="C26" s="478">
        <f t="shared" ca="1" si="3"/>
        <v>0</v>
      </c>
      <c r="D26" s="478">
        <f t="shared" si="4"/>
        <v>10432.767573356738</v>
      </c>
      <c r="E26" s="478">
        <f t="shared" si="5"/>
        <v>257.53527905792447</v>
      </c>
      <c r="F26" s="478">
        <f t="shared" si="6"/>
        <v>1286.2551088634791</v>
      </c>
      <c r="G26" s="478">
        <f t="shared" si="7"/>
        <v>0</v>
      </c>
      <c r="H26" s="478">
        <f t="shared" si="8"/>
        <v>0</v>
      </c>
      <c r="I26" s="478">
        <f t="shared" si="9"/>
        <v>0</v>
      </c>
      <c r="J26" s="478">
        <f t="shared" si="10"/>
        <v>21.806495696471728</v>
      </c>
      <c r="K26" s="478">
        <f t="shared" si="11"/>
        <v>0</v>
      </c>
      <c r="L26" s="478">
        <f t="shared" si="12"/>
        <v>0</v>
      </c>
      <c r="M26" s="478">
        <f t="shared" si="13"/>
        <v>0</v>
      </c>
      <c r="N26" s="478">
        <f t="shared" si="14"/>
        <v>0</v>
      </c>
      <c r="O26" s="478">
        <f t="shared" si="15"/>
        <v>0</v>
      </c>
      <c r="P26" s="479">
        <f t="shared" si="16"/>
        <v>0</v>
      </c>
      <c r="Q26" s="477">
        <f t="shared" ca="1" si="17"/>
        <v>15588.644767348751</v>
      </c>
    </row>
    <row r="27" spans="1:17" s="483" customFormat="1">
      <c r="A27" s="481" t="s">
        <v>571</v>
      </c>
      <c r="B27" s="781">
        <f t="shared" ca="1" si="2"/>
        <v>8.3169715963912605</v>
      </c>
      <c r="C27" s="482">
        <f t="shared" ca="1" si="3"/>
        <v>0</v>
      </c>
      <c r="D27" s="482">
        <f t="shared" si="4"/>
        <v>18.334181977992952</v>
      </c>
      <c r="E27" s="482">
        <f t="shared" si="5"/>
        <v>151.61045618826608</v>
      </c>
      <c r="F27" s="482">
        <f t="shared" si="6"/>
        <v>0</v>
      </c>
      <c r="G27" s="482">
        <f t="shared" si="7"/>
        <v>55304.999125675269</v>
      </c>
      <c r="H27" s="482">
        <f t="shared" si="8"/>
        <v>8805.6235546710795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64288.884290109003</v>
      </c>
    </row>
    <row r="28" spans="1:17">
      <c r="A28" s="477" t="s">
        <v>561</v>
      </c>
      <c r="B28" s="478">
        <f t="shared" ca="1" si="2"/>
        <v>0</v>
      </c>
      <c r="C28" s="478">
        <f t="shared" ca="1" si="3"/>
        <v>0</v>
      </c>
      <c r="D28" s="478">
        <f t="shared" si="4"/>
        <v>0</v>
      </c>
      <c r="E28" s="478">
        <f t="shared" si="5"/>
        <v>0</v>
      </c>
      <c r="F28" s="478">
        <f t="shared" si="6"/>
        <v>0</v>
      </c>
      <c r="G28" s="478">
        <f t="shared" si="7"/>
        <v>556.40046524812635</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556.40046524812635</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216.29688554902924</v>
      </c>
      <c r="C32" s="478">
        <f t="shared" ca="1" si="3"/>
        <v>0</v>
      </c>
      <c r="D32" s="478">
        <f t="shared" si="4"/>
        <v>545.98149697333167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762.27838252236097</v>
      </c>
    </row>
    <row r="33" spans="1:17" s="487" customFormat="1">
      <c r="A33" s="1051" t="s">
        <v>565</v>
      </c>
      <c r="B33" s="991">
        <f ca="1">SUM(B22:B32)</f>
        <v>19396.919446615877</v>
      </c>
      <c r="C33" s="991">
        <f t="shared" ref="C33:Q33" ca="1" si="18">SUM(C22:C32)</f>
        <v>19660.371428571434</v>
      </c>
      <c r="D33" s="991">
        <f t="shared" ca="1" si="18"/>
        <v>28912.107239318866</v>
      </c>
      <c r="E33" s="991">
        <f t="shared" si="18"/>
        <v>641.4122306251578</v>
      </c>
      <c r="F33" s="991">
        <f t="shared" ca="1" si="18"/>
        <v>4027.0400359008263</v>
      </c>
      <c r="G33" s="991">
        <f t="shared" si="18"/>
        <v>55861.399590923393</v>
      </c>
      <c r="H33" s="991">
        <f t="shared" si="18"/>
        <v>8805.6235546710795</v>
      </c>
      <c r="I33" s="991">
        <f t="shared" si="18"/>
        <v>0</v>
      </c>
      <c r="J33" s="991">
        <f t="shared" si="18"/>
        <v>97.075097795871841</v>
      </c>
      <c r="K33" s="991">
        <f t="shared" si="18"/>
        <v>0</v>
      </c>
      <c r="L33" s="991">
        <f t="shared" ca="1" si="18"/>
        <v>0</v>
      </c>
      <c r="M33" s="991">
        <f t="shared" si="18"/>
        <v>0</v>
      </c>
      <c r="N33" s="991">
        <f t="shared" ca="1" si="18"/>
        <v>0</v>
      </c>
      <c r="O33" s="991">
        <f t="shared" si="18"/>
        <v>0</v>
      </c>
      <c r="P33" s="991">
        <f t="shared" si="18"/>
        <v>0</v>
      </c>
      <c r="Q33" s="991">
        <f t="shared" ca="1" si="18"/>
        <v>137401.94862442251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3760.2521747801338</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57910.5</v>
      </c>
      <c r="D8" s="1068">
        <f>'SEAP template'!D76</f>
        <v>68130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13762.26</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3760.2521747801338</v>
      </c>
      <c r="C10" s="1072">
        <f>SUM(C4:C9)</f>
        <v>57910.5</v>
      </c>
      <c r="D10" s="1072">
        <f t="shared" ref="D10:H10" si="0">SUM(D8:D9)</f>
        <v>68130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13762.26</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0.22252608036941843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82729.285714285725</v>
      </c>
      <c r="D17" s="1069">
        <f>'SEAP template'!D87</f>
        <v>97328.571428571449</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19660.371428571434</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82729.285714285725</v>
      </c>
      <c r="D20" s="1072">
        <f t="shared" ref="D20:H20" si="2">SUM(D17:D19)</f>
        <v>97328.571428571449</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19660.371428571434</v>
      </c>
    </row>
    <row r="22" spans="1:16">
      <c r="A22" s="488" t="s">
        <v>888</v>
      </c>
      <c r="B22" s="787" t="s">
        <v>882</v>
      </c>
      <c r="C22" s="78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0.22252608036941843</v>
      </c>
      <c r="C17" s="525">
        <f ca="1">'EF ele_warmte'!B22</f>
        <v>0.23764705882352946</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2019-08-12T08:06:29Z</dcterms:modified>
</cp:coreProperties>
</file>