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L20" s="1"/>
  <c r="K18"/>
  <c r="K20" s="1"/>
  <c r="J18"/>
  <c r="J88" i="14" s="1"/>
  <c r="J18" i="59" s="1"/>
  <c r="I18" i="18"/>
  <c r="H18"/>
  <c r="G18"/>
  <c r="H88" i="14" s="1"/>
  <c r="F18" i="18"/>
  <c r="E18"/>
  <c r="D18"/>
  <c r="E88" i="14" s="1"/>
  <c r="E18" i="59" s="1"/>
  <c r="C18" i="18"/>
  <c r="D88" i="14" s="1"/>
  <c r="D18" i="59" s="1"/>
  <c r="B18" i="18"/>
  <c r="L9"/>
  <c r="O77" i="14" s="1"/>
  <c r="O9" i="59" s="1"/>
  <c r="K9" i="18"/>
  <c r="N77" i="14" s="1"/>
  <c r="G9" i="18"/>
  <c r="G10" s="1"/>
  <c r="F9"/>
  <c r="F10" s="1"/>
  <c r="E9"/>
  <c r="D9"/>
  <c r="K22"/>
  <c r="J22"/>
  <c r="I22"/>
  <c r="H22"/>
  <c r="K12"/>
  <c r="J12"/>
  <c r="I12"/>
  <c r="H12"/>
  <c r="W92"/>
  <c r="V92"/>
  <c r="U92"/>
  <c r="T92"/>
  <c r="L6" i="17" s="1"/>
  <c r="S92" i="18"/>
  <c r="R92"/>
  <c r="Q92"/>
  <c r="P92"/>
  <c r="O92"/>
  <c r="N92"/>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E77" i="14"/>
  <c r="E9" i="59" s="1"/>
  <c r="B8" i="18"/>
  <c r="B6"/>
  <c r="B74" i="14" s="1"/>
  <c r="B6" i="59" s="1"/>
  <c r="B5" i="18"/>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P27"/>
  <c r="O89" i="14"/>
  <c r="O19" i="59" s="1"/>
  <c r="N89" i="14"/>
  <c r="N19" i="59" s="1"/>
  <c r="M89" i="14"/>
  <c r="M19" i="59" s="1"/>
  <c r="L89" i="14"/>
  <c r="L19" i="59" s="1"/>
  <c r="K89" i="14"/>
  <c r="K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H76" i="14"/>
  <c r="H8" i="59" s="1"/>
  <c r="G76" i="14"/>
  <c r="G8" i="59" s="1"/>
  <c r="E76" i="14"/>
  <c r="E8" i="59" s="1"/>
  <c r="B75" i="14"/>
  <c r="B7" i="59" s="1"/>
  <c r="Q54" i="14"/>
  <c r="P54"/>
  <c r="L54"/>
  <c r="L56" s="1"/>
  <c r="J54"/>
  <c r="J56" s="1"/>
  <c r="I54"/>
  <c r="I56" s="1"/>
  <c r="H54"/>
  <c r="H56" s="1"/>
  <c r="Q24"/>
  <c r="P24"/>
  <c r="P26" s="1"/>
  <c r="N24"/>
  <c r="N26" s="1"/>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Q52" s="1"/>
  <c r="P48"/>
  <c r="O48"/>
  <c r="M48"/>
  <c r="L48"/>
  <c r="K48"/>
  <c r="J48"/>
  <c r="G48"/>
  <c r="D48"/>
  <c r="Q18"/>
  <c r="Q22" s="1"/>
  <c r="P18"/>
  <c r="O18"/>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P52"/>
  <c r="R44"/>
  <c r="E25"/>
  <c r="E55" s="1"/>
  <c r="C25"/>
  <c r="B14" i="48" s="1"/>
  <c r="Q26" i="14"/>
  <c r="J26"/>
  <c r="I26"/>
  <c r="H26"/>
  <c r="O22"/>
  <c r="N78" l="1"/>
  <c r="N9" i="59"/>
  <c r="L90" i="14"/>
  <c r="L18" i="59"/>
  <c r="H90" i="14"/>
  <c r="H18" i="59"/>
  <c r="H20" s="1"/>
  <c r="L22" i="14"/>
  <c r="G77"/>
  <c r="G9" i="59" s="1"/>
  <c r="P28" i="48"/>
  <c r="P29"/>
  <c r="M22" i="14"/>
  <c r="N10" i="59"/>
  <c r="G20"/>
  <c r="K20"/>
  <c r="C98" i="18"/>
  <c r="B101" s="1"/>
  <c r="C8" s="1"/>
  <c r="D13" i="15"/>
  <c r="C16" i="16"/>
  <c r="P22" i="14"/>
  <c r="E20" i="59"/>
  <c r="L10" i="18"/>
  <c r="D20"/>
  <c r="C13" i="15"/>
  <c r="B16" i="16"/>
  <c r="G10" i="59"/>
  <c r="D22" i="14"/>
  <c r="E10" i="59"/>
  <c r="L20"/>
  <c r="O10"/>
  <c r="L78" i="14"/>
  <c r="K10" i="59"/>
  <c r="D14" i="48"/>
  <c r="Q14" s="1"/>
  <c r="I9" i="18"/>
  <c r="I77" i="14" s="1"/>
  <c r="I9" i="59" s="1"/>
  <c r="F20" i="18"/>
  <c r="K78" i="14"/>
  <c r="B17" i="18"/>
  <c r="B20" s="1"/>
  <c r="M77" i="14"/>
  <c r="M9" i="59" s="1"/>
  <c r="H9" i="18"/>
  <c r="B13" i="15"/>
  <c r="B10" i="18"/>
  <c r="N13" i="15"/>
  <c r="L13"/>
  <c r="F77" i="14"/>
  <c r="F9" i="59" s="1"/>
  <c r="I101" i="18"/>
  <c r="H8" s="1"/>
  <c r="O9"/>
  <c r="I102"/>
  <c r="H17" s="1"/>
  <c r="E102"/>
  <c r="E17" s="1"/>
  <c r="C102"/>
  <c r="F102"/>
  <c r="H102"/>
  <c r="D102"/>
  <c r="G102"/>
  <c r="B102"/>
  <c r="C17" s="1"/>
  <c r="C89" i="14"/>
  <c r="C19" i="59" s="1"/>
  <c r="O19" i="18"/>
  <c r="O78" i="14"/>
  <c r="N88"/>
  <c r="D10" i="18"/>
  <c r="E78" i="14"/>
  <c r="D77"/>
  <c r="D9" i="59" s="1"/>
  <c r="H77" i="14"/>
  <c r="G90"/>
  <c r="O88"/>
  <c r="G89"/>
  <c r="G19" i="59" s="1"/>
  <c r="G20" i="18"/>
  <c r="O18"/>
  <c r="G78" i="14"/>
  <c r="Q89"/>
  <c r="P19" i="59" s="1"/>
  <c r="O25" i="48"/>
  <c r="O27"/>
  <c r="Q11"/>
  <c r="O29"/>
  <c r="P31"/>
  <c r="O28"/>
  <c r="Q12"/>
  <c r="O24"/>
  <c r="O30"/>
  <c r="P24"/>
  <c r="P30"/>
  <c r="E90" i="14"/>
  <c r="R9"/>
  <c r="R25"/>
  <c r="K90"/>
  <c r="H78" l="1"/>
  <c r="H9" i="59"/>
  <c r="H10" s="1"/>
  <c r="N90" i="14"/>
  <c r="N18" i="59"/>
  <c r="N20" s="1"/>
  <c r="E101" i="18"/>
  <c r="E8" s="1"/>
  <c r="E10" s="1"/>
  <c r="D101"/>
  <c r="B89" i="14"/>
  <c r="B19" i="59" s="1"/>
  <c r="J17" i="18"/>
  <c r="J20" s="1"/>
  <c r="G101"/>
  <c r="O90" i="14"/>
  <c r="O18" i="59"/>
  <c r="O20" s="1"/>
  <c r="Q77" i="14"/>
  <c r="P9" i="59" s="1"/>
  <c r="F101" i="18"/>
  <c r="H101"/>
  <c r="J8" s="1"/>
  <c r="C101"/>
  <c r="C77" i="14"/>
  <c r="C9" i="59" s="1"/>
  <c r="H20" i="18"/>
  <c r="M87" i="14"/>
  <c r="C20" i="18"/>
  <c r="D87" i="14"/>
  <c r="D17" i="59" s="1"/>
  <c r="D20" s="1"/>
  <c r="H10" i="18"/>
  <c r="M76" i="14"/>
  <c r="B88"/>
  <c r="B18" i="59" s="1"/>
  <c r="I17" i="18"/>
  <c r="O17" s="1"/>
  <c r="O20" s="1"/>
  <c r="D76" i="14"/>
  <c r="D8" i="59" s="1"/>
  <c r="D10" s="1"/>
  <c r="C10" i="18"/>
  <c r="C88" i="14"/>
  <c r="C18" i="59" s="1"/>
  <c r="B77" i="14"/>
  <c r="B9" i="59" s="1"/>
  <c r="E20" i="18"/>
  <c r="F87" i="14"/>
  <c r="Q88"/>
  <c r="P18" i="59" s="1"/>
  <c r="H14" i="15"/>
  <c r="H16" s="1"/>
  <c r="G14"/>
  <c r="G16" s="1"/>
  <c r="M90" i="14" l="1"/>
  <c r="M17" i="59"/>
  <c r="M20" s="1"/>
  <c r="I10" i="14"/>
  <c r="I16" s="1"/>
  <c r="H5" i="48"/>
  <c r="H10" i="14"/>
  <c r="H16" s="1"/>
  <c r="G5" i="48"/>
  <c r="I8" i="18"/>
  <c r="M78" i="14"/>
  <c r="M8" i="59"/>
  <c r="M10" s="1"/>
  <c r="F90" i="14"/>
  <c r="F17" i="59"/>
  <c r="F20" s="1"/>
  <c r="F76" i="14"/>
  <c r="J87"/>
  <c r="Q76"/>
  <c r="D78"/>
  <c r="J10" i="18"/>
  <c r="J76" i="14"/>
  <c r="I87"/>
  <c r="I17" i="59" s="1"/>
  <c r="I20" s="1"/>
  <c r="I20" i="18"/>
  <c r="Q87" i="14"/>
  <c r="D90"/>
  <c r="A31" i="23"/>
  <c r="A32"/>
  <c r="A33"/>
  <c r="Q90" i="14" l="1"/>
  <c r="B17" i="6" s="1"/>
  <c r="P17" i="59"/>
  <c r="P20" s="1"/>
  <c r="I10" i="18"/>
  <c r="I76" i="14"/>
  <c r="O8" i="18"/>
  <c r="O10" s="1"/>
  <c r="C87" i="14"/>
  <c r="J90"/>
  <c r="J17" i="59"/>
  <c r="J20" s="1"/>
  <c r="Q78" i="14"/>
  <c r="B9" i="6" s="1"/>
  <c r="P8" i="59"/>
  <c r="P10" s="1"/>
  <c r="J78" i="14"/>
  <c r="J8" i="59"/>
  <c r="J10" s="1"/>
  <c r="F78" i="14"/>
  <c r="F8" i="59"/>
  <c r="F10" s="1"/>
  <c r="B87" i="14"/>
  <c r="I90"/>
  <c r="B11" i="44"/>
  <c r="B25"/>
  <c r="B24"/>
  <c r="B90" i="14" l="1"/>
  <c r="B17" i="59"/>
  <c r="B20" s="1"/>
  <c r="I8"/>
  <c r="I10" s="1"/>
  <c r="B76" i="14"/>
  <c r="I78"/>
  <c r="C90"/>
  <c r="C17" i="59"/>
  <c r="C20" s="1"/>
  <c r="C76" i="14"/>
  <c r="A6" i="23"/>
  <c r="A5"/>
  <c r="C78" i="14" l="1"/>
  <c r="C8" i="59"/>
  <c r="C10" s="1"/>
  <c r="B78" i="14"/>
  <c r="B8" i="59"/>
  <c r="B10" s="1"/>
  <c r="A2" i="23"/>
  <c r="B4" i="6" l="1"/>
  <c r="A3" i="23"/>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F30" i="48" l="1"/>
  <c r="F24"/>
  <c r="F32"/>
  <c r="F29"/>
  <c r="F27"/>
  <c r="F28"/>
  <c r="F31"/>
  <c r="B7"/>
  <c r="C24" i="14"/>
  <c r="C26" s="1"/>
  <c r="J32" i="48"/>
  <c r="J29"/>
  <c r="J30"/>
  <c r="J27"/>
  <c r="J31"/>
  <c r="J24"/>
  <c r="J28"/>
  <c r="Q11" i="14"/>
  <c r="P4" i="48"/>
  <c r="O4"/>
  <c r="P11" i="14"/>
  <c r="I32" i="48"/>
  <c r="I25"/>
  <c r="I31"/>
  <c r="I22"/>
  <c r="I26"/>
  <c r="I30"/>
  <c r="I27"/>
  <c r="I28"/>
  <c r="I24"/>
  <c r="I29"/>
  <c r="C11" i="14"/>
  <c r="B4" i="48"/>
  <c r="N24"/>
  <c r="N32"/>
  <c r="N27"/>
  <c r="N31"/>
  <c r="N30"/>
  <c r="N28"/>
  <c r="N29"/>
  <c r="C19" i="14"/>
  <c r="B10" i="48"/>
  <c r="E28"/>
  <c r="E32"/>
  <c r="E31"/>
  <c r="E30"/>
  <c r="E24"/>
  <c r="E29"/>
  <c r="M26"/>
  <c r="M32"/>
  <c r="M22"/>
  <c r="M25"/>
  <c r="M30"/>
  <c r="M24"/>
  <c r="M29"/>
  <c r="M23"/>
  <c r="K5"/>
  <c r="L10" i="14"/>
  <c r="L16" s="1"/>
  <c r="L27" s="1"/>
  <c r="D31" i="48"/>
  <c r="D29"/>
  <c r="D28"/>
  <c r="D30"/>
  <c r="D24"/>
  <c r="D32"/>
  <c r="L27"/>
  <c r="L32"/>
  <c r="L28"/>
  <c r="L24"/>
  <c r="L22"/>
  <c r="L29"/>
  <c r="L30"/>
  <c r="L31"/>
  <c r="Q10" i="14"/>
  <c r="P5" i="48"/>
  <c r="P23" s="1"/>
  <c r="K28"/>
  <c r="K32"/>
  <c r="K25"/>
  <c r="K27"/>
  <c r="K30"/>
  <c r="K24"/>
  <c r="K29"/>
  <c r="K22"/>
  <c r="K31"/>
  <c r="K26"/>
  <c r="E11" i="14"/>
  <c r="D4" i="48"/>
  <c r="D22" s="1"/>
  <c r="H29"/>
  <c r="H25"/>
  <c r="H32"/>
  <c r="H26"/>
  <c r="H28"/>
  <c r="H30"/>
  <c r="H24"/>
  <c r="H22"/>
  <c r="H23"/>
  <c r="D11" i="14"/>
  <c r="C4" i="48"/>
  <c r="G25"/>
  <c r="G32"/>
  <c r="G22"/>
  <c r="G24"/>
  <c r="G30"/>
  <c r="G26"/>
  <c r="G29"/>
  <c r="G23"/>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4" i="48" l="1"/>
  <c r="F22" s="1"/>
  <c r="G11" i="14"/>
  <c r="P15" i="48"/>
  <c r="P22"/>
  <c r="P33" s="1"/>
  <c r="J10" i="14"/>
  <c r="J16" s="1"/>
  <c r="J27" s="1"/>
  <c r="I5" i="48"/>
  <c r="O22"/>
  <c r="J46" i="14"/>
  <c r="J61" s="1"/>
  <c r="B9" i="48"/>
  <c r="C20" i="14"/>
  <c r="M12" i="22"/>
  <c r="M13" i="48"/>
  <c r="M31" s="1"/>
  <c r="N18" i="14"/>
  <c r="K23" i="48"/>
  <c r="K33" s="1"/>
  <c r="K15"/>
  <c r="G13"/>
  <c r="H18" i="14"/>
  <c r="R18" s="1"/>
  <c r="H13" i="48"/>
  <c r="H31" s="1"/>
  <c r="I18" i="14"/>
  <c r="P22" i="16"/>
  <c r="Q43" i="14" s="1"/>
  <c r="P8" i="48"/>
  <c r="P26" s="1"/>
  <c r="Q13" i="14"/>
  <c r="F20"/>
  <c r="F22" s="1"/>
  <c r="E9" i="48"/>
  <c r="E27" s="1"/>
  <c r="E20" i="14"/>
  <c r="E22" s="1"/>
  <c r="D9" i="48"/>
  <c r="D27" s="1"/>
  <c r="O5"/>
  <c r="O23" s="1"/>
  <c r="P10" i="14"/>
  <c r="J7" i="48"/>
  <c r="J25" s="1"/>
  <c r="K24" i="14"/>
  <c r="K26" s="1"/>
  <c r="Q16"/>
  <c r="Q27" s="1"/>
  <c r="Q63" s="1"/>
  <c r="L63"/>
  <c r="D10"/>
  <c r="C7" i="48"/>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8" i="13"/>
  <c r="C48" s="1"/>
  <c r="N5" s="1"/>
  <c r="N8" s="1"/>
  <c r="C50"/>
  <c r="J5" s="1"/>
  <c r="J8" s="1"/>
  <c r="E12" l="1"/>
  <c r="F41" i="14" s="1"/>
  <c r="F11"/>
  <c r="E4" i="48"/>
  <c r="H19" i="14"/>
  <c r="R19" s="1"/>
  <c r="G10" i="48"/>
  <c r="P16" i="14"/>
  <c r="P27" s="1"/>
  <c r="P63" s="1"/>
  <c r="P46"/>
  <c r="P61" s="1"/>
  <c r="F24"/>
  <c r="F26" s="1"/>
  <c r="E7" i="48"/>
  <c r="E25" s="1"/>
  <c r="Q13"/>
  <c r="G31"/>
  <c r="N20" i="14"/>
  <c r="M9" i="48"/>
  <c r="I23"/>
  <c r="I33" s="1"/>
  <c r="I15"/>
  <c r="H20" i="14"/>
  <c r="H22" s="1"/>
  <c r="H27" s="1"/>
  <c r="G9" i="48"/>
  <c r="N19" i="14"/>
  <c r="M10" i="48"/>
  <c r="M28" s="1"/>
  <c r="O22" i="16"/>
  <c r="P43" i="14" s="1"/>
  <c r="O8" i="48"/>
  <c r="P13" i="14"/>
  <c r="O11"/>
  <c r="N4" i="48"/>
  <c r="N22" s="1"/>
  <c r="K11" i="14"/>
  <c r="J4" i="48"/>
  <c r="N22" i="14"/>
  <c r="N27" s="1"/>
  <c r="J63"/>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O26" i="48"/>
  <c r="O33" s="1"/>
  <c r="O15"/>
  <c r="M27"/>
  <c r="M33" s="1"/>
  <c r="M15"/>
  <c r="F10" i="14"/>
  <c r="E5" i="48"/>
  <c r="E23" s="1"/>
  <c r="H9"/>
  <c r="I20" i="14"/>
  <c r="I22" s="1"/>
  <c r="I27" s="1"/>
  <c r="G27" i="48"/>
  <c r="G15"/>
  <c r="J22"/>
  <c r="E22"/>
  <c r="Q4"/>
  <c r="R11" i="14"/>
  <c r="K10"/>
  <c r="J5" i="48"/>
  <c r="J23" s="1"/>
  <c r="G28"/>
  <c r="Q10"/>
  <c r="H63" i="14"/>
  <c r="R20"/>
  <c r="R22" s="1"/>
  <c r="L25" i="48"/>
  <c r="Q7"/>
  <c r="M26" i="14"/>
  <c r="R24"/>
  <c r="R26" s="1"/>
  <c r="E20" i="15"/>
  <c r="F40" i="14" s="1"/>
  <c r="F18" i="16"/>
  <c r="F22" s="1"/>
  <c r="G43" i="14" s="1"/>
  <c r="J18" i="16"/>
  <c r="E18"/>
  <c r="E22" s="1"/>
  <c r="F43" i="14" s="1"/>
  <c r="J20" i="15"/>
  <c r="K40" i="14" s="1"/>
  <c r="N18" i="16"/>
  <c r="N22" s="1"/>
  <c r="O43" i="14" s="1"/>
  <c r="G18" i="22"/>
  <c r="H50" i="14" s="1"/>
  <c r="H18" i="22"/>
  <c r="I50" i="14" s="1"/>
  <c r="I52" s="1"/>
  <c r="I61" s="1"/>
  <c r="F16" l="1"/>
  <c r="F27" s="1"/>
  <c r="I63"/>
  <c r="G33" i="48"/>
  <c r="J22" i="16"/>
  <c r="K43" i="14" s="1"/>
  <c r="K46" s="1"/>
  <c r="K61" s="1"/>
  <c r="K63" s="1"/>
  <c r="K13"/>
  <c r="K16" s="1"/>
  <c r="K27" s="1"/>
  <c r="J8" i="48"/>
  <c r="E8"/>
  <c r="F13" i="14"/>
  <c r="H27" i="48"/>
  <c r="H33" s="1"/>
  <c r="H15"/>
  <c r="Q9"/>
  <c r="F46" i="14"/>
  <c r="F61" s="1"/>
  <c r="F63" s="1"/>
  <c r="O13"/>
  <c r="N8" i="48"/>
  <c r="N26" s="1"/>
  <c r="F8"/>
  <c r="G13" i="14"/>
  <c r="R13" s="1"/>
  <c r="J26" i="48" l="1"/>
  <c r="J33" s="1"/>
  <c r="J15"/>
  <c r="E26"/>
  <c r="E33" s="1"/>
  <c r="E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<sst xmlns="http://schemas.openxmlformats.org/spreadsheetml/2006/main" count="2482" uniqueCount="932">
  <si>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</si>
  <si>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</si>
  <si>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</si>
  <si>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</si>
  <si>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</si>
  <si>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</si>
  <si>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</si>
  <si>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</si>
  <si>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</si>
  <si>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</si>
  <si>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</si>
  <si>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</si>
  <si>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</si>
  <si>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</si>
  <si>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</si>
  <si>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</si>
  <si>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</si>
  <si>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</si>
  <si>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</si>
  <si>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</si>
  <si>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</si>
  <si>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</si>
  <si>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</si>
  <si>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</si>
  <si>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</si>
  <si>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</si>
  <si>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</si>
  <si>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</si>
  <si>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</si>
  <si>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</si>
  <si>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</si>
  <si>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</si>
  <si>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</si>
  <si>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</si>
  <si>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</si>
  <si>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</si>
  <si>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</si>
  <si>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</si>
  <si>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</si>
  <si>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</si>
  <si>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</si>
  <si>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</si>
  <si>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</si>
  <si>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</si>
  <si>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</si>
  <si>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</si>
  <si>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</si>
  <si>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</si>
  <si>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</si>
  <si>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</si>
  <si>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</si>
  <si>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</si>
  <si>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</si>
  <si>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</si>
  <si>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</si>
  <si>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</si>
  <si>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</si>
  <si>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</si>
  <si>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</si>
  <si>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</si>
  <si>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</si>
  <si>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</si>
  <si>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</si>
  <si>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</si>
  <si>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</si>
  <si>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</si>
  <si>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</si>
  <si>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</si>
  <si>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</si>
  <si>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</si>
  <si>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</si>
  <si>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</si>
  <si>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</si>
  <si>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</si>
  <si>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</si>
  <si>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</si>
  <si>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</si>
  <si>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</si>
  <si>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</si>
  <si>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</si>
  <si>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</si>
  <si>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</si>
  <si>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</si>
  <si>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</si>
  <si>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</si>
  <si>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</si>
  <si>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</si>
  <si>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</si>
  <si>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</si>
  <si>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</si>
  <si>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</si>
  <si>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</si>
  <si>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</si>
  <si>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</si>
  <si>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</si>
  <si>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</si>
  <si>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</si>
  <si>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</si>
  <si>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</si>
  <si>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</si>
  <si>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</si>
  <si>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</si>
  <si>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</si>
  <si>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</si>
  <si>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</si>
  <si>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</si>
  <si>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</si>
  <si>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</si>
  <si>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</si>
  <si>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</si>
  <si>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</si>
  <si>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</si>
  <si>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</si>
  <si>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</si>
  <si>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</si>
  <si>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</si>
  <si>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</si>
  <si>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</si>
  <si>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</si>
  <si>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</si>
  <si>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</si>
  <si>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</si>
  <si>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</si>
  <si>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</si>
  <si>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</si>
  <si>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</si>
  <si>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</si>
  <si>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</si>
  <si>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</si>
  <si>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</si>
  <si>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</si>
  <si>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</si>
  <si>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</si>
  <si>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</si>
  <si>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</si>
  <si>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</si>
  <si>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</si>
  <si>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</si>
  <si>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</si>
  <si>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</si>
  <si>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</si>
  <si>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</si>
  <si>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</si>
  <si>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</si>
  <si>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</si>
  <si>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</si>
  <si>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</si>
  <si>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</si>
  <si>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</si>
  <si>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</si>
  <si>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</si>
  <si>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</si>
  <si>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</si>
  <si>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</si>
  <si>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</si>
  <si>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</si>
  <si>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</si>
  <si>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</si>
  <si>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</si>
  <si>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</si>
  <si>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</si>
  <si>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</si>
  <si>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</si>
  <si>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</si>
  <si>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</si>
  <si>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</si>
  <si>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</si>
  <si>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</si>
  <si>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</si>
  <si>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</si>
  <si>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</si>
  <si>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</si>
  <si>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</si>
  <si>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</si>
  <si>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</si>
  <si>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</si>
  <si>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</si>
  <si>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</si>
  <si>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</si>
  <si>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</si>
  <si>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</si>
  <si>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</si>
  <si>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</si>
  <si>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</si>
  <si>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</si>
  <si>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</si>
  <si>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</si>
  <si>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</si>
  <si>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</si>
  <si>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</si>
  <si>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</si>
  <si>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</si>
  <si>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</si>
  <si>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</si>
  <si>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</si>
  <si>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</si>
  <si>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</si>
  <si>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</si>
  <si>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</si>
  <si>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</si>
  <si>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</si>
  <si>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</si>
  <si>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</si>
  <si>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</si>
  <si>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</si>
  <si>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</si>
  <si>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</si>
  <si>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</si>
  <si>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</si>
  <si>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</si>
  <si>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</si>
  <si>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</si>
  <si>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</si>
  <si>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</si>
  <si>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</si>
  <si>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</si>
  <si>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</si>
  <si>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</si>
  <si>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</si>
  <si>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</si>
  <si>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</si>
  <si>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</si>
  <si>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</si>
  <si>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</si>
  <si>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</si>
  <si>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</si>
  <si>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</si>
  <si>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</si>
  <si>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</si>
  <si>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</si>
  <si>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</si>
  <si>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</si>
  <si>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</si>
  <si>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</si>
  <si>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</si>
  <si>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</si>
  <si>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</si>
  <si>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</si>
  <si>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</si>
  <si>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</si>
  <si>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</si>
  <si>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</si>
  <si>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</si>
  <si>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</si>
  <si>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</si>
  <si>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</si>
  <si>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</si>
  <si>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</si>
  <si>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</si>
  <si>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</si>
  <si>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</si>
  <si>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</si>
  <si>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</si>
  <si>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</si>
  <si>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</si>
  <si>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</si>
  <si>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</si>
  <si>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</si>
  <si>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</si>
  <si>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</si>
  <si>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</si>
  <si>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</si>
  <si>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</si>
  <si>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</si>
  <si>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</si>
  <si>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</si>
  <si>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</si>
  <si>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</si>
  <si>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</si>
  <si>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</si>
  <si>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</si>
  <si>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</si>
  <si>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</si>
  <si>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</si>
  <si>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</si>
  <si>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</si>
  <si>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</si>
  <si>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</si>
  <si>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</si>
  <si>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</si>
  <si>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</si>
  <si>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</si>
  <si>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</si>
  <si>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</si>
  <si>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</si>
  <si>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</si>
  <si>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</si>
  <si>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</si>
  <si>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</si>
  <si>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</si>
  <si>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</si>
  <si>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</si>
  <si>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</si>
  <si>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</si>
  <si>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</si>
  <si>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</si>
  <si>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</si>
  <si>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</si>
  <si>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</si>
  <si>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</si>
  <si>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</si>
  <si>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</si>
  <si>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</si>
  <si>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</si>
  <si>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</si>
  <si>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</si>
  <si>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</si>
  <si>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</si>
  <si>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</si>
  <si>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</si>
  <si>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</si>
  <si>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</si>
  <si>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</si>
  <si>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</si>
  <si>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</si>
  <si>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</si>
  <si>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</si>
  <si>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</si>
  <si>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</si>
  <si>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</si>
  <si>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</si>
  <si>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</si>
  <si>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</si>
  <si>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</si>
  <si>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</si>
  <si>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</si>
  <si>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</si>
  <si>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</si>
  <si>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</si>
  <si>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</si>
  <si>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</si>
  <si>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</si>
  <si>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</si>
  <si>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</si>
  <si>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</si>
  <si>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</si>
  <si>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</si>
  <si>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</si>
  <si>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</si>
  <si>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</si>
  <si>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</si>
  <si>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</si>
  <si>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</si>
  <si>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</si>
  <si>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</si>
  <si>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</si>
  <si>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</si>
  <si>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</si>
  <si>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</si>
  <si>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</si>
  <si>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</si>
  <si>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</si>
  <si>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</si>
  <si>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</si>
  <si>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</si>
  <si>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</si>
  <si>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</si>
  <si>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</si>
  <si>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</si>
  <si>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</si>
  <si>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</si>
  <si>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</si>
  <si>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</si>
  <si>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</si>
  <si>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</si>
  <si>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</si>
  <si>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</si>
  <si>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</si>
  <si>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</si>
  <si>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</si>
  <si>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</si>
  <si>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</si>
  <si>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</si>
  <si>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</si>
  <si>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</si>
  <si>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</si>
  <si>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</si>
  <si>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</si>
  <si>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</si>
  <si>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</si>
  <si>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</si>
  <si>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</si>
  <si>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</si>
  <si>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</si>
  <si>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</si>
  <si>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</si>
  <si>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</si>
  <si>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</si>
  <si>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</si>
  <si>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</si>
  <si>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</si>
  <si>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</si>
  <si>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</si>
  <si>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</si>
  <si>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</si>
  <si>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</si>
  <si>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</si>
  <si>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</si>
  <si>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</si>
  <si>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</si>
  <si>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</si>
  <si>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</si>
  <si>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</si>
  <si>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</si>
  <si>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</si>
  <si>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</si>
  <si>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</si>
  <si>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</si>
  <si>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</si>
  <si>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</si>
  <si>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</si>
  <si>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</si>
  <si>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</si>
  <si>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</si>
  <si>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</si>
  <si>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</si>
  <si>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</si>
  <si>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</si>
  <si>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</si>
  <si>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</si>
  <si>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</si>
  <si>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</si>
  <si>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</si>
  <si>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</si>
  <si>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</si>
  <si>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</si>
  <si>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</si>
  <si>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</si>
  <si>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</si>
  <si>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</si>
  <si>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</si>
  <si>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</si>
  <si>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</si>
  <si>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</si>
  <si>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</si>
  <si>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</si>
  <si>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</si>
  <si>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</si>
  <si>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</si>
  <si>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</si>
  <si>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</si>
  <si>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</si>
  <si>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</si>
  <si>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</si>
  <si>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</si>
  <si>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</si>
  <si>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</si>
  <si>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</si>
  <si>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</si>
  <si>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</si>
  <si>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</si>
  <si>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</si>
  <si>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</si>
  <si>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</si>
  <si>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</si>
  <si>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</si>
  <si>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</si>
  <si>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</si>
  <si>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</si>
  <si>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</si>
  <si>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</si>
  <si>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</si>
  <si>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</si>
  <si>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</si>
  <si>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</si>
  <si>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</si>
  <si>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</si>
  <si>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</si>
  <si>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</si>
  <si>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</si>
  <si>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</si>
  <si>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</si>
  <si>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</si>
  <si>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</si>
  <si>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</si>
  <si>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</si>
  <si>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</si>
  <si>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</si>
  <si>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</si>
  <si>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</si>
  <si>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</si>
  <si>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</si>
  <si>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</si>
  <si>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</si>
  <si>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</si>
  <si>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</si>
  <si>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</si>
  <si>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</si>
  <si>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</si>
  <si>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</si>
  <si>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</si>
  <si>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</si>
  <si>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</si>
  <si>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</si>
  <si>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</si>
  <si>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</si>
  <si>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</si>
  <si>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</si>
  <si>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</si>
  <si>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</si>
  <si>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</si>
  <si>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</si>
  <si>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</si>
  <si>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</si>
  <si>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</si>
  <si>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</si>
  <si>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</si>
  <si>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</si>
  <si>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</si>
  <si>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</si>
  <si>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</si>
  <si>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</si>
  <si>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</si>
  <si>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</si>
  <si>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</si>
  <si>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</si>
  <si>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</si>
  <si>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</si>
  <si>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</si>
  <si>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</si>
  <si>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</si>
  <si>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</si>
  <si>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</si>
  <si>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</si>
  <si>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</si>
  <si>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</si>
  <si>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</si>
  <si>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</si>
  <si>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</si>
  <si>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</si>
  <si>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</si>
  <si>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</si>
  <si>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</si>
  <si>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</si>
  <si>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</si>
  <si>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</si>
  <si>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</si>
  <si>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</si>
  <si>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</si>
  <si>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</si>
  <si>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</si>
  <si>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</si>
  <si>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</si>
  <si>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</si>
  <si>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</si>
  <si>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</si>
  <si>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</si>
  <si>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</si>
  <si>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</si>
  <si>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</si>
  <si>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</si>
  <si>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</si>
  <si>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</si>
  <si>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</si>
  <si>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</si>
  <si>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</si>
  <si>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</si>
  <si>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</si>
  <si>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</si>
  <si>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</si>
  <si>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</si>
  <si>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</si>
  <si>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</si>
  <si>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</si>
  <si>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</si>
  <si>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</si>
  <si>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</si>
  <si>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</si>
  <si>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</si>
  <si>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</si>
  <si>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</si>
  <si>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</si>
  <si>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</si>
  <si>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</si>
  <si>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</si>
  <si>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</si>
  <si>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</si>
  <si>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</si>
  <si>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</si>
  <si>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</si>
  <si>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</si>
  <si>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</si>
  <si>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</si>
  <si>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</si>
  <si>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</si>
  <si>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</si>
  <si>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</si>
  <si>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</si>
  <si>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</si>
  <si>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</si>
  <si>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</si>
  <si>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</si>
  <si>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</si>
  <si>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</si>
  <si>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</si>
  <si>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</si>
  <si>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</si>
  <si>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</si>
  <si>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</si>
  <si>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</si>
  <si>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</si>
  <si>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</si>
  <si>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</si>
  <si>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</si>
  <si>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</si>
  <si>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</si>
  <si>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</si>
  <si>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</si>
  <si>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</si>
  <si>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</si>
  <si>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</si>
  <si>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</si>
  <si>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</si>
  <si>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</si>
  <si>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</si>
  <si>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</si>
  <si>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</si>
  <si>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</si>
  <si>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</si>
  <si>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</si>
  <si>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</si>
  <si>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</si>
  <si>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</si>
  <si>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</si>
  <si>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</si>
  <si>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</si>
  <si>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</si>
  <si>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</si>
  <si>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</si>
  <si>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</si>
  <si>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</si>
  <si>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</si>
  <si>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</si>
  <si>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</si>
  <si>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</si>
  <si>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</si>
  <si>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</si>
  <si>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</si>
  <si>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</si>
  <si>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</si>
  <si>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</si>
  <si>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</si>
  <si>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</si>
  <si>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</si>
  <si>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</si>
  <si>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</si>
  <si>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</si>
  <si>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</si>
  <si>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</si>
  <si>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</si>
  <si>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</si>
  <si>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</si>
  <si>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</si>
  <si>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</si>
  <si>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</si>
  <si>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</si>
  <si>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</si>
  <si>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</si>
  <si>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</si>
  <si>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</si>
  <si>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</si>
  <si>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</si>
  <si>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</si>
  <si>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</si>
  <si>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</si>
  <si>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</si>
  <si>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</si>
  <si>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</si>
  <si>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</si>
  <si>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</si>
  <si>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</si>
  <si>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</si>
  <si>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</si>
  <si>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</si>
  <si>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</si>
  <si>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</si>
  <si>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</si>
  <si>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</si>
  <si>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</si>
  <si>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</si>
  <si>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</si>
  <si>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</si>
  <si>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</si>
  <si>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</si>
  <si>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</si>
  <si>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</si>
  <si>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</si>
  <si>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</si>
  <si>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</si>
  <si>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</si>
  <si>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</si>
  <si>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</si>
  <si>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</si>
  <si>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</si>
  <si>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</si>
  <si>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</si>
  <si>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</si>
  <si>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</si>
  <si>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</si>
  <si>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</si>
  <si>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</si>
  <si>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</si>
  <si>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</si>
  <si>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</si>
  <si>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</si>
  <si>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</si>
  <si>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</si>
  <si>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</si>
  <si>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</si>
  <si>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</si>
  <si>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</si>
  <si>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</si>
  <si>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</si>
  <si>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</si>
  <si>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</si>
  <si>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</si>
  <si>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</si>
  <si>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</si>
  <si>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</si>
  <si>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</si>
  <si>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</si>
  <si>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</si>
  <si>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</si>
  <si>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</si>
  <si>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</si>
  <si>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</si>
  <si>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</si>
  <si>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</si>
  <si>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</si>
  <si>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</si>
  <si>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</si>
  <si>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</si>
  <si>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</si>
  <si>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</si>
  <si>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</si>
  <si>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</si>
  <si>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</si>
  <si>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</si>
  <si>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</si>
  <si>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</si>
  <si>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</si>
  <si>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</si>
  <si>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</si>
  <si>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</si>
  <si>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</si>
  <si>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</si>
  <si>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</si>
  <si>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</si>
  <si>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</si>
  <si>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</si>
  <si>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</si>
  <si>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</si>
  <si>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</si>
  <si>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</si>
  <si>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</si>
  <si>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</si>
  <si>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</si>
  <si>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</si>
  <si>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</si>
  <si>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</si>
  <si>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</si>
  <si>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</si>
  <si>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</si>
  <si>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</si>
  <si>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</si>
  <si>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</si>
  <si>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</si>
  <si>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</si>
  <si>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</si>
  <si>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</si>
  <si>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</si>
  <si>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</si>
  <si>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</si>
  <si>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</si>
  <si>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</si>
  <si>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</si>
  <si>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</si>
  <si>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</si>
  <si>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</si>
  <si>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</si>
  <si>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</si>
  <si>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</si>
  <si>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</si>
  <si>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</si>
  <si>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</si>
  <si>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</si>
  <si>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</si>
  <si>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</si>
  <si>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</si>
  <si>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</si>
  <si>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</si>
  <si>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</si>
  <si>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</si>
  <si>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</si>
  <si>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</si>
  <si>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</si>
  <si>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</si>
  <si>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</si>
  <si>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</si>
  <si>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</si>
  <si>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</si>
  <si>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</si>
  <si>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</si>
  <si>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</si>
  <si>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</si>
  <si>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</si>
  <si>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</si>
  <si>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</si>
  <si>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</si>
  <si>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</si>
  <si>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</si>
  <si>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</si>
  <si>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</si>
  <si>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</si>
  <si>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</si>
  <si>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</si>
  <si>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</si>
  <si>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</si>
  <si>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</si>
  <si>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</si>
  <si>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</si>
  <si>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</si>
  <si>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</si>
  <si>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</si>
  <si>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</si>
  <si>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</si>
  <si>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</si>
  <si>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</si>
  <si>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</si>
  <si>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</si>
  <si>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</si>
  <si>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</si>
  <si>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</si>
  <si>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</si>
  <si>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</si>
  <si>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</si>
  <si>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</si>
  <si>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</si>
  <si>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</si>
  <si>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</si>
  <si>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</si>
  <si>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</si>
  <si>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</si>
  <si>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</si>
  <si>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</si>
  <si>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</si>
  <si>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</si>
  <si>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</si>
  <si>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</si>
  <si>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</si>
  <si>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</si>
  <si>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</si>
  <si>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</si>
  <si>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</si>
  <si>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</si>
  <si>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</si>
  <si>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</si>
  <si>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</si>
  <si>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</si>
  <si>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</si>
  <si>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</si>
  <si>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</si>
  <si>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</si>
  <si>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</si>
  <si>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</si>
  <si>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</si>
  <si>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</si>
  <si>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</si>
  <si>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</si>
  <si>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</si>
  <si>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</si>
  <si>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</si>
  <si>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</si>
  <si>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</si>
  <si>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</si>
  <si>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</si>
  <si>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</si>
  <si>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</si>
  <si>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</si>
  <si>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</si>
  <si>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</si>
  <si>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</si>
  <si>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</si>
  <si>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</si>
  <si>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</si>
  <si>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</si>
  <si>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</si>
  <si>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</si>
  <si>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</si>
  <si>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</si>
  <si>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</si>
  <si>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</si>
  <si>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</si>
  <si>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</si>
  <si>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</si>
  <si>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</si>
  <si>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</si>
  <si>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</si>
  <si>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</si>
  <si>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11035</t>
  </si>
  <si>
    <t>RANST</t>
  </si>
  <si>
    <t>Paarden&amp;pony's 200 - 600 kg</t>
  </si>
  <si>
    <t>Paarden&amp;pony's &lt; 200 kg</t>
  </si>
  <si>
    <t>referentietaak LNE (2017); Jaarverslag De Lijn (2014)</t>
  </si>
  <si>
    <t>op basis van VEA (maart 2018) en Inventaris Hernieuwbare Energiebronnen (juni 2018)</t>
  </si>
  <si>
    <t>VEA (maart 2016)</t>
  </si>
  <si>
    <t>VEA (juni 2018)</t>
  </si>
  <si>
    <t>Groeikracht Broechem NV</t>
  </si>
  <si>
    <t>Bistweg 37, 2520 Broechem</t>
  </si>
  <si>
    <t>WKK-0040a Groeikracht Broechem</t>
  </si>
  <si>
    <t>interne verbrandingsmotor</t>
  </si>
  <si>
    <t>WKK interne verbrandinsgmotor (gas)</t>
  </si>
  <si>
    <t>IVEKA</t>
  </si>
  <si>
    <t>Groeikracht Abelebaan NV</t>
  </si>
  <si>
    <t>Abelebaan 66, 2520 Broechem</t>
  </si>
  <si>
    <t>WKK-0165 Groeikracht Abelebaan</t>
  </si>
  <si>
    <t>Verdonck-Van Dessel bvba</t>
  </si>
  <si>
    <t>Achterlo 17 , 2520 Broechem</t>
  </si>
  <si>
    <t>WKK-0191 Verdonck-Van Dessel</t>
  </si>
  <si>
    <t>Redgrow bvba</t>
  </si>
  <si>
    <t>Bistweg 37 , 2520 Broechem</t>
  </si>
  <si>
    <t>WKK-0232 Almo Energie</t>
  </si>
  <si>
    <t>Johan Bossaerts</t>
  </si>
  <si>
    <t>Laarstraat 35 , 2520 Ranst</t>
  </si>
  <si>
    <t>WKK-0268 Johan Bossaerts</t>
  </si>
  <si>
    <t>ABR Energy bvba</t>
  </si>
  <si>
    <t>Oelegemsteenweg 154 , 2160 Wommelgem</t>
  </si>
  <si>
    <t>WKK-0315 Biofors</t>
  </si>
  <si>
    <t>Ginnegemveld 154 , 2520 Ranst</t>
  </si>
  <si>
    <t>Rafael Bossaerts</t>
  </si>
  <si>
    <t>Moorstraat 21 , 2520 Broechem</t>
  </si>
  <si>
    <t>WKK-0273 Raf Bossaerts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</si>
</sst>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140103.92372736128</c:v>
                </c:pt>
                <c:pt idx="1">
                  <c:v>72095.838970069381</c:v>
                </c:pt>
                <c:pt idx="2">
                  <c:v>1404.8209999999999</c:v>
                </c:pt>
                <c:pt idx="3">
                  <c:v>75960.396982211008</c:v>
                </c:pt>
                <c:pt idx="4">
                  <c:v>150093.20506369456</c:v>
                </c:pt>
                <c:pt idx="5">
                  <c:v>397673.40515974129</c:v>
                </c:pt>
                <c:pt idx="6">
                  <c:v>3643.0086404593453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140103.92372736128</c:v>
                </c:pt>
                <c:pt idx="1">
                  <c:v>72095.838970069381</c:v>
                </c:pt>
                <c:pt idx="2">
                  <c:v>1404.8209999999999</c:v>
                </c:pt>
                <c:pt idx="3">
                  <c:v>75960.396982211008</c:v>
                </c:pt>
                <c:pt idx="4">
                  <c:v>150093.20506369456</c:v>
                </c:pt>
                <c:pt idx="5">
                  <c:v>397673.40515974129</c:v>
                </c:pt>
                <c:pt idx="6">
                  <c:v>3643.0086404593453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24412.338520250672</c:v>
                </c:pt>
                <c:pt idx="2">
                  <c:v>12678.165693941659</c:v>
                </c:pt>
                <c:pt idx="3">
                  <c:v>283.35088639444399</c:v>
                </c:pt>
                <c:pt idx="4">
                  <c:v>15572.502396102505</c:v>
                </c:pt>
                <c:pt idx="5">
                  <c:v>29628.157046883487</c:v>
                </c:pt>
                <c:pt idx="6">
                  <c:v>99829.748213185943</c:v>
                </c:pt>
                <c:pt idx="7">
                  <c:v>920.20660676595219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36512"/>
        <c:axId val="182399744"/>
      </c:barChart>
      <c:catAx>
        <c:axId val="18233651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36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24412.338520250672</c:v>
                </c:pt>
                <c:pt idx="2">
                  <c:v>12678.165693941659</c:v>
                </c:pt>
                <c:pt idx="3">
                  <c:v>283.35088639444399</c:v>
                </c:pt>
                <c:pt idx="4">
                  <c:v>15572.502396102505</c:v>
                </c:pt>
                <c:pt idx="5">
                  <c:v>29628.157046883487</c:v>
                </c:pt>
                <c:pt idx="6">
                  <c:v>99829.748213185943</c:v>
                </c:pt>
                <c:pt idx="7">
                  <c:v>920.20660676595219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11035</v>
      </c>
      <c r="B6" s="416"/>
      <c r="C6" s="417"/>
    </row>
    <row r="7" spans="1:7" s="414" customFormat="1" ht="15.75" customHeight="1">
      <c r="A7" s="418" t="str">
        <f>txtMunicipality</f>
        <v>RANST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0.20169892562429234</v>
      </c>
      <c r="C17" s="525">
        <f ca="1">'EF ele_warmte'!B22</f>
        <v>0.19984413005708615</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0.20169892562429234</v>
      </c>
      <c r="C29" s="526">
        <f ca="1">'EF ele_warmte'!B22</f>
        <v>0.19984413005708615</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7441</v>
      </c>
      <c r="C9" s="342">
        <v>7647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1406</v>
      </c>
    </row>
    <row r="15" spans="1:6">
      <c r="A15" s="348" t="s">
        <v>184</v>
      </c>
      <c r="B15" s="334">
        <v>1053</v>
      </c>
    </row>
    <row r="16" spans="1:6">
      <c r="A16" s="348" t="s">
        <v>6</v>
      </c>
      <c r="B16" s="334">
        <v>289</v>
      </c>
    </row>
    <row r="17" spans="1:6">
      <c r="A17" s="348" t="s">
        <v>7</v>
      </c>
      <c r="B17" s="334">
        <v>217</v>
      </c>
    </row>
    <row r="18" spans="1:6">
      <c r="A18" s="348" t="s">
        <v>8</v>
      </c>
      <c r="B18" s="334">
        <v>408</v>
      </c>
    </row>
    <row r="19" spans="1:6">
      <c r="A19" s="348" t="s">
        <v>9</v>
      </c>
      <c r="B19" s="334">
        <v>390</v>
      </c>
    </row>
    <row r="20" spans="1:6">
      <c r="A20" s="348" t="s">
        <v>10</v>
      </c>
      <c r="B20" s="334">
        <v>274</v>
      </c>
    </row>
    <row r="21" spans="1:6">
      <c r="A21" s="348" t="s">
        <v>11</v>
      </c>
      <c r="B21" s="334">
        <v>532</v>
      </c>
    </row>
    <row r="22" spans="1:6">
      <c r="A22" s="348" t="s">
        <v>12</v>
      </c>
      <c r="B22" s="334">
        <v>3944</v>
      </c>
    </row>
    <row r="23" spans="1:6">
      <c r="A23" s="348" t="s">
        <v>13</v>
      </c>
      <c r="B23" s="334">
        <v>51</v>
      </c>
    </row>
    <row r="24" spans="1:6">
      <c r="A24" s="348" t="s">
        <v>14</v>
      </c>
      <c r="B24" s="334">
        <v>2</v>
      </c>
    </row>
    <row r="25" spans="1:6">
      <c r="A25" s="348" t="s">
        <v>15</v>
      </c>
      <c r="B25" s="334">
        <v>230</v>
      </c>
    </row>
    <row r="26" spans="1:6">
      <c r="A26" s="348" t="s">
        <v>16</v>
      </c>
      <c r="B26" s="334">
        <v>248</v>
      </c>
    </row>
    <row r="27" spans="1:6">
      <c r="A27" s="348" t="s">
        <v>17</v>
      </c>
      <c r="B27" s="334">
        <v>5</v>
      </c>
    </row>
    <row r="28" spans="1:6" s="356" customFormat="1">
      <c r="A28" s="355" t="s">
        <v>18</v>
      </c>
      <c r="B28" s="355">
        <v>30327</v>
      </c>
    </row>
    <row r="29" spans="1:6">
      <c r="A29" s="355" t="s">
        <v>901</v>
      </c>
      <c r="B29" s="355">
        <v>245</v>
      </c>
      <c r="C29" s="356"/>
      <c r="D29" s="356"/>
      <c r="E29" s="356"/>
      <c r="F29" s="356"/>
    </row>
    <row r="30" spans="1:6">
      <c r="A30" s="341" t="s">
        <v>902</v>
      </c>
      <c r="B30" s="341">
        <v>32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58783.7</v>
      </c>
    </row>
    <row r="36" spans="1:6">
      <c r="A36" s="348" t="s">
        <v>25</v>
      </c>
      <c r="B36" s="348" t="s">
        <v>27</v>
      </c>
      <c r="C36" s="334">
        <v>3</v>
      </c>
      <c r="D36" s="334">
        <v>21855412.1397129</v>
      </c>
      <c r="E36" s="334">
        <v>0</v>
      </c>
      <c r="F36" s="334">
        <v>0</v>
      </c>
    </row>
    <row r="37" spans="1:6">
      <c r="A37" s="348" t="s">
        <v>25</v>
      </c>
      <c r="B37" s="348" t="s">
        <v>28</v>
      </c>
      <c r="C37" s="334">
        <v>0</v>
      </c>
      <c r="D37" s="334">
        <v>0</v>
      </c>
      <c r="E37" s="334">
        <v>0</v>
      </c>
      <c r="F37" s="334">
        <v>0</v>
      </c>
    </row>
    <row r="38" spans="1:6">
      <c r="A38" s="348" t="s">
        <v>25</v>
      </c>
      <c r="B38" s="348" t="s">
        <v>29</v>
      </c>
      <c r="C38" s="334">
        <v>2</v>
      </c>
      <c r="D38" s="334">
        <v>38097862.739600003</v>
      </c>
      <c r="E38" s="334">
        <v>5</v>
      </c>
      <c r="F38" s="334">
        <v>364844.9</v>
      </c>
    </row>
    <row r="39" spans="1:6">
      <c r="A39" s="348" t="s">
        <v>30</v>
      </c>
      <c r="B39" s="348" t="s">
        <v>31</v>
      </c>
      <c r="C39" s="334">
        <v>5486</v>
      </c>
      <c r="D39" s="334">
        <v>90544231.685235202</v>
      </c>
      <c r="E39" s="334">
        <v>7224</v>
      </c>
      <c r="F39" s="334">
        <v>33295504</v>
      </c>
    </row>
    <row r="40" spans="1:6">
      <c r="A40" s="348" t="s">
        <v>30</v>
      </c>
      <c r="B40" s="348" t="s">
        <v>29</v>
      </c>
      <c r="C40" s="334">
        <v>0</v>
      </c>
      <c r="D40" s="334">
        <v>0</v>
      </c>
      <c r="E40" s="334">
        <v>2</v>
      </c>
      <c r="F40" s="334">
        <v>1890</v>
      </c>
    </row>
    <row r="41" spans="1:6">
      <c r="A41" s="348" t="s">
        <v>32</v>
      </c>
      <c r="B41" s="348" t="s">
        <v>33</v>
      </c>
      <c r="C41" s="334">
        <v>65</v>
      </c>
      <c r="D41" s="334">
        <v>1369269.96394643</v>
      </c>
      <c r="E41" s="334">
        <v>159</v>
      </c>
      <c r="F41" s="334">
        <v>1186340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79835.502035610101</v>
      </c>
      <c r="E44" s="334">
        <v>21</v>
      </c>
      <c r="F44" s="334">
        <v>197388.9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15161.95</v>
      </c>
    </row>
    <row r="48" spans="1:6">
      <c r="A48" s="348" t="s">
        <v>32</v>
      </c>
      <c r="B48" s="348" t="s">
        <v>29</v>
      </c>
      <c r="C48" s="334">
        <v>40</v>
      </c>
      <c r="D48" s="334">
        <v>107082792.42580099</v>
      </c>
      <c r="E48" s="334">
        <v>51</v>
      </c>
      <c r="F48" s="334">
        <v>32093723</v>
      </c>
    </row>
    <row r="49" spans="1:6">
      <c r="A49" s="348" t="s">
        <v>32</v>
      </c>
      <c r="B49" s="348" t="s">
        <v>40</v>
      </c>
      <c r="C49" s="334">
        <v>0</v>
      </c>
      <c r="D49" s="334">
        <v>0</v>
      </c>
      <c r="E49" s="334">
        <v>0</v>
      </c>
      <c r="F49" s="334">
        <v>0</v>
      </c>
    </row>
    <row r="50" spans="1:6">
      <c r="A50" s="348" t="s">
        <v>32</v>
      </c>
      <c r="B50" s="348" t="s">
        <v>41</v>
      </c>
      <c r="C50" s="334">
        <v>9</v>
      </c>
      <c r="D50" s="334">
        <v>640334.53539804905</v>
      </c>
      <c r="E50" s="334">
        <v>8</v>
      </c>
      <c r="F50" s="334">
        <v>374131.9</v>
      </c>
    </row>
    <row r="51" spans="1:6">
      <c r="A51" s="348" t="s">
        <v>42</v>
      </c>
      <c r="B51" s="348" t="s">
        <v>43</v>
      </c>
      <c r="C51" s="334">
        <v>18</v>
      </c>
      <c r="D51" s="334">
        <v>32287881.785102502</v>
      </c>
      <c r="E51" s="334">
        <v>107</v>
      </c>
      <c r="F51" s="334">
        <v>1932759</v>
      </c>
    </row>
    <row r="52" spans="1:6">
      <c r="A52" s="348" t="s">
        <v>42</v>
      </c>
      <c r="B52" s="348" t="s">
        <v>29</v>
      </c>
      <c r="C52" s="334">
        <v>7</v>
      </c>
      <c r="D52" s="334">
        <v>1838547.1822593</v>
      </c>
      <c r="E52" s="334">
        <v>3</v>
      </c>
      <c r="F52" s="334">
        <v>67282.77</v>
      </c>
    </row>
    <row r="53" spans="1:6">
      <c r="A53" s="348" t="s">
        <v>44</v>
      </c>
      <c r="B53" s="348" t="s">
        <v>45</v>
      </c>
      <c r="C53" s="334">
        <v>151</v>
      </c>
      <c r="D53" s="334">
        <v>2663114.8153034998</v>
      </c>
      <c r="E53" s="334">
        <v>303</v>
      </c>
      <c r="F53" s="334">
        <v>1342722</v>
      </c>
    </row>
    <row r="54" spans="1:6">
      <c r="A54" s="348" t="s">
        <v>46</v>
      </c>
      <c r="B54" s="348" t="s">
        <v>47</v>
      </c>
      <c r="C54" s="334">
        <v>0</v>
      </c>
      <c r="D54" s="334">
        <v>0</v>
      </c>
      <c r="E54" s="334">
        <v>1</v>
      </c>
      <c r="F54" s="334">
        <v>1404821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47</v>
      </c>
      <c r="D57" s="334">
        <v>3374801.5609226101</v>
      </c>
      <c r="E57" s="334">
        <v>133</v>
      </c>
      <c r="F57" s="334">
        <v>15072883</v>
      </c>
    </row>
    <row r="58" spans="1:6">
      <c r="A58" s="348" t="s">
        <v>49</v>
      </c>
      <c r="B58" s="348" t="s">
        <v>51</v>
      </c>
      <c r="C58" s="334">
        <v>27</v>
      </c>
      <c r="D58" s="334">
        <v>5102356.2809957499</v>
      </c>
      <c r="E58" s="334">
        <v>26</v>
      </c>
      <c r="F58" s="334">
        <v>234588.79999999999</v>
      </c>
    </row>
    <row r="59" spans="1:6">
      <c r="A59" s="348" t="s">
        <v>49</v>
      </c>
      <c r="B59" s="348" t="s">
        <v>52</v>
      </c>
      <c r="C59" s="334">
        <v>71</v>
      </c>
      <c r="D59" s="334">
        <v>3132224.1838930901</v>
      </c>
      <c r="E59" s="334">
        <v>174</v>
      </c>
      <c r="F59" s="334">
        <v>7704267</v>
      </c>
    </row>
    <row r="60" spans="1:6">
      <c r="A60" s="348" t="s">
        <v>49</v>
      </c>
      <c r="B60" s="348" t="s">
        <v>53</v>
      </c>
      <c r="C60" s="334">
        <v>47</v>
      </c>
      <c r="D60" s="334">
        <v>2068643.3757841401</v>
      </c>
      <c r="E60" s="334">
        <v>68</v>
      </c>
      <c r="F60" s="334">
        <v>1298531</v>
      </c>
    </row>
    <row r="61" spans="1:6">
      <c r="A61" s="348" t="s">
        <v>49</v>
      </c>
      <c r="B61" s="348" t="s">
        <v>54</v>
      </c>
      <c r="C61" s="334">
        <v>133</v>
      </c>
      <c r="D61" s="334">
        <v>3861512.2523536198</v>
      </c>
      <c r="E61" s="334">
        <v>257</v>
      </c>
      <c r="F61" s="334">
        <v>3108079</v>
      </c>
    </row>
    <row r="62" spans="1:6">
      <c r="A62" s="348" t="s">
        <v>49</v>
      </c>
      <c r="B62" s="348" t="s">
        <v>55</v>
      </c>
      <c r="C62" s="334">
        <v>7</v>
      </c>
      <c r="D62" s="334">
        <v>636912.30702633702</v>
      </c>
      <c r="E62" s="334">
        <v>6</v>
      </c>
      <c r="F62" s="334">
        <v>120265.8</v>
      </c>
    </row>
    <row r="63" spans="1:6">
      <c r="A63" s="348" t="s">
        <v>49</v>
      </c>
      <c r="B63" s="348" t="s">
        <v>29</v>
      </c>
      <c r="C63" s="334">
        <v>101</v>
      </c>
      <c r="D63" s="334">
        <v>5982581.9192799199</v>
      </c>
      <c r="E63" s="334">
        <v>102</v>
      </c>
      <c r="F63" s="334">
        <v>5459091</v>
      </c>
    </row>
    <row r="64" spans="1:6">
      <c r="A64" s="348" t="s">
        <v>56</v>
      </c>
      <c r="B64" s="348" t="s">
        <v>57</v>
      </c>
      <c r="C64" s="334">
        <v>0</v>
      </c>
      <c r="D64" s="334">
        <v>0</v>
      </c>
      <c r="E64" s="334">
        <v>0</v>
      </c>
      <c r="F64" s="334">
        <v>0</v>
      </c>
    </row>
    <row r="65" spans="1:6">
      <c r="A65" s="348" t="s">
        <v>56</v>
      </c>
      <c r="B65" s="348" t="s">
        <v>29</v>
      </c>
      <c r="C65" s="334">
        <v>6</v>
      </c>
      <c r="D65" s="334">
        <v>237928.17845512499</v>
      </c>
      <c r="E65" s="334">
        <v>6</v>
      </c>
      <c r="F65" s="334">
        <v>35652.07</v>
      </c>
    </row>
    <row r="66" spans="1:6">
      <c r="A66" s="348" t="s">
        <v>56</v>
      </c>
      <c r="B66" s="348" t="s">
        <v>58</v>
      </c>
      <c r="C66" s="334">
        <v>0</v>
      </c>
      <c r="D66" s="334">
        <v>0</v>
      </c>
      <c r="E66" s="334">
        <v>13</v>
      </c>
      <c r="F66" s="334">
        <v>540888.69999999995</v>
      </c>
    </row>
    <row r="67" spans="1:6">
      <c r="A67" s="355" t="s">
        <v>56</v>
      </c>
      <c r="B67" s="355" t="s">
        <v>59</v>
      </c>
      <c r="C67" s="334">
        <v>0</v>
      </c>
      <c r="D67" s="334">
        <v>0</v>
      </c>
      <c r="E67" s="334">
        <v>0</v>
      </c>
      <c r="F67" s="334">
        <v>0</v>
      </c>
    </row>
    <row r="68" spans="1:6">
      <c r="A68" s="341" t="s">
        <v>56</v>
      </c>
      <c r="B68" s="341" t="s">
        <v>60</v>
      </c>
      <c r="C68" s="334">
        <v>7</v>
      </c>
      <c r="D68" s="334">
        <v>220214.99529465701</v>
      </c>
      <c r="E68" s="334">
        <v>27</v>
      </c>
      <c r="F68" s="334">
        <v>312862.09999999998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93910573</v>
      </c>
      <c r="E73" s="476">
        <v>91096804.975939333</v>
      </c>
    </row>
    <row r="74" spans="1:6">
      <c r="A74" s="348" t="s">
        <v>64</v>
      </c>
      <c r="B74" s="348" t="s">
        <v>714</v>
      </c>
      <c r="C74" s="1311" t="s">
        <v>716</v>
      </c>
      <c r="D74" s="476">
        <v>7785927.5580431698</v>
      </c>
      <c r="E74" s="476">
        <v>7885033.5328513226</v>
      </c>
    </row>
    <row r="75" spans="1:6">
      <c r="A75" s="348" t="s">
        <v>65</v>
      </c>
      <c r="B75" s="348" t="s">
        <v>713</v>
      </c>
      <c r="C75" s="1311" t="s">
        <v>717</v>
      </c>
      <c r="D75" s="476">
        <v>9605808</v>
      </c>
      <c r="E75" s="476">
        <v>9335679.369380651</v>
      </c>
    </row>
    <row r="76" spans="1:6">
      <c r="A76" s="348" t="s">
        <v>65</v>
      </c>
      <c r="B76" s="348" t="s">
        <v>714</v>
      </c>
      <c r="C76" s="1311" t="s">
        <v>718</v>
      </c>
      <c r="D76" s="476">
        <v>35480.6</v>
      </c>
      <c r="E76" s="476">
        <v>35266.699639233833</v>
      </c>
    </row>
    <row r="77" spans="1:6">
      <c r="A77" s="348" t="s">
        <v>66</v>
      </c>
      <c r="B77" s="348" t="s">
        <v>713</v>
      </c>
      <c r="C77" s="1311" t="s">
        <v>719</v>
      </c>
      <c r="D77" s="476">
        <v>245720577</v>
      </c>
      <c r="E77" s="476">
        <v>259368676.24453667</v>
      </c>
    </row>
    <row r="78" spans="1:6">
      <c r="A78" s="341" t="s">
        <v>66</v>
      </c>
      <c r="B78" s="341" t="s">
        <v>714</v>
      </c>
      <c r="C78" s="341" t="s">
        <v>720</v>
      </c>
      <c r="D78" s="1307">
        <v>56331688</v>
      </c>
      <c r="E78" s="1307">
        <v>59762132.29136391</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973498.883913661</v>
      </c>
      <c r="C83" s="476">
        <v>962469.06027598644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3660.3392944141456</v>
      </c>
    </row>
    <row r="92" spans="1:6">
      <c r="A92" s="341" t="s">
        <v>69</v>
      </c>
      <c r="B92" s="342">
        <v>1231.5789671120508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3910</v>
      </c>
    </row>
    <row r="98" spans="1:6">
      <c r="A98" s="348" t="s">
        <v>72</v>
      </c>
      <c r="B98" s="334">
        <v>3</v>
      </c>
    </row>
    <row r="99" spans="1:6">
      <c r="A99" s="348" t="s">
        <v>73</v>
      </c>
      <c r="B99" s="334">
        <v>58</v>
      </c>
    </row>
    <row r="100" spans="1:6">
      <c r="A100" s="348" t="s">
        <v>74</v>
      </c>
      <c r="B100" s="334">
        <v>755</v>
      </c>
    </row>
    <row r="101" spans="1:6">
      <c r="A101" s="348" t="s">
        <v>75</v>
      </c>
      <c r="B101" s="334">
        <v>168</v>
      </c>
    </row>
    <row r="102" spans="1:6">
      <c r="A102" s="348" t="s">
        <v>76</v>
      </c>
      <c r="B102" s="334">
        <v>70</v>
      </c>
    </row>
    <row r="103" spans="1:6">
      <c r="A103" s="348" t="s">
        <v>77</v>
      </c>
      <c r="B103" s="334">
        <v>164</v>
      </c>
    </row>
    <row r="104" spans="1:6">
      <c r="A104" s="348" t="s">
        <v>78</v>
      </c>
      <c r="B104" s="334">
        <v>1316</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1</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18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142</v>
      </c>
    </row>
    <row r="130" spans="1:6">
      <c r="A130" s="348" t="s">
        <v>295</v>
      </c>
      <c r="B130" s="334">
        <v>1</v>
      </c>
    </row>
    <row r="131" spans="1:6">
      <c r="A131" s="348" t="s">
        <v>296</v>
      </c>
      <c r="B131" s="334">
        <v>1</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108617.63356920469</v>
      </c>
      <c r="C3" s="43" t="s">
        <v>170</v>
      </c>
      <c r="D3" s="43"/>
      <c r="E3" s="154"/>
      <c r="F3" s="43"/>
      <c r="G3" s="43"/>
      <c r="H3" s="43"/>
      <c r="I3" s="43"/>
      <c r="J3" s="43"/>
      <c r="K3" s="96"/>
    </row>
    <row r="4" spans="1:11">
      <c r="A4" s="384" t="s">
        <v>171</v>
      </c>
      <c r="B4" s="49">
        <f>IF(ISERROR('SEAP template'!B78+'SEAP template'!C78),0,'SEAP template'!B78+'SEAP template'!C78)</f>
        <v>52884.418261526196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9591.0194117647079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0.20169892562429234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13701.45630252101</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68560.71428571429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0.19984413005708615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1404.8209999999999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1404.8209999999999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0.20169892562429234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283.35088639444399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33297.394</v>
      </c>
      <c r="C5" s="17">
        <f>IF(ISERROR('Eigen informatie GS &amp; warmtenet'!B57),0,'Eigen informatie GS &amp; warmtenet'!B57)</f>
        <v>0</v>
      </c>
      <c r="D5" s="30">
        <f>(SUM(HH_hh_gas_kWh,HH_rest_gas_kWh)/1000)*0.902</f>
        <v>81670.896980082165</v>
      </c>
      <c r="E5" s="17">
        <f>B46*B57</f>
        <v>1677.4956385389257</v>
      </c>
      <c r="F5" s="17">
        <f>B51*B62</f>
        <v>0</v>
      </c>
      <c r="G5" s="18"/>
      <c r="H5" s="17"/>
      <c r="I5" s="17"/>
      <c r="J5" s="17">
        <f>B50*B61+C50*C61</f>
        <v>225.11503201487261</v>
      </c>
      <c r="K5" s="17"/>
      <c r="L5" s="17"/>
      <c r="M5" s="17"/>
      <c r="N5" s="17">
        <f>B48*B59+C48*C59</f>
        <v>18426.416115644515</v>
      </c>
      <c r="O5" s="17">
        <f>B69*B70*B71</f>
        <v>250.13333333333333</v>
      </c>
      <c r="P5" s="17">
        <f>B77*B78*B79/1000-B77*B78*B79/1000/B80</f>
        <v>896.13333333333333</v>
      </c>
    </row>
    <row r="6" spans="1:16">
      <c r="A6" s="16" t="s">
        <v>631</v>
      </c>
      <c r="B6" s="789">
        <f>kWh_PV_kleiner_dan_10kW</f>
        <v>3660.3392944141456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36957.733294414145</v>
      </c>
      <c r="C8" s="21">
        <f>C5</f>
        <v>0</v>
      </c>
      <c r="D8" s="21">
        <f>D5</f>
        <v>81670.896980082165</v>
      </c>
      <c r="E8" s="21">
        <f>E5</f>
        <v>1677.4956385389257</v>
      </c>
      <c r="F8" s="21">
        <f>F5</f>
        <v>0</v>
      </c>
      <c r="G8" s="21"/>
      <c r="H8" s="21"/>
      <c r="I8" s="21"/>
      <c r="J8" s="21">
        <f>J5</f>
        <v>225.11503201487261</v>
      </c>
      <c r="K8" s="21"/>
      <c r="L8" s="21">
        <f>L5</f>
        <v>0</v>
      </c>
      <c r="M8" s="21">
        <f>M5</f>
        <v>0</v>
      </c>
      <c r="N8" s="21">
        <f>N5</f>
        <v>18426.416115644515</v>
      </c>
      <c r="O8" s="21">
        <f>O5</f>
        <v>250.13333333333333</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0.20169892562429234</v>
      </c>
      <c r="C10" s="25">
        <f ca="1">'EF ele_warmte'!B22</f>
        <v>0.19984413005708615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7454.3350989924711</v>
      </c>
      <c r="C12" s="23">
        <f ca="1">C10*C8</f>
        <v>0</v>
      </c>
      <c r="D12" s="23">
        <f>D8*D10</f>
        <v>16497.5211899766</v>
      </c>
      <c r="E12" s="23">
        <f>E10*E8</f>
        <v>380.79150994833617</v>
      </c>
      <c r="F12" s="23">
        <f>F10*F8</f>
        <v>0</v>
      </c>
      <c r="G12" s="23"/>
      <c r="H12" s="23"/>
      <c r="I12" s="23"/>
      <c r="J12" s="23">
        <f>J10*J8</f>
        <v>79.690721333264904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3910</v>
      </c>
      <c r="C18" s="166" t="s">
        <v>111</v>
      </c>
      <c r="D18" s="228"/>
      <c r="E18" s="15"/>
    </row>
    <row r="19" spans="1:7">
      <c r="A19" s="171" t="s">
        <v>72</v>
      </c>
      <c r="B19" s="37">
        <f>aantalw2001_ander</f>
        <v>3</v>
      </c>
      <c r="C19" s="166" t="s">
        <v>111</v>
      </c>
      <c r="D19" s="229"/>
      <c r="E19" s="15"/>
    </row>
    <row r="20" spans="1:7">
      <c r="A20" s="171" t="s">
        <v>73</v>
      </c>
      <c r="B20" s="37">
        <f>aantalw2001_propaan</f>
        <v>58</v>
      </c>
      <c r="C20" s="167">
        <f>IF(ISERROR(B20/SUM($B$20,$B$21,$B$22)*100),0,B20/SUM($B$20,$B$21,$B$22)*100)</f>
        <v>5.9123343527013255</v>
      </c>
      <c r="D20" s="229"/>
      <c r="E20" s="15"/>
    </row>
    <row r="21" spans="1:7">
      <c r="A21" s="171" t="s">
        <v>74</v>
      </c>
      <c r="B21" s="37">
        <f>aantalw2001_elektriciteit</f>
        <v>755</v>
      </c>
      <c r="C21" s="167">
        <f>IF(ISERROR(B21/SUM($B$20,$B$21,$B$22)*100),0,B21/SUM($B$20,$B$21,$B$22)*100)</f>
        <v>76.962283384301728</v>
      </c>
      <c r="D21" s="229"/>
      <c r="E21" s="15"/>
    </row>
    <row r="22" spans="1:7">
      <c r="A22" s="171" t="s">
        <v>75</v>
      </c>
      <c r="B22" s="37">
        <f>aantalw2001_hout</f>
        <v>168</v>
      </c>
      <c r="C22" s="167">
        <f>IF(ISERROR(B22/SUM($B$20,$B$21,$B$22)*100),0,B22/SUM($B$20,$B$21,$B$22)*100)</f>
        <v>17.12538226299694</v>
      </c>
      <c r="D22" s="229"/>
      <c r="E22" s="15"/>
    </row>
    <row r="23" spans="1:7">
      <c r="A23" s="171" t="s">
        <v>76</v>
      </c>
      <c r="B23" s="37">
        <f>aantalw2001_niet_gespec</f>
        <v>70</v>
      </c>
      <c r="C23" s="166" t="s">
        <v>111</v>
      </c>
      <c r="D23" s="228"/>
      <c r="E23" s="15"/>
    </row>
    <row r="24" spans="1:7">
      <c r="A24" s="171" t="s">
        <v>77</v>
      </c>
      <c r="B24" s="37">
        <f>aantalw2001_steenkool</f>
        <v>164</v>
      </c>
      <c r="C24" s="166" t="s">
        <v>111</v>
      </c>
      <c r="D24" s="229"/>
      <c r="E24" s="15"/>
    </row>
    <row r="25" spans="1:7">
      <c r="A25" s="171" t="s">
        <v>78</v>
      </c>
      <c r="B25" s="37">
        <f>aantalw2001_stookolie</f>
        <v>1316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7441</v>
      </c>
      <c r="C28" s="36"/>
      <c r="D28" s="228"/>
    </row>
    <row r="29" spans="1:7" s="15" customFormat="1">
      <c r="A29" s="230" t="s">
        <v>741</v>
      </c>
      <c r="B29" s="37">
        <f>SUM(HH_hh_gas_aantal,HH_rest_gas_aantal)</f>
        <v>5486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5486</v>
      </c>
      <c r="C32" s="167">
        <f>IF(ISERROR(B32/SUM($B$32,$B$34,$B$35,$B$36,$B$38,$B$39)*100),0,B32/SUM($B$32,$B$34,$B$35,$B$36,$B$38,$B$39)*100)</f>
        <v>74.195293481200991</v>
      </c>
      <c r="D32" s="233"/>
      <c r="G32" s="15"/>
    </row>
    <row r="33" spans="1:7">
      <c r="A33" s="171" t="s">
        <v>72</v>
      </c>
      <c r="B33" s="34" t="s">
        <v>111</v>
      </c>
      <c r="C33" s="167"/>
      <c r="D33" s="233"/>
      <c r="G33" s="15"/>
    </row>
    <row r="34" spans="1:7">
      <c r="A34" s="171" t="s">
        <v>73</v>
      </c>
      <c r="B34" s="33">
        <f>IF((($B$28-$B$32-$B$39-$B$77-$B$38)*C20/100)&lt;0,0,($B$28-$B$32-$B$39-$B$77-$B$38)*C20/100)</f>
        <v>112.4289500509684</v>
      </c>
      <c r="C34" s="167">
        <f>IF(ISERROR(B34/SUM($B$32,$B$34,$B$35,$B$36,$B$38,$B$39)*100),0,B34/SUM($B$32,$B$34,$B$35,$B$36,$B$38,$B$39)*100)</f>
        <v>1.5205430085335192</v>
      </c>
      <c r="D34" s="233"/>
      <c r="G34" s="15"/>
    </row>
    <row r="35" spans="1:7">
      <c r="A35" s="171" t="s">
        <v>74</v>
      </c>
      <c r="B35" s="33">
        <f>IF((($B$28-$B$32-$B$39-$B$77-$B$38)*C21/100)&lt;0,0,($B$28-$B$32-$B$39-$B$77-$B$38)*C21/100)</f>
        <v>1463.5147808358815</v>
      </c>
      <c r="C35" s="167">
        <f>IF(ISERROR(B35/SUM($B$32,$B$34,$B$35,$B$36,$B$38,$B$39)*100),0,B35/SUM($B$32,$B$34,$B$35,$B$36,$B$38,$B$39)*100)</f>
        <v>19.793275369703565</v>
      </c>
      <c r="D35" s="233"/>
      <c r="G35" s="15"/>
    </row>
    <row r="36" spans="1:7">
      <c r="A36" s="171" t="s">
        <v>75</v>
      </c>
      <c r="B36" s="33">
        <f>IF((($B$28-$B$32-$B$39-$B$77-$B$38)*C22/100)&lt;0,0,($B$28-$B$32-$B$39-$B$77-$B$38)*C22/100)</f>
        <v>325.65626911314979</v>
      </c>
      <c r="C36" s="167">
        <f>IF(ISERROR(B36/SUM($B$32,$B$34,$B$35,$B$36,$B$38,$B$39)*100),0,B36/SUM($B$32,$B$34,$B$35,$B$36,$B$38,$B$39)*100)</f>
        <v>4.4043314729936407</v>
      </c>
      <c r="D36" s="233"/>
      <c r="G36" s="15"/>
    </row>
    <row r="37" spans="1:7">
      <c r="A37" s="171" t="s">
        <v>76</v>
      </c>
      <c r="B37" s="34" t="s">
        <v>111</v>
      </c>
      <c r="C37" s="167"/>
      <c r="D37" s="173"/>
      <c r="G37" s="15"/>
    </row>
    <row r="38" spans="1:7">
      <c r="A38" s="171" t="s">
        <v>77</v>
      </c>
      <c r="B38" s="33">
        <f>IF((B24-(B29-B18)*0.1)&lt;0,0,B24-(B29-B18)*0.1)</f>
        <v>6.3999999999999773</v>
      </c>
      <c r="C38" s="167">
        <f>IF(ISERROR(B38/SUM($B$32,$B$34,$B$35,$B$36,$B$38,$B$39)*100),0,B38/SUM($B$32,$B$34,$B$35,$B$36,$B$38,$B$39)*100)</f>
        <v>8.6556667568298315E-2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5486</v>
      </c>
      <c r="C44" s="34" t="s">
        <v>111</v>
      </c>
      <c r="D44" s="174"/>
    </row>
    <row r="45" spans="1:7">
      <c r="A45" s="171" t="s">
        <v>72</v>
      </c>
      <c r="B45" s="33" t="str">
        <f t="shared" si="0"/>
        <v>-</v>
      </c>
      <c r="C45" s="34" t="s">
        <v>111</v>
      </c>
      <c r="D45" s="174"/>
    </row>
    <row r="46" spans="1:7">
      <c r="A46" s="171" t="s">
        <v>73</v>
      </c>
      <c r="B46" s="33">
        <f t="shared" si="0"/>
        <v>112.4289500509684</v>
      </c>
      <c r="C46" s="34" t="s">
        <v>111</v>
      </c>
      <c r="D46" s="174"/>
    </row>
    <row r="47" spans="1:7">
      <c r="A47" s="171" t="s">
        <v>74</v>
      </c>
      <c r="B47" s="33">
        <f t="shared" si="0"/>
        <v>1463.5147808358815</v>
      </c>
      <c r="C47" s="34" t="s">
        <v>111</v>
      </c>
      <c r="D47" s="174"/>
    </row>
    <row r="48" spans="1:7">
      <c r="A48" s="171" t="s">
        <v>75</v>
      </c>
      <c r="B48" s="33">
        <f t="shared" si="0"/>
        <v>325.65626911314979</v>
      </c>
      <c r="C48" s="33">
        <f>B48*10</f>
        <v>3256.562691131498</v>
      </c>
      <c r="D48" s="234"/>
    </row>
    <row r="49" spans="1:6">
      <c r="A49" s="171" t="s">
        <v>76</v>
      </c>
      <c r="B49" s="33" t="str">
        <f t="shared" si="0"/>
        <v>-</v>
      </c>
      <c r="C49" s="34" t="s">
        <v>111</v>
      </c>
      <c r="D49" s="234"/>
    </row>
    <row r="50" spans="1:6">
      <c r="A50" s="171" t="s">
        <v>77</v>
      </c>
      <c r="B50" s="33">
        <f t="shared" si="0"/>
        <v>6.3999999999999773</v>
      </c>
      <c r="C50" s="33">
        <f>B50*2</f>
        <v>12.799999999999955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32997.705600000001</v>
      </c>
      <c r="C5" s="17">
        <f>IF(ISERROR('Eigen informatie GS &amp; warmtenet'!B58),0,'Eigen informatie GS &amp; warmtenet'!B58)</f>
        <v>0</v>
      </c>
      <c r="D5" s="30">
        <f>SUM(D6:D12)</f>
        <v>21791.44675599043</v>
      </c>
      <c r="E5" s="17">
        <f>SUM(E6:E12)</f>
        <v>247.54541211557029</v>
      </c>
      <c r="F5" s="17">
        <f>SUM(F6:F12)</f>
        <v>5859.546341178504</v>
      </c>
      <c r="G5" s="18"/>
      <c r="H5" s="17"/>
      <c r="I5" s="17"/>
      <c r="J5" s="17">
        <f>SUM(J6:J12)</f>
        <v>0</v>
      </c>
      <c r="K5" s="17"/>
      <c r="L5" s="17"/>
      <c r="M5" s="17"/>
      <c r="N5" s="17">
        <f>SUM(N6:N12)</f>
        <v>11178.964860784876</v>
      </c>
      <c r="O5" s="17">
        <f>B38*B39*B40</f>
        <v>1.5633333333333335</v>
      </c>
      <c r="P5" s="17">
        <f>B46*B47*B48/1000-B46*B47*B48/1000/B49</f>
        <v>19.066666666666666</v>
      </c>
      <c r="R5" s="32"/>
    </row>
    <row r="6" spans="1:18">
      <c r="A6" s="32" t="s">
        <v>54</v>
      </c>
      <c r="B6" s="37">
        <f>B26</f>
        <v>3108.0790000000002</v>
      </c>
      <c r="C6" s="33"/>
      <c r="D6" s="37">
        <f>IF(ISERROR(TER_kantoor_gas_kWh/1000),0,TER_kantoor_gas_kWh/1000)*0.902</f>
        <v>3483.084051622965</v>
      </c>
      <c r="E6" s="33">
        <f>$C$26*'E Balans VL '!I12/100/3.6*1000000</f>
        <v>9.0045608828495389</v>
      </c>
      <c r="F6" s="33">
        <f>$C$26*('E Balans VL '!L12+'E Balans VL '!N12)/100/3.6*1000000</f>
        <v>351.76606651050275</v>
      </c>
      <c r="G6" s="34"/>
      <c r="H6" s="33"/>
      <c r="I6" s="33"/>
      <c r="J6" s="33">
        <f>$C$26*('E Balans VL '!D12+'E Balans VL '!E12)/100/3.6*1000000</f>
        <v>0</v>
      </c>
      <c r="K6" s="33"/>
      <c r="L6" s="33"/>
      <c r="M6" s="33"/>
      <c r="N6" s="33">
        <f>$C$26*'E Balans VL '!Y12/100/3.6*1000000</f>
        <v>31.109580655141098</v>
      </c>
      <c r="O6" s="33"/>
      <c r="P6" s="33"/>
      <c r="R6" s="32"/>
    </row>
    <row r="7" spans="1:18">
      <c r="A7" s="32" t="s">
        <v>53</v>
      </c>
      <c r="B7" s="37">
        <f t="shared" ref="B7:B12" si="0">B27</f>
        <v>1298.5309999999999</v>
      </c>
      <c r="C7" s="33"/>
      <c r="D7" s="37">
        <f>IF(ISERROR(TER_horeca_gas_kWh/1000),0,TER_horeca_gas_kWh/1000)*0.902</f>
        <v>1865.9163249572944</v>
      </c>
      <c r="E7" s="33">
        <f>$C$27*'E Balans VL '!I9/100/3.6*1000000</f>
        <v>54.508703356089669</v>
      </c>
      <c r="F7" s="33">
        <f>$C$27*('E Balans VL '!L9+'E Balans VL '!N9)/100/3.6*1000000</f>
        <v>279.01601423614198</v>
      </c>
      <c r="G7" s="34"/>
      <c r="H7" s="33"/>
      <c r="I7" s="33"/>
      <c r="J7" s="33">
        <f>$C$27*('E Balans VL '!D9+'E Balans VL '!E9)/100/3.6*1000000</f>
        <v>0</v>
      </c>
      <c r="K7" s="33"/>
      <c r="L7" s="33"/>
      <c r="M7" s="33"/>
      <c r="N7" s="33">
        <f>$C$27*'E Balans VL '!Y9/100/3.6*1000000</f>
        <v>0.33462008263443749</v>
      </c>
      <c r="O7" s="33"/>
      <c r="P7" s="33"/>
      <c r="R7" s="32"/>
    </row>
    <row r="8" spans="1:18">
      <c r="A8" s="6" t="s">
        <v>52</v>
      </c>
      <c r="B8" s="37">
        <f t="shared" si="0"/>
        <v>7704.2669999999998</v>
      </c>
      <c r="C8" s="33"/>
      <c r="D8" s="37">
        <f>IF(ISERROR(TER_handel_gas_kWh/1000),0,TER_handel_gas_kWh/1000)*0.902</f>
        <v>2825.2662138715673</v>
      </c>
      <c r="E8" s="33">
        <f>$C$28*'E Balans VL '!I13/100/3.6*1000000</f>
        <v>82.750239659150537</v>
      </c>
      <c r="F8" s="33">
        <f>$C$28*('E Balans VL '!L13+'E Balans VL '!N13)/100/3.6*1000000</f>
        <v>997.38098367536179</v>
      </c>
      <c r="G8" s="34"/>
      <c r="H8" s="33"/>
      <c r="I8" s="33"/>
      <c r="J8" s="33">
        <f>$C$28*('E Balans VL '!D13+'E Balans VL '!E13)/100/3.6*1000000</f>
        <v>0</v>
      </c>
      <c r="K8" s="33"/>
      <c r="L8" s="33"/>
      <c r="M8" s="33"/>
      <c r="N8" s="33">
        <f>$C$28*'E Balans VL '!Y13/100/3.6*1000000</f>
        <v>62.497434575268777</v>
      </c>
      <c r="O8" s="33"/>
      <c r="P8" s="33"/>
      <c r="R8" s="32"/>
    </row>
    <row r="9" spans="1:18">
      <c r="A9" s="32" t="s">
        <v>51</v>
      </c>
      <c r="B9" s="37">
        <f t="shared" si="0"/>
        <v>234.58879999999999</v>
      </c>
      <c r="C9" s="33"/>
      <c r="D9" s="37">
        <f>IF(ISERROR(TER_gezond_gas_kWh/1000),0,TER_gezond_gas_kWh/1000)*0.902</f>
        <v>4602.3253654581667</v>
      </c>
      <c r="E9" s="33">
        <f>$C$29*'E Balans VL '!I10/100/3.6*1000000</f>
        <v>0.18674785759709273</v>
      </c>
      <c r="F9" s="33">
        <f>$C$29*('E Balans VL '!L10+'E Balans VL '!N10)/100/3.6*1000000</f>
        <v>28.517658753508893</v>
      </c>
      <c r="G9" s="34"/>
      <c r="H9" s="33"/>
      <c r="I9" s="33"/>
      <c r="J9" s="33">
        <f>$C$29*('E Balans VL '!D10+'E Balans VL '!E10)/100/3.6*1000000</f>
        <v>0</v>
      </c>
      <c r="K9" s="33"/>
      <c r="L9" s="33"/>
      <c r="M9" s="33"/>
      <c r="N9" s="33">
        <f>$C$29*'E Balans VL '!Y10/100/3.6*1000000</f>
        <v>1.8949461761809394</v>
      </c>
      <c r="O9" s="33"/>
      <c r="P9" s="33"/>
      <c r="R9" s="32"/>
    </row>
    <row r="10" spans="1:18">
      <c r="A10" s="32" t="s">
        <v>50</v>
      </c>
      <c r="B10" s="37">
        <f t="shared" si="0"/>
        <v>15072.883</v>
      </c>
      <c r="C10" s="33"/>
      <c r="D10" s="37">
        <f>IF(ISERROR(TER_ander_gas_kWh/1000),0,TER_ander_gas_kWh/1000)*0.902</f>
        <v>3044.0710079521941</v>
      </c>
      <c r="E10" s="33">
        <f>$C$30*'E Balans VL '!I14/100/3.6*1000000</f>
        <v>51.655561868771613</v>
      </c>
      <c r="F10" s="33">
        <f>$C$30*('E Balans VL '!L14+'E Balans VL '!N14)/100/3.6*1000000</f>
        <v>3366.6695723840371</v>
      </c>
      <c r="G10" s="34"/>
      <c r="H10" s="33"/>
      <c r="I10" s="33"/>
      <c r="J10" s="33">
        <f>$C$30*('E Balans VL '!D14+'E Balans VL '!E14)/100/3.6*1000000</f>
        <v>0</v>
      </c>
      <c r="K10" s="33"/>
      <c r="L10" s="33"/>
      <c r="M10" s="33"/>
      <c r="N10" s="33">
        <f>$C$30*'E Balans VL '!Y14/100/3.6*1000000</f>
        <v>10617.421126750272</v>
      </c>
      <c r="O10" s="33"/>
      <c r="P10" s="33"/>
      <c r="R10" s="32"/>
    </row>
    <row r="11" spans="1:18">
      <c r="A11" s="32" t="s">
        <v>55</v>
      </c>
      <c r="B11" s="37">
        <f t="shared" si="0"/>
        <v>120.2658</v>
      </c>
      <c r="C11" s="33"/>
      <c r="D11" s="37">
        <f>IF(ISERROR(TER_onderwijs_gas_kWh/1000),0,TER_onderwijs_gas_kWh/1000)*0.902</f>
        <v>574.49490093775592</v>
      </c>
      <c r="E11" s="33">
        <f>$C$31*'E Balans VL '!I11/100/3.6*1000000</f>
        <v>8.3136043644861143E-2</v>
      </c>
      <c r="F11" s="33">
        <f>$C$31*('E Balans VL '!L11+'E Balans VL '!N11)/100/3.6*1000000</f>
        <v>31.482092955548616</v>
      </c>
      <c r="G11" s="34"/>
      <c r="H11" s="33"/>
      <c r="I11" s="33"/>
      <c r="J11" s="33">
        <f>$C$31*('E Balans VL '!D11+'E Balans VL '!E11)/100/3.6*1000000</f>
        <v>0</v>
      </c>
      <c r="K11" s="33"/>
      <c r="L11" s="33"/>
      <c r="M11" s="33"/>
      <c r="N11" s="33">
        <f>$C$31*'E Balans VL '!Y11/100/3.6*1000000</f>
        <v>0.11971436045822907</v>
      </c>
      <c r="O11" s="33"/>
      <c r="P11" s="33"/>
      <c r="R11" s="32"/>
    </row>
    <row r="12" spans="1:18">
      <c r="A12" s="32" t="s">
        <v>260</v>
      </c>
      <c r="B12" s="37">
        <f t="shared" si="0"/>
        <v>5459.0910000000003</v>
      </c>
      <c r="C12" s="33"/>
      <c r="D12" s="37">
        <f>IF(ISERROR(TER_rest_gas_kWh/1000),0,TER_rest_gas_kWh/1000)*0.902</f>
        <v>5396.2888911904884</v>
      </c>
      <c r="E12" s="33">
        <f>$C$32*'E Balans VL '!I8/100/3.6*1000000</f>
        <v>49.356462447466967</v>
      </c>
      <c r="F12" s="33">
        <f>$C$32*('E Balans VL '!L8+'E Balans VL '!N8)/100/3.6*1000000</f>
        <v>804.71395266340312</v>
      </c>
      <c r="G12" s="34"/>
      <c r="H12" s="33"/>
      <c r="I12" s="33"/>
      <c r="J12" s="33">
        <f>$C$32*('E Balans VL '!D8+'E Balans VL '!E8)/100/3.6*1000000</f>
        <v>0</v>
      </c>
      <c r="K12" s="33"/>
      <c r="L12" s="33"/>
      <c r="M12" s="33"/>
      <c r="N12" s="33">
        <f>$C$32*'E Balans VL '!Y8/100/3.6*1000000</f>
        <v>465.58743818491888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32997.705600000001</v>
      </c>
      <c r="C16" s="21">
        <f t="shared" ca="1" si="1"/>
        <v>0</v>
      </c>
      <c r="D16" s="21">
        <f t="shared" ca="1" si="1"/>
        <v>21791.44675599043</v>
      </c>
      <c r="E16" s="21">
        <f t="shared" si="1"/>
        <v>247.54541211557029</v>
      </c>
      <c r="F16" s="21">
        <f t="shared" ca="1" si="1"/>
        <v>5859.546341178504</v>
      </c>
      <c r="G16" s="21">
        <f t="shared" si="1"/>
        <v>0</v>
      </c>
      <c r="H16" s="21">
        <f t="shared" si="1"/>
        <v>0</v>
      </c>
      <c r="I16" s="21">
        <f t="shared" si="1"/>
        <v>0</v>
      </c>
      <c r="J16" s="21">
        <f t="shared" si="1"/>
        <v>0</v>
      </c>
      <c r="K16" s="21">
        <f t="shared" si="1"/>
        <v>0</v>
      </c>
      <c r="L16" s="21">
        <f t="shared" ca="1" si="1"/>
        <v>0</v>
      </c>
      <c r="M16" s="21">
        <f t="shared" si="1"/>
        <v>0</v>
      </c>
      <c r="N16" s="21">
        <f t="shared" ca="1" si="1"/>
        <v>11178.964860784876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0.20169892562429234</v>
      </c>
      <c r="C18" s="25">
        <f ca="1">'EF ele_warmte'!B22</f>
        <v>0.19984413005708615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6655.6017675866951</v>
      </c>
      <c r="C20" s="23">
        <f t="shared" ref="C20:P20" ca="1" si="2">C16*C18</f>
        <v>0</v>
      </c>
      <c r="D20" s="23">
        <f t="shared" ca="1" si="2"/>
        <v>4401.8722447100672</v>
      </c>
      <c r="E20" s="23">
        <f t="shared" si="2"/>
        <v>56.19280855023446</v>
      </c>
      <c r="F20" s="23">
        <f t="shared" ca="1" si="2"/>
        <v>1564.4988730946607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3108.0790000000002</v>
      </c>
      <c r="C26" s="39">
        <f>IF(ISERROR(B26*3.6/1000000/'E Balans VL '!Z12*100),0,B26*3.6/1000000/'E Balans VL '!Z12*100)</f>
        <v>6.8272548534147076E-2</v>
      </c>
      <c r="D26" s="237" t="s">
        <v>692</v>
      </c>
      <c r="F26" s="6"/>
    </row>
    <row r="27" spans="1:18">
      <c r="A27" s="231" t="s">
        <v>53</v>
      </c>
      <c r="B27" s="33">
        <f>IF(ISERROR(TER_horeca_ele_kWh/1000),0,TER_horeca_ele_kWh/1000)</f>
        <v>1298.5309999999999</v>
      </c>
      <c r="C27" s="39">
        <f>IF(ISERROR(B27*3.6/1000000/'E Balans VL '!Z9*100),0,B27*3.6/1000000/'E Balans VL '!Z9*100)</f>
        <v>0.10434990975988956</v>
      </c>
      <c r="D27" s="237" t="s">
        <v>692</v>
      </c>
      <c r="F27" s="6"/>
    </row>
    <row r="28" spans="1:18">
      <c r="A28" s="171" t="s">
        <v>52</v>
      </c>
      <c r="B28" s="33">
        <f>IF(ISERROR(TER_handel_ele_kWh/1000),0,TER_handel_ele_kWh/1000)</f>
        <v>7704.2669999999998</v>
      </c>
      <c r="C28" s="39">
        <f>IF(ISERROR(B28*3.6/1000000/'E Balans VL '!Z13*100),0,B28*3.6/1000000/'E Balans VL '!Z13*100)</f>
        <v>0.22780979287606362</v>
      </c>
      <c r="D28" s="237" t="s">
        <v>692</v>
      </c>
      <c r="F28" s="6"/>
    </row>
    <row r="29" spans="1:18">
      <c r="A29" s="231" t="s">
        <v>51</v>
      </c>
      <c r="B29" s="33">
        <f>IF(ISERROR(TER_gezond_ele_kWh/1000),0,TER_gezond_ele_kWh/1000)</f>
        <v>234.58879999999999</v>
      </c>
      <c r="C29" s="39">
        <f>IF(ISERROR(B29*3.6/1000000/'E Balans VL '!Z10*100),0,B29*3.6/1000000/'E Balans VL '!Z10*100)</f>
        <v>2.6432101211070137E-2</v>
      </c>
      <c r="D29" s="237" t="s">
        <v>692</v>
      </c>
      <c r="F29" s="6"/>
    </row>
    <row r="30" spans="1:18">
      <c r="A30" s="231" t="s">
        <v>50</v>
      </c>
      <c r="B30" s="33">
        <f>IF(ISERROR(TER_ander_ele_kWh/1000),0,TER_ander_ele_kWh/1000)</f>
        <v>15072.883</v>
      </c>
      <c r="C30" s="39">
        <f>IF(ISERROR(B30*3.6/1000000/'E Balans VL '!Z14*100),0,B30*3.6/1000000/'E Balans VL '!Z14*100)</f>
        <v>1.13993637536036</v>
      </c>
      <c r="D30" s="237" t="s">
        <v>692</v>
      </c>
      <c r="F30" s="6"/>
    </row>
    <row r="31" spans="1:18">
      <c r="A31" s="231" t="s">
        <v>55</v>
      </c>
      <c r="B31" s="33">
        <f>IF(ISERROR(TER_onderwijs_ele_kWh/1000),0,TER_onderwijs_ele_kWh/1000)</f>
        <v>120.2658</v>
      </c>
      <c r="C31" s="39">
        <f>IF(ISERROR(B31*3.6/1000000/'E Balans VL '!Z11*100),0,B31*3.6/1000000/'E Balans VL '!Z11*100)</f>
        <v>2.4964388229308333E-2</v>
      </c>
      <c r="D31" s="237" t="s">
        <v>692</v>
      </c>
    </row>
    <row r="32" spans="1:18">
      <c r="A32" s="231" t="s">
        <v>260</v>
      </c>
      <c r="B32" s="33">
        <f>IF(ISERROR(TER_rest_ele_kWh/1000),0,TER_rest_ele_kWh/1000)</f>
        <v>5459.0910000000003</v>
      </c>
      <c r="C32" s="39">
        <f>IF(ISERROR(B32*3.6/1000000/'E Balans VL '!Z8*100),0,B32*3.6/1000000/'E Balans VL '!Z8*100)</f>
        <v>4.5989630200520146E-2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33866.745750000002</v>
      </c>
      <c r="C5" s="17">
        <f>IF(ISERROR('Eigen informatie GS &amp; warmtenet'!B59),0,'Eigen informatie GS &amp; warmtenet'!B59)</f>
        <v>0</v>
      </c>
      <c r="D5" s="30">
        <f>SUM(D6:D15)</f>
        <v>98473.353649317331</v>
      </c>
      <c r="E5" s="17">
        <f>SUM(E6:E15)</f>
        <v>1967.6877772270977</v>
      </c>
      <c r="F5" s="17">
        <f>SUM(F6:F15)</f>
        <v>9019.3055070456721</v>
      </c>
      <c r="G5" s="18"/>
      <c r="H5" s="17"/>
      <c r="I5" s="17"/>
      <c r="J5" s="17">
        <f>SUM(J6:J15)</f>
        <v>143.59797102703172</v>
      </c>
      <c r="K5" s="17"/>
      <c r="L5" s="17"/>
      <c r="M5" s="17"/>
      <c r="N5" s="17">
        <f>SUM(N6:N15)</f>
        <v>6622.5144090774256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197.38890000000001</v>
      </c>
      <c r="C8" s="33"/>
      <c r="D8" s="37">
        <f>IF( ISERROR(IND_metaal_Gas_kWH/1000),0,IND_metaal_Gas_kWH/1000)*0.902</f>
        <v>72.01162283612031</v>
      </c>
      <c r="E8" s="33">
        <f>C30*'E Balans VL '!I18/100/3.6*1000000</f>
        <v>4.9399533206504183</v>
      </c>
      <c r="F8" s="33">
        <f>C30*'E Balans VL '!L18/100/3.6*1000000+C30*'E Balans VL '!N18/100/3.6*1000000</f>
        <v>61.862663122883809</v>
      </c>
      <c r="G8" s="34"/>
      <c r="H8" s="33"/>
      <c r="I8" s="33"/>
      <c r="J8" s="40">
        <f>C30*'E Balans VL '!D18/100/3.6*1000000+C30*'E Balans VL '!E18/100/3.6*1000000</f>
        <v>0</v>
      </c>
      <c r="K8" s="33"/>
      <c r="L8" s="33"/>
      <c r="M8" s="33"/>
      <c r="N8" s="33">
        <f>C30*'E Balans VL '!Y18/100/3.6*1000000</f>
        <v>4.9589214368656913</v>
      </c>
      <c r="O8" s="33"/>
      <c r="P8" s="33"/>
      <c r="R8" s="32"/>
    </row>
    <row r="9" spans="1:18">
      <c r="A9" s="6" t="s">
        <v>33</v>
      </c>
      <c r="B9" s="37">
        <f t="shared" si="0"/>
        <v>1186.3399999999999</v>
      </c>
      <c r="C9" s="33"/>
      <c r="D9" s="37">
        <f>IF( ISERROR(IND_andere_gas_kWh/1000),0,IND_andere_gas_kWh/1000)*0.902</f>
        <v>1235.0815074796799</v>
      </c>
      <c r="E9" s="33">
        <f>C31*'E Balans VL '!I19/100/3.6*1000000</f>
        <v>326.19484219894639</v>
      </c>
      <c r="F9" s="33">
        <f>C31*'E Balans VL '!L19/100/3.6*1000000+C31*'E Balans VL '!N19/100/3.6*1000000</f>
        <v>935.04235798182583</v>
      </c>
      <c r="G9" s="34"/>
      <c r="H9" s="33"/>
      <c r="I9" s="33"/>
      <c r="J9" s="40">
        <f>C31*'E Balans VL '!D19/100/3.6*1000000+C31*'E Balans VL '!E19/100/3.6*1000000</f>
        <v>0</v>
      </c>
      <c r="K9" s="33"/>
      <c r="L9" s="33"/>
      <c r="M9" s="33"/>
      <c r="N9" s="33">
        <f>C31*'E Balans VL '!Y19/100/3.6*1000000</f>
        <v>384.04957213591916</v>
      </c>
      <c r="O9" s="33"/>
      <c r="P9" s="33"/>
      <c r="R9" s="32"/>
    </row>
    <row r="10" spans="1:18">
      <c r="A10" s="6" t="s">
        <v>41</v>
      </c>
      <c r="B10" s="37">
        <f t="shared" si="0"/>
        <v>374.13190000000003</v>
      </c>
      <c r="C10" s="33"/>
      <c r="D10" s="37">
        <f>IF( ISERROR(IND_voed_gas_kWh/1000),0,IND_voed_gas_kWh/1000)*0.902</f>
        <v>577.58175092904025</v>
      </c>
      <c r="E10" s="33">
        <f>C32*'E Balans VL '!I20/100/3.6*1000000</f>
        <v>3.8140686100602199</v>
      </c>
      <c r="F10" s="33">
        <f>C32*'E Balans VL '!L20/100/3.6*1000000+C32*'E Balans VL '!N20/100/3.6*1000000</f>
        <v>706.7328191308452</v>
      </c>
      <c r="G10" s="34"/>
      <c r="H10" s="33"/>
      <c r="I10" s="33"/>
      <c r="J10" s="40">
        <f>C32*'E Balans VL '!D20/100/3.6*1000000+C32*'E Balans VL '!E20/100/3.6*1000000</f>
        <v>8.954200532119085</v>
      </c>
      <c r="K10" s="33"/>
      <c r="L10" s="33"/>
      <c r="M10" s="33"/>
      <c r="N10" s="33">
        <f>C32*'E Balans VL '!Y20/100/3.6*1000000</f>
        <v>197.21060601045298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15.161950000000001</v>
      </c>
      <c r="C13" s="33"/>
      <c r="D13" s="37">
        <f>IF( ISERROR(IND_papier_gas_kWh/1000),0,IND_papier_gas_kWh/1000)*0.902</f>
        <v>0</v>
      </c>
      <c r="E13" s="33">
        <f>C35*'E Balans VL '!I23/100/3.6*1000000</f>
        <v>3.140142185698179E-2</v>
      </c>
      <c r="F13" s="33">
        <f>C35*'E Balans VL '!L23/100/3.6*1000000+C35*'E Balans VL '!N23/100/3.6*1000000</f>
        <v>0.30069397313730606</v>
      </c>
      <c r="G13" s="34"/>
      <c r="H13" s="33"/>
      <c r="I13" s="33"/>
      <c r="J13" s="40">
        <f>C35*'E Balans VL '!D23/100/3.6*1000000+C35*'E Balans VL '!E23/100/3.6*1000000</f>
        <v>0</v>
      </c>
      <c r="K13" s="33"/>
      <c r="L13" s="33"/>
      <c r="M13" s="33"/>
      <c r="N13" s="33">
        <f>C35*'E Balans VL '!Y23/100/3.6*1000000</f>
        <v>6.4021010740527782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32093.723000000002</v>
      </c>
      <c r="C15" s="33"/>
      <c r="D15" s="37">
        <f>IF( ISERROR(IND_rest_gas_kWh/1000),0,IND_rest_gas_kWh/1000)*0.902</f>
        <v>96588.678768072496</v>
      </c>
      <c r="E15" s="33">
        <f>C37*'E Balans VL '!I15/100/3.6*1000000</f>
        <v>1632.7075116755836</v>
      </c>
      <c r="F15" s="33">
        <f>C37*'E Balans VL '!L15/100/3.6*1000000+C37*'E Balans VL '!N15/100/3.6*1000000</f>
        <v>7315.3669728369805</v>
      </c>
      <c r="G15" s="34"/>
      <c r="H15" s="33"/>
      <c r="I15" s="33"/>
      <c r="J15" s="40">
        <f>C37*'E Balans VL '!D15/100/3.6*1000000+C37*'E Balans VL '!E15/100/3.6*1000000</f>
        <v>134.64377049491264</v>
      </c>
      <c r="K15" s="33"/>
      <c r="L15" s="33"/>
      <c r="M15" s="33"/>
      <c r="N15" s="33">
        <f>C37*'E Balans VL '!Y15/100/3.6*1000000</f>
        <v>6029.8932084201351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33866.745750000002</v>
      </c>
      <c r="C18" s="21">
        <f>C5+C16</f>
        <v>0</v>
      </c>
      <c r="D18" s="21">
        <f>MAX((D5+D16),0)</f>
        <v>98473.353649317331</v>
      </c>
      <c r="E18" s="21">
        <f>MAX((E5+E16),0)</f>
        <v>1967.6877772270977</v>
      </c>
      <c r="F18" s="21">
        <f>MAX((F5+F16),0)</f>
        <v>9019.3055070456721</v>
      </c>
      <c r="G18" s="21"/>
      <c r="H18" s="21"/>
      <c r="I18" s="21"/>
      <c r="J18" s="21">
        <f>MAX((J5+J16),0)</f>
        <v>143.59797102703172</v>
      </c>
      <c r="K18" s="21"/>
      <c r="L18" s="21">
        <f>MAX((L5+L16),0)</f>
        <v>0</v>
      </c>
      <c r="M18" s="21"/>
      <c r="N18" s="21">
        <f>MAX((N5+N16),0)</f>
        <v>6622.5144090774256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0.20169892562429234</v>
      </c>
      <c r="C20" s="25">
        <f ca="1">'EF ele_warmte'!B22</f>
        <v>0.19984413005708615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6830.886232166069</v>
      </c>
      <c r="C22" s="23">
        <f ca="1">C18*C20</f>
        <v>0</v>
      </c>
      <c r="D22" s="23">
        <f>D18*D20</f>
        <v>19891.617437162102</v>
      </c>
      <c r="E22" s="23">
        <f>E18*E20</f>
        <v>446.6651254305512</v>
      </c>
      <c r="F22" s="23">
        <f>F18*F20</f>
        <v>2408.1545703811944</v>
      </c>
      <c r="G22" s="23"/>
      <c r="H22" s="23"/>
      <c r="I22" s="23"/>
      <c r="J22" s="23">
        <f>J18*J20</f>
        <v>50.833681743569223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197.38890000000001</v>
      </c>
      <c r="C30" s="39">
        <f>IF(ISERROR(B30*3.6/1000000/'E Balans VL '!Z18*100),0,B30*3.6/1000000/'E Balans VL '!Z18*100)</f>
        <v>2.7627867942237691E-2</v>
      </c>
      <c r="D30" s="237" t="s">
        <v>692</v>
      </c>
    </row>
    <row r="31" spans="1:18">
      <c r="A31" s="6" t="s">
        <v>33</v>
      </c>
      <c r="B31" s="37">
        <f>IF( ISERROR(IND_ander_ele_kWh/1000),0,IND_ander_ele_kWh/1000)</f>
        <v>1186.3399999999999</v>
      </c>
      <c r="C31" s="39">
        <f>IF(ISERROR(B31*3.6/1000000/'E Balans VL '!Z19*100),0,B31*3.6/1000000/'E Balans VL '!Z19*100)</f>
        <v>5.1925909348309547E-2</v>
      </c>
      <c r="D31" s="237" t="s">
        <v>692</v>
      </c>
    </row>
    <row r="32" spans="1:18">
      <c r="A32" s="171" t="s">
        <v>41</v>
      </c>
      <c r="B32" s="37">
        <f>IF( ISERROR(IND_voed_ele_kWh/1000),0,IND_voed_ele_kWh/1000)</f>
        <v>374.13190000000003</v>
      </c>
      <c r="C32" s="39">
        <f>IF(ISERROR(B32*3.6/1000000/'E Balans VL '!Z20*100),0,B32*3.6/1000000/'E Balans VL '!Z20*100)</f>
        <v>9.262263413243596E-2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15.161950000000001</v>
      </c>
      <c r="C35" s="39">
        <f>IF(ISERROR(B35*3.6/1000000/'E Balans VL '!Z22*100),0,B35*3.6/1000000/'E Balans VL '!Z22*100)</f>
        <v>4.3023428356849398E-4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32093.723000000002</v>
      </c>
      <c r="C37" s="39">
        <f>IF(ISERROR(B37*3.6/1000000/'E Balans VL '!Z15*100),0,B37*3.6/1000000/'E Balans VL '!Z15*100)</f>
        <v>0.23796946136710717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2000.04177</v>
      </c>
      <c r="C5" s="17">
        <f>'Eigen informatie GS &amp; warmtenet'!B60</f>
        <v>0</v>
      </c>
      <c r="D5" s="30">
        <f>IF(ISERROR(SUM(LB_lb_gas_kWh,LB_rest_gas_kWh)/1000),0,SUM(LB_lb_gas_kWh,LB_rest_gas_kWh)/1000)*0.902</f>
        <v>30782.038928560341</v>
      </c>
      <c r="E5" s="17">
        <f>B17*'E Balans VL '!I25/3.6*1000000/100</f>
        <v>18.525224568235764</v>
      </c>
      <c r="F5" s="17">
        <f>B17*('E Balans VL '!L25/3.6*1000000+'E Balans VL '!N25/3.6*1000000)/100</f>
        <v>5074.4869780561867</v>
      </c>
      <c r="G5" s="18"/>
      <c r="H5" s="17"/>
      <c r="I5" s="17"/>
      <c r="J5" s="17">
        <f>('E Balans VL '!D25+'E Balans VL '!E25)/3.6*1000000*landbouw!B17/100</f>
        <v>306.62872387229777</v>
      </c>
      <c r="K5" s="17"/>
      <c r="L5" s="17">
        <f>L6*(-1)</f>
        <v>0</v>
      </c>
      <c r="M5" s="17"/>
      <c r="N5" s="17">
        <f>N6*(-1)</f>
        <v>21812.142857142859</v>
      </c>
      <c r="O5" s="17"/>
      <c r="P5" s="17"/>
      <c r="R5" s="32"/>
    </row>
    <row r="6" spans="1:18">
      <c r="A6" s="16" t="s">
        <v>494</v>
      </c>
      <c r="B6" s="17" t="s">
        <v>211</v>
      </c>
      <c r="C6" s="17">
        <f>'lokale energieproductie'!O92+'lokale energieproductie'!O61</f>
        <v>68560.71428571429</v>
      </c>
      <c r="D6" s="310">
        <f>('lokale energieproductie'!P61+'lokale energieproductie'!P92)*(-1)</f>
        <v>-115309.28571428572</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-21812.142857142859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2000.04177</v>
      </c>
      <c r="C8" s="21">
        <f>C5+C6</f>
        <v>68560.71428571429</v>
      </c>
      <c r="D8" s="21">
        <f>MAX((D5+D6),0)</f>
        <v>0</v>
      </c>
      <c r="E8" s="21">
        <f>MAX((E5+E6),0)</f>
        <v>18.525224568235764</v>
      </c>
      <c r="F8" s="21">
        <f>MAX((F5+F6),0)</f>
        <v>5074.4869780561867</v>
      </c>
      <c r="G8" s="21"/>
      <c r="H8" s="21"/>
      <c r="I8" s="21"/>
      <c r="J8" s="21">
        <f>MAX((J5+J6),0)</f>
        <v>306.62872387229777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0.20169892562429234</v>
      </c>
      <c r="C10" s="31">
        <f ca="1">'EF ele_warmte'!B22</f>
        <v>0.19984413005708615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403.40627621270801</v>
      </c>
      <c r="C12" s="23">
        <f ca="1">C8*C10</f>
        <v>13701.456302521012</v>
      </c>
      <c r="D12" s="23">
        <f>D8*D10</f>
        <v>0</v>
      </c>
      <c r="E12" s="23">
        <f>E8*E10</f>
        <v>4.2052259769895182</v>
      </c>
      <c r="F12" s="23">
        <f>F8*F10</f>
        <v>1354.8880231410019</v>
      </c>
      <c r="G12" s="23"/>
      <c r="H12" s="23"/>
      <c r="I12" s="23"/>
      <c r="J12" s="23">
        <f>J8*J10</f>
        <v>108.5465682507934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0.28436353147825533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124.18021312837253</v>
      </c>
      <c r="C26" s="247">
        <f>B26*'GWP N2O_CH4'!B5</f>
        <v>2607.7844756958229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45.089798474826118</v>
      </c>
      <c r="C27" s="247">
        <f>B27*'GWP N2O_CH4'!B5</f>
        <v>946.88576797134851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2.5905747846544815</v>
      </c>
      <c r="C28" s="247">
        <f>B28*'GWP N2O_CH4'!B4</f>
        <v>803.07818324288928</v>
      </c>
      <c r="D28" s="50"/>
    </row>
    <row r="29" spans="1:4">
      <c r="A29" s="41" t="s">
        <v>277</v>
      </c>
      <c r="B29" s="247">
        <f>B34*'ha_N2O bodem landbouw'!B4</f>
        <v>9.3074207295106657</v>
      </c>
      <c r="C29" s="247">
        <f>B29*'GWP N2O_CH4'!B4</f>
        <v>2885.3004261483065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2.08749049790954E-3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1.7231095724596398E-4</v>
      </c>
      <c r="C5" s="464" t="s">
        <v>211</v>
      </c>
      <c r="D5" s="449">
        <f>SUM(D6:D11)</f>
        <v>4.2060344574228279E-4</v>
      </c>
      <c r="E5" s="449">
        <f>SUM(E6:E11)</f>
        <v>3.2013942790696213E-3</v>
      </c>
      <c r="F5" s="462" t="s">
        <v>211</v>
      </c>
      <c r="G5" s="449">
        <f>SUM(G6:G11)</f>
        <v>1.1889392904820859</v>
      </c>
      <c r="H5" s="449">
        <f>SUM(H6:H11)</f>
        <v>0.16503562119041715</v>
      </c>
      <c r="I5" s="464" t="s">
        <v>211</v>
      </c>
      <c r="J5" s="464" t="s">
        <v>211</v>
      </c>
      <c r="K5" s="464" t="s">
        <v>211</v>
      </c>
      <c r="L5" s="464" t="s">
        <v>211</v>
      </c>
      <c r="M5" s="449">
        <f>SUM(M6:M11)</f>
        <v>7.3855038220507499E-2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4.6334788911851015E-5</v>
      </c>
      <c r="C6" s="450"/>
      <c r="D6" s="893">
        <f>vkm_2011_GW_PW*SUMIFS(TableVerdeelsleutelVkm[CNG],TableVerdeelsleutelVkm[Voertuigtype],"Lichte voertuigen")*SUMIFS(TableECFTransport[EnergieConsumptieFactor (PJ per km)],TableECFTransport[Index],CONCATENATE($A6,"_CNG_CNG"))</f>
        <v>1.0717746800205293E-4</v>
      </c>
      <c r="E6" s="893">
        <f>vkm_2011_GW_PW*SUMIFS(TableVerdeelsleutelVkm[LPG],TableVerdeelsleutelVkm[Voertuigtype],"Lichte voertuigen")*SUMIFS(TableECFTransport[EnergieConsumptieFactor (PJ per km)],TableECFTransport[Index],CONCATENATE($A6,"_LPG_LPG"))</f>
        <v>6.978749489693686E-4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0.14497835758114921</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4.0866402934852129E-2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9.6443796642159407E-3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7.2633707241961512E-2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2.4839408787181111E-5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4.2022716704839145E-3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4.7394353137188264E-6</v>
      </c>
      <c r="C8" s="450"/>
      <c r="D8" s="452">
        <f>vkm_2011_NGW_PW*SUMIFS(TableVerdeelsleutelVkm[CNG],TableVerdeelsleutelVkm[Voertuigtype],"Lichte voertuigen")*SUMIFS(TableECFTransport[EnergieConsumptieFactor (PJ per km)],TableECFTransport[Index],CONCATENATE($A8,"_CNG_CNG"))</f>
        <v>1.939005247937515E-5</v>
      </c>
      <c r="E8" s="452">
        <f>vkm_2011_NGW_PW*SUMIFS(TableVerdeelsleutelVkm[LPG],TableVerdeelsleutelVkm[Voertuigtype],"Lichte voertuigen")*SUMIFS(TableECFTransport[EnergieConsumptieFactor (PJ per km)],TableECFTransport[Index],CONCATENATE($A8,"_LPG_LPG"))</f>
        <v>1.1652144091821756E-4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2.2628292648802711E-2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7.1488581750624395E-3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1.5290168138318446E-3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4.2226005275543342E-4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1.3663843429743194E-7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2.4429898425814568E-5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1.2123673302039413E-4</v>
      </c>
      <c r="C10" s="450"/>
      <c r="D10" s="452">
        <f>vkm_2011_SW_PW*SUMIFS(TableVerdeelsleutelVkm[CNG],TableVerdeelsleutelVkm[Voertuigtype],"Lichte voertuigen")*SUMIFS(TableECFTransport[EnergieConsumptieFactor (PJ per km)],TableECFTransport[Index],CONCATENATE($A10,"_CNG_CNG"))</f>
        <v>2.940359252608547E-4</v>
      </c>
      <c r="E10" s="452">
        <f>vkm_2011_SW_PW*SUMIFS(TableVerdeelsleutelVkm[LPG],TableVerdeelsleutelVkm[Voertuigtype],"Lichte voertuigen")*SUMIFS(TableECFTransport[EnergieConsumptieFactor (PJ per km)],TableECFTransport[Index],CONCATENATE($A10,"_LPG_LPG"))</f>
        <v>2.3869978891820349E-3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0.44643714191790984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0.11681042492022325</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2.9420268098367432E-2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0.50183953103950707</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1.8495911305785139E-4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2.9034672075182556E-2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47.864154790545548</v>
      </c>
      <c r="C14" s="21"/>
      <c r="D14" s="21">
        <f t="shared" ref="D14:M14" si="0">((D5)*10^9/3600)+D12</f>
        <v>116.83429048396744</v>
      </c>
      <c r="E14" s="21">
        <f t="shared" si="0"/>
        <v>889.27618863045029</v>
      </c>
      <c r="F14" s="21"/>
      <c r="G14" s="21">
        <f t="shared" si="0"/>
        <v>330260.91402280168</v>
      </c>
      <c r="H14" s="21">
        <f t="shared" si="0"/>
        <v>45843.228108449206</v>
      </c>
      <c r="I14" s="21"/>
      <c r="J14" s="21"/>
      <c r="K14" s="21"/>
      <c r="L14" s="21"/>
      <c r="M14" s="21">
        <f t="shared" si="0"/>
        <v>20515.288394585419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0.20169892562429234</v>
      </c>
      <c r="C16" s="56">
        <f ca="1">'EF ele_warmte'!B22</f>
        <v>0.19984413005708615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9.6541485971678629</v>
      </c>
      <c r="C18" s="23"/>
      <c r="D18" s="23">
        <f t="shared" ref="D18:M18" si="1">D14*D16</f>
        <v>23.600526677761422</v>
      </c>
      <c r="E18" s="23">
        <f t="shared" si="1"/>
        <v>201.86569481911224</v>
      </c>
      <c r="F18" s="23"/>
      <c r="G18" s="23">
        <f t="shared" si="1"/>
        <v>88179.664044088058</v>
      </c>
      <c r="H18" s="23">
        <f t="shared" si="1"/>
        <v>11414.963799003852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1.2407280091226321E-2</v>
      </c>
      <c r="H50" s="321">
        <f t="shared" si="2"/>
        <v>0</v>
      </c>
      <c r="I50" s="321">
        <f t="shared" si="2"/>
        <v>0</v>
      </c>
      <c r="J50" s="321">
        <f t="shared" si="2"/>
        <v>0</v>
      </c>
      <c r="K50" s="321">
        <f t="shared" si="2"/>
        <v>0</v>
      </c>
      <c r="L50" s="321">
        <f t="shared" si="2"/>
        <v>0</v>
      </c>
      <c r="M50" s="321">
        <f t="shared" si="2"/>
        <v>7.0755101442732137E-4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1.2407280091226321E-2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7.0755101442732137E-4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3446.4666920073114</v>
      </c>
      <c r="H54" s="21">
        <f t="shared" si="3"/>
        <v>0</v>
      </c>
      <c r="I54" s="21">
        <f t="shared" si="3"/>
        <v>0</v>
      </c>
      <c r="J54" s="21">
        <f t="shared" si="3"/>
        <v>0</v>
      </c>
      <c r="K54" s="21">
        <f t="shared" si="3"/>
        <v>0</v>
      </c>
      <c r="L54" s="21">
        <f t="shared" si="3"/>
        <v>0</v>
      </c>
      <c r="M54" s="21">
        <f t="shared" si="3"/>
        <v>196.54194845203372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0.20169892562429234</v>
      </c>
      <c r="C56" s="56">
        <f ca="1">'EF ele_warmte'!B22</f>
        <v>0.19984413005708615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920.20660676595219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34402.526599999997</v>
      </c>
      <c r="D10" s="1025">
        <f ca="1">tertiair!C16</f>
        <v>0</v>
      </c>
      <c r="E10" s="1025">
        <f ca="1">tertiair!D16</f>
        <v>21791.44675599043</v>
      </c>
      <c r="F10" s="1025">
        <f>tertiair!E16</f>
        <v>247.54541211557029</v>
      </c>
      <c r="G10" s="1025">
        <f ca="1">tertiair!F16</f>
        <v>5859.546341178504</v>
      </c>
      <c r="H10" s="1025">
        <f>tertiair!G16</f>
        <v>0</v>
      </c>
      <c r="I10" s="1025">
        <f>tertiair!H16</f>
        <v>0</v>
      </c>
      <c r="J10" s="1025">
        <f>tertiair!I16</f>
        <v>0</v>
      </c>
      <c r="K10" s="1025">
        <f>tertiair!J16</f>
        <v>0</v>
      </c>
      <c r="L10" s="1025">
        <f>tertiair!K16</f>
        <v>0</v>
      </c>
      <c r="M10" s="1025">
        <f ca="1">tertiair!L16</f>
        <v>0</v>
      </c>
      <c r="N10" s="1025">
        <f>tertiair!M16</f>
        <v>0</v>
      </c>
      <c r="O10" s="1025">
        <f ca="1">tertiair!N16</f>
        <v>11178.964860784876</v>
      </c>
      <c r="P10" s="1025">
        <f>tertiair!O16</f>
        <v>1.5633333333333335</v>
      </c>
      <c r="Q10" s="1026">
        <f>tertiair!P16</f>
        <v>19.066666666666666</v>
      </c>
      <c r="R10" s="701">
        <f ca="1">SUM(C10:Q10)</f>
        <v>73500.659970069377</v>
      </c>
      <c r="S10" s="67"/>
    </row>
    <row r="11" spans="1:19" s="474" customFormat="1">
      <c r="A11" s="810" t="s">
        <v>225</v>
      </c>
      <c r="B11" s="815"/>
      <c r="C11" s="1025">
        <f>huishoudens!B8</f>
        <v>36957.733294414145</v>
      </c>
      <c r="D11" s="1025">
        <f>huishoudens!C8</f>
        <v>0</v>
      </c>
      <c r="E11" s="1025">
        <f>huishoudens!D8</f>
        <v>81670.896980082165</v>
      </c>
      <c r="F11" s="1025">
        <f>huishoudens!E8</f>
        <v>1677.4956385389257</v>
      </c>
      <c r="G11" s="1025">
        <f>huishoudens!F8</f>
        <v>0</v>
      </c>
      <c r="H11" s="1025">
        <f>huishoudens!G8</f>
        <v>0</v>
      </c>
      <c r="I11" s="1025">
        <f>huishoudens!H8</f>
        <v>0</v>
      </c>
      <c r="J11" s="1025">
        <f>huishoudens!I8</f>
        <v>0</v>
      </c>
      <c r="K11" s="1025">
        <f>huishoudens!J8</f>
        <v>225.11503201487261</v>
      </c>
      <c r="L11" s="1025">
        <f>huishoudens!K8</f>
        <v>0</v>
      </c>
      <c r="M11" s="1025">
        <f>huishoudens!L8</f>
        <v>0</v>
      </c>
      <c r="N11" s="1025">
        <f>huishoudens!M8</f>
        <v>0</v>
      </c>
      <c r="O11" s="1025">
        <f>huishoudens!N8</f>
        <v>18426.416115644515</v>
      </c>
      <c r="P11" s="1025">
        <f>huishoudens!O8</f>
        <v>250.13333333333333</v>
      </c>
      <c r="Q11" s="1026">
        <f>huishoudens!P8</f>
        <v>896.13333333333333</v>
      </c>
      <c r="R11" s="701">
        <f>SUM(C11:Q11)</f>
        <v>140103.92372736128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33866.745750000002</v>
      </c>
      <c r="D13" s="1025">
        <f>industrie!C18</f>
        <v>0</v>
      </c>
      <c r="E13" s="1025">
        <f>industrie!D18</f>
        <v>98473.353649317331</v>
      </c>
      <c r="F13" s="1025">
        <f>industrie!E18</f>
        <v>1967.6877772270977</v>
      </c>
      <c r="G13" s="1025">
        <f>industrie!F18</f>
        <v>9019.3055070456721</v>
      </c>
      <c r="H13" s="1025">
        <f>industrie!G18</f>
        <v>0</v>
      </c>
      <c r="I13" s="1025">
        <f>industrie!H18</f>
        <v>0</v>
      </c>
      <c r="J13" s="1025">
        <f>industrie!I18</f>
        <v>0</v>
      </c>
      <c r="K13" s="1025">
        <f>industrie!J18</f>
        <v>143.59797102703172</v>
      </c>
      <c r="L13" s="1025">
        <f>industrie!K18</f>
        <v>0</v>
      </c>
      <c r="M13" s="1025">
        <f>industrie!L18</f>
        <v>0</v>
      </c>
      <c r="N13" s="1025">
        <f>industrie!M18</f>
        <v>0</v>
      </c>
      <c r="O13" s="1025">
        <f>industrie!N18</f>
        <v>6622.5144090774256</v>
      </c>
      <c r="P13" s="1025">
        <f>industrie!O18</f>
        <v>0</v>
      </c>
      <c r="Q13" s="1026">
        <f>industrie!P18</f>
        <v>0</v>
      </c>
      <c r="R13" s="701">
        <f>SUM(C13:Q13)</f>
        <v>150093.20506369456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105227.00564441414</v>
      </c>
      <c r="D16" s="733">
        <f t="shared" ref="D16:R16" ca="1" si="0">SUM(D9:D15)</f>
        <v>0</v>
      </c>
      <c r="E16" s="733">
        <f t="shared" ca="1" si="0"/>
        <v>201935.69738538994</v>
      </c>
      <c r="F16" s="733">
        <f t="shared" si="0"/>
        <v>3892.728827881594</v>
      </c>
      <c r="G16" s="733">
        <f t="shared" ca="1" si="0"/>
        <v>14878.851848224176</v>
      </c>
      <c r="H16" s="733">
        <f t="shared" si="0"/>
        <v>0</v>
      </c>
      <c r="I16" s="733">
        <f t="shared" si="0"/>
        <v>0</v>
      </c>
      <c r="J16" s="733">
        <f t="shared" si="0"/>
        <v>0</v>
      </c>
      <c r="K16" s="733">
        <f t="shared" si="0"/>
        <v>368.71300304190436</v>
      </c>
      <c r="L16" s="733">
        <f t="shared" si="0"/>
        <v>0</v>
      </c>
      <c r="M16" s="733">
        <f t="shared" ca="1" si="0"/>
        <v>0</v>
      </c>
      <c r="N16" s="733">
        <f t="shared" si="0"/>
        <v>0</v>
      </c>
      <c r="O16" s="733">
        <f t="shared" ca="1" si="0"/>
        <v>36227.895385506818</v>
      </c>
      <c r="P16" s="733">
        <f t="shared" si="0"/>
        <v>251.69666666666666</v>
      </c>
      <c r="Q16" s="733">
        <f t="shared" si="0"/>
        <v>915.2</v>
      </c>
      <c r="R16" s="733">
        <f t="shared" ca="1" si="0"/>
        <v>363697.78876112524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3446.4666920073114</v>
      </c>
      <c r="I19" s="1025">
        <f>transport!H54</f>
        <v>0</v>
      </c>
      <c r="J19" s="1025">
        <f>transport!I54</f>
        <v>0</v>
      </c>
      <c r="K19" s="1025">
        <f>transport!J54</f>
        <v>0</v>
      </c>
      <c r="L19" s="1025">
        <f>transport!K54</f>
        <v>0</v>
      </c>
      <c r="M19" s="1025">
        <f>transport!L54</f>
        <v>0</v>
      </c>
      <c r="N19" s="1025">
        <f>transport!M54</f>
        <v>196.54194845203372</v>
      </c>
      <c r="O19" s="1025">
        <f>transport!N54</f>
        <v>0</v>
      </c>
      <c r="P19" s="1025">
        <f>transport!O54</f>
        <v>0</v>
      </c>
      <c r="Q19" s="1026">
        <f>transport!P54</f>
        <v>0</v>
      </c>
      <c r="R19" s="701">
        <f>SUM(C19:Q19)</f>
        <v>3643.0086404593453</v>
      </c>
      <c r="S19" s="67"/>
    </row>
    <row r="20" spans="1:19" s="474" customFormat="1">
      <c r="A20" s="810" t="s">
        <v>307</v>
      </c>
      <c r="B20" s="815"/>
      <c r="C20" s="1025">
        <f>transport!B14</f>
        <v>47.864154790545548</v>
      </c>
      <c r="D20" s="1025">
        <f>transport!C14</f>
        <v>0</v>
      </c>
      <c r="E20" s="1025">
        <f>transport!D14</f>
        <v>116.83429048396744</v>
      </c>
      <c r="F20" s="1025">
        <f>transport!E14</f>
        <v>889.27618863045029</v>
      </c>
      <c r="G20" s="1025">
        <f>transport!F14</f>
        <v>0</v>
      </c>
      <c r="H20" s="1025">
        <f>transport!G14</f>
        <v>330260.91402280168</v>
      </c>
      <c r="I20" s="1025">
        <f>transport!H14</f>
        <v>45843.228108449206</v>
      </c>
      <c r="J20" s="1025">
        <f>transport!I14</f>
        <v>0</v>
      </c>
      <c r="K20" s="1025">
        <f>transport!J14</f>
        <v>0</v>
      </c>
      <c r="L20" s="1025">
        <f>transport!K14</f>
        <v>0</v>
      </c>
      <c r="M20" s="1025">
        <f>transport!L14</f>
        <v>0</v>
      </c>
      <c r="N20" s="1025">
        <f>transport!M14</f>
        <v>20515.288394585419</v>
      </c>
      <c r="O20" s="1025">
        <f>transport!N14</f>
        <v>0</v>
      </c>
      <c r="P20" s="1025">
        <f>transport!O14</f>
        <v>0</v>
      </c>
      <c r="Q20" s="1026">
        <f>transport!P14</f>
        <v>0</v>
      </c>
      <c r="R20" s="701">
        <f>SUM(C20:Q20)</f>
        <v>397673.40515974129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47.864154790545548</v>
      </c>
      <c r="D22" s="813">
        <f t="shared" ref="D22:R22" si="1">SUM(D18:D21)</f>
        <v>0</v>
      </c>
      <c r="E22" s="813">
        <f t="shared" si="1"/>
        <v>116.83429048396744</v>
      </c>
      <c r="F22" s="813">
        <f t="shared" si="1"/>
        <v>889.27618863045029</v>
      </c>
      <c r="G22" s="813">
        <f t="shared" si="1"/>
        <v>0</v>
      </c>
      <c r="H22" s="813">
        <f t="shared" si="1"/>
        <v>333707.380714809</v>
      </c>
      <c r="I22" s="813">
        <f t="shared" si="1"/>
        <v>45843.228108449206</v>
      </c>
      <c r="J22" s="813">
        <f t="shared" si="1"/>
        <v>0</v>
      </c>
      <c r="K22" s="813">
        <f t="shared" si="1"/>
        <v>0</v>
      </c>
      <c r="L22" s="813">
        <f t="shared" si="1"/>
        <v>0</v>
      </c>
      <c r="M22" s="813">
        <f t="shared" si="1"/>
        <v>0</v>
      </c>
      <c r="N22" s="813">
        <f t="shared" si="1"/>
        <v>20711.830343037454</v>
      </c>
      <c r="O22" s="813">
        <f t="shared" si="1"/>
        <v>0</v>
      </c>
      <c r="P22" s="813">
        <f t="shared" si="1"/>
        <v>0</v>
      </c>
      <c r="Q22" s="813">
        <f t="shared" si="1"/>
        <v>0</v>
      </c>
      <c r="R22" s="813">
        <f t="shared" si="1"/>
        <v>401316.41380020062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2000.04177</v>
      </c>
      <c r="D24" s="1025">
        <f>+landbouw!C8</f>
        <v>68560.71428571429</v>
      </c>
      <c r="E24" s="1025">
        <f>+landbouw!D8</f>
        <v>0</v>
      </c>
      <c r="F24" s="1025">
        <f>+landbouw!E8</f>
        <v>18.525224568235764</v>
      </c>
      <c r="G24" s="1025">
        <f>+landbouw!F8</f>
        <v>5074.4869780561867</v>
      </c>
      <c r="H24" s="1025">
        <f>+landbouw!G8</f>
        <v>0</v>
      </c>
      <c r="I24" s="1025">
        <f>+landbouw!H8</f>
        <v>0</v>
      </c>
      <c r="J24" s="1025">
        <f>+landbouw!I8</f>
        <v>0</v>
      </c>
      <c r="K24" s="1025">
        <f>+landbouw!J8</f>
        <v>306.62872387229777</v>
      </c>
      <c r="L24" s="1025">
        <f>+landbouw!K8</f>
        <v>0</v>
      </c>
      <c r="M24" s="1025">
        <f>+landbouw!L8</f>
        <v>0</v>
      </c>
      <c r="N24" s="1025">
        <f>+landbouw!M8</f>
        <v>0</v>
      </c>
      <c r="O24" s="1025">
        <f>+landbouw!N8</f>
        <v>0</v>
      </c>
      <c r="P24" s="1025">
        <f>+landbouw!O8</f>
        <v>0</v>
      </c>
      <c r="Q24" s="1026">
        <f>+landbouw!P8</f>
        <v>0</v>
      </c>
      <c r="R24" s="701">
        <f>SUM(C24:Q24)</f>
        <v>75960.396982211008</v>
      </c>
      <c r="S24" s="67"/>
    </row>
    <row r="25" spans="1:19" s="474" customFormat="1" ht="15" thickBot="1">
      <c r="A25" s="832" t="s">
        <v>864</v>
      </c>
      <c r="B25" s="1028"/>
      <c r="C25" s="1029">
        <f>IF(Onbekend_ele_kWh="---",0,Onbekend_ele_kWh)/1000+IF(REST_rest_ele_kWh="---",0,REST_rest_ele_kWh)/1000</f>
        <v>1342.722</v>
      </c>
      <c r="D25" s="1029"/>
      <c r="E25" s="1029">
        <f>IF(onbekend_gas_kWh="---",0,onbekend_gas_kWh)/1000+IF(REST_rest_gas_kWh="---",0,REST_rest_gas_kWh)/1000</f>
        <v>2663.1148153034997</v>
      </c>
      <c r="F25" s="1029"/>
      <c r="G25" s="1029"/>
      <c r="H25" s="1029"/>
      <c r="I25" s="1029"/>
      <c r="J25" s="1029"/>
      <c r="K25" s="1029"/>
      <c r="L25" s="1029"/>
      <c r="M25" s="1029"/>
      <c r="N25" s="1029"/>
      <c r="O25" s="1029"/>
      <c r="P25" s="1029"/>
      <c r="Q25" s="1030"/>
      <c r="R25" s="701">
        <f>SUM(C25:Q25)</f>
        <v>4005.8368153034999</v>
      </c>
      <c r="S25" s="67"/>
    </row>
    <row r="26" spans="1:19" s="474" customFormat="1" ht="15.75" thickBot="1">
      <c r="A26" s="706" t="s">
        <v>865</v>
      </c>
      <c r="B26" s="818"/>
      <c r="C26" s="813">
        <f>SUM(C24:C25)</f>
        <v>3342.76377</v>
      </c>
      <c r="D26" s="813">
        <f t="shared" ref="D26:R26" si="2">SUM(D24:D25)</f>
        <v>68560.71428571429</v>
      </c>
      <c r="E26" s="813">
        <f t="shared" si="2"/>
        <v>2663.1148153034997</v>
      </c>
      <c r="F26" s="813">
        <f t="shared" si="2"/>
        <v>18.525224568235764</v>
      </c>
      <c r="G26" s="813">
        <f t="shared" si="2"/>
        <v>5074.4869780561867</v>
      </c>
      <c r="H26" s="813">
        <f t="shared" si="2"/>
        <v>0</v>
      </c>
      <c r="I26" s="813">
        <f t="shared" si="2"/>
        <v>0</v>
      </c>
      <c r="J26" s="813">
        <f t="shared" si="2"/>
        <v>0</v>
      </c>
      <c r="K26" s="813">
        <f t="shared" si="2"/>
        <v>306.62872387229777</v>
      </c>
      <c r="L26" s="813">
        <f t="shared" si="2"/>
        <v>0</v>
      </c>
      <c r="M26" s="813">
        <f t="shared" si="2"/>
        <v>0</v>
      </c>
      <c r="N26" s="813">
        <f t="shared" si="2"/>
        <v>0</v>
      </c>
      <c r="O26" s="813">
        <f t="shared" si="2"/>
        <v>0</v>
      </c>
      <c r="P26" s="813">
        <f t="shared" si="2"/>
        <v>0</v>
      </c>
      <c r="Q26" s="813">
        <f t="shared" si="2"/>
        <v>0</v>
      </c>
      <c r="R26" s="813">
        <f t="shared" si="2"/>
        <v>79966.233797514506</v>
      </c>
      <c r="S26" s="67"/>
    </row>
    <row r="27" spans="1:19" s="474" customFormat="1" ht="17.25" thickTop="1" thickBot="1">
      <c r="A27" s="707" t="s">
        <v>116</v>
      </c>
      <c r="B27" s="806"/>
      <c r="C27" s="708">
        <f ca="1">C22+C16+C26</f>
        <v>108617.63356920469</v>
      </c>
      <c r="D27" s="708">
        <f t="shared" ref="D27:R27" ca="1" si="3">D22+D16+D26</f>
        <v>68560.71428571429</v>
      </c>
      <c r="E27" s="708">
        <f t="shared" ca="1" si="3"/>
        <v>204715.64649117741</v>
      </c>
      <c r="F27" s="708">
        <f t="shared" si="3"/>
        <v>4800.5302410802806</v>
      </c>
      <c r="G27" s="708">
        <f t="shared" ca="1" si="3"/>
        <v>19953.338826280364</v>
      </c>
      <c r="H27" s="708">
        <f t="shared" si="3"/>
        <v>333707.380714809</v>
      </c>
      <c r="I27" s="708">
        <f t="shared" si="3"/>
        <v>45843.228108449206</v>
      </c>
      <c r="J27" s="708">
        <f t="shared" si="3"/>
        <v>0</v>
      </c>
      <c r="K27" s="708">
        <f t="shared" si="3"/>
        <v>675.34172691420213</v>
      </c>
      <c r="L27" s="708">
        <f t="shared" si="3"/>
        <v>0</v>
      </c>
      <c r="M27" s="708">
        <f t="shared" ca="1" si="3"/>
        <v>0</v>
      </c>
      <c r="N27" s="708">
        <f t="shared" si="3"/>
        <v>20711.830343037454</v>
      </c>
      <c r="O27" s="708">
        <f t="shared" ca="1" si="3"/>
        <v>36227.895385506818</v>
      </c>
      <c r="P27" s="708">
        <f t="shared" si="3"/>
        <v>251.69666666666666</v>
      </c>
      <c r="Q27" s="708">
        <f t="shared" si="3"/>
        <v>915.2</v>
      </c>
      <c r="R27" s="708">
        <f t="shared" ca="1" si="3"/>
        <v>844980.43635884032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6938.9526539811395</v>
      </c>
      <c r="D40" s="1025">
        <f ca="1">tertiair!C20</f>
        <v>0</v>
      </c>
      <c r="E40" s="1025">
        <f ca="1">tertiair!D20</f>
        <v>4401.8722447100672</v>
      </c>
      <c r="F40" s="1025">
        <f>tertiair!E20</f>
        <v>56.19280855023446</v>
      </c>
      <c r="G40" s="1025">
        <f ca="1">tertiair!F20</f>
        <v>1564.4988730946607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12961.516580336103</v>
      </c>
    </row>
    <row r="41" spans="1:18">
      <c r="A41" s="823" t="s">
        <v>225</v>
      </c>
      <c r="B41" s="830"/>
      <c r="C41" s="1025">
        <f ca="1">huishoudens!B12</f>
        <v>7454.3350989924711</v>
      </c>
      <c r="D41" s="1025">
        <f ca="1">huishoudens!C12</f>
        <v>0</v>
      </c>
      <c r="E41" s="1025">
        <f>huishoudens!D12</f>
        <v>16497.5211899766</v>
      </c>
      <c r="F41" s="1025">
        <f>huishoudens!E12</f>
        <v>380.79150994833617</v>
      </c>
      <c r="G41" s="1025">
        <f>huishoudens!F12</f>
        <v>0</v>
      </c>
      <c r="H41" s="1025">
        <f>huishoudens!G12</f>
        <v>0</v>
      </c>
      <c r="I41" s="1025">
        <f>huishoudens!H12</f>
        <v>0</v>
      </c>
      <c r="J41" s="1025">
        <f>huishoudens!I12</f>
        <v>0</v>
      </c>
      <c r="K41" s="1025">
        <f>huishoudens!J12</f>
        <v>79.690721333264904</v>
      </c>
      <c r="L41" s="1025">
        <f>huishoudens!K12</f>
        <v>0</v>
      </c>
      <c r="M41" s="1025">
        <f>huishoudens!L12</f>
        <v>0</v>
      </c>
      <c r="N41" s="1025">
        <f>huishoudens!M12</f>
        <v>0</v>
      </c>
      <c r="O41" s="1025">
        <f>huishoudens!N12</f>
        <v>0</v>
      </c>
      <c r="P41" s="1025">
        <f>huishoudens!O12</f>
        <v>0</v>
      </c>
      <c r="Q41" s="775">
        <f>huishoudens!P12</f>
        <v>0</v>
      </c>
      <c r="R41" s="851">
        <f t="shared" ca="1" si="4"/>
        <v>24412.338520250672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6830.886232166069</v>
      </c>
      <c r="D43" s="1025">
        <f ca="1">industrie!C22</f>
        <v>0</v>
      </c>
      <c r="E43" s="1025">
        <f>industrie!D22</f>
        <v>19891.617437162102</v>
      </c>
      <c r="F43" s="1025">
        <f>industrie!E22</f>
        <v>446.6651254305512</v>
      </c>
      <c r="G43" s="1025">
        <f>industrie!F22</f>
        <v>2408.1545703811944</v>
      </c>
      <c r="H43" s="1025">
        <f>industrie!G22</f>
        <v>0</v>
      </c>
      <c r="I43" s="1025">
        <f>industrie!H22</f>
        <v>0</v>
      </c>
      <c r="J43" s="1025">
        <f>industrie!I22</f>
        <v>0</v>
      </c>
      <c r="K43" s="1025">
        <f>industrie!J22</f>
        <v>50.833681743569223</v>
      </c>
      <c r="L43" s="1025">
        <f>industrie!K22</f>
        <v>0</v>
      </c>
      <c r="M43" s="1025">
        <f>industrie!L22</f>
        <v>0</v>
      </c>
      <c r="N43" s="1025">
        <f>industrie!M22</f>
        <v>0</v>
      </c>
      <c r="O43" s="1025">
        <f>industrie!N22</f>
        <v>0</v>
      </c>
      <c r="P43" s="1025">
        <f>industrie!O22</f>
        <v>0</v>
      </c>
      <c r="Q43" s="775">
        <f>industrie!P22</f>
        <v>0</v>
      </c>
      <c r="R43" s="850">
        <f t="shared" ca="1" si="4"/>
        <v>29628.157046883487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21224.173985139678</v>
      </c>
      <c r="D46" s="733">
        <f t="shared" ref="D46:Q46" ca="1" si="5">SUM(D39:D45)</f>
        <v>0</v>
      </c>
      <c r="E46" s="733">
        <f t="shared" ca="1" si="5"/>
        <v>40791.010871848768</v>
      </c>
      <c r="F46" s="733">
        <f t="shared" si="5"/>
        <v>883.64944392912184</v>
      </c>
      <c r="G46" s="733">
        <f t="shared" ca="1" si="5"/>
        <v>3972.6534434758551</v>
      </c>
      <c r="H46" s="733">
        <f t="shared" si="5"/>
        <v>0</v>
      </c>
      <c r="I46" s="733">
        <f t="shared" si="5"/>
        <v>0</v>
      </c>
      <c r="J46" s="733">
        <f t="shared" si="5"/>
        <v>0</v>
      </c>
      <c r="K46" s="733">
        <f t="shared" si="5"/>
        <v>130.52440307683412</v>
      </c>
      <c r="L46" s="733">
        <f t="shared" si="5"/>
        <v>0</v>
      </c>
      <c r="M46" s="733">
        <f t="shared" ca="1" si="5"/>
        <v>0</v>
      </c>
      <c r="N46" s="733">
        <f t="shared" si="5"/>
        <v>0</v>
      </c>
      <c r="O46" s="733">
        <f t="shared" ca="1" si="5"/>
        <v>0</v>
      </c>
      <c r="P46" s="733">
        <f t="shared" si="5"/>
        <v>0</v>
      </c>
      <c r="Q46" s="733">
        <f t="shared" si="5"/>
        <v>0</v>
      </c>
      <c r="R46" s="733">
        <f ca="1">SUM(R39:R45)</f>
        <v>67002.012147470261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920.20660676595219</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920.20660676595219</v>
      </c>
    </row>
    <row r="50" spans="1:18">
      <c r="A50" s="826" t="s">
        <v>307</v>
      </c>
      <c r="B50" s="836"/>
      <c r="C50" s="704">
        <f ca="1">transport!B18</f>
        <v>9.6541485971678629</v>
      </c>
      <c r="D50" s="704">
        <f>transport!C18</f>
        <v>0</v>
      </c>
      <c r="E50" s="704">
        <f>transport!D18</f>
        <v>23.600526677761422</v>
      </c>
      <c r="F50" s="704">
        <f>transport!E18</f>
        <v>201.86569481911224</v>
      </c>
      <c r="G50" s="704">
        <f>transport!F18</f>
        <v>0</v>
      </c>
      <c r="H50" s="704">
        <f>transport!G18</f>
        <v>88179.664044088058</v>
      </c>
      <c r="I50" s="704">
        <f>transport!H18</f>
        <v>11414.963799003852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99829.748213185943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9.6541485971678629</v>
      </c>
      <c r="D52" s="733">
        <f t="shared" ref="D52:Q52" ca="1" si="6">SUM(D48:D51)</f>
        <v>0</v>
      </c>
      <c r="E52" s="733">
        <f t="shared" si="6"/>
        <v>23.600526677761422</v>
      </c>
      <c r="F52" s="733">
        <f t="shared" si="6"/>
        <v>201.86569481911224</v>
      </c>
      <c r="G52" s="733">
        <f t="shared" si="6"/>
        <v>0</v>
      </c>
      <c r="H52" s="733">
        <f t="shared" si="6"/>
        <v>89099.870650854005</v>
      </c>
      <c r="I52" s="733">
        <f t="shared" si="6"/>
        <v>11414.963799003852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100749.95481995189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403.40627621270801</v>
      </c>
      <c r="D54" s="704">
        <f ca="1">+landbouw!C12</f>
        <v>13701.456302521012</v>
      </c>
      <c r="E54" s="704">
        <f>+landbouw!D12</f>
        <v>0</v>
      </c>
      <c r="F54" s="704">
        <f>+landbouw!E12</f>
        <v>4.2052259769895182</v>
      </c>
      <c r="G54" s="704">
        <f>+landbouw!F12</f>
        <v>1354.8880231410019</v>
      </c>
      <c r="H54" s="704">
        <f>+landbouw!G12</f>
        <v>0</v>
      </c>
      <c r="I54" s="704">
        <f>+landbouw!H12</f>
        <v>0</v>
      </c>
      <c r="J54" s="704">
        <f>+landbouw!I12</f>
        <v>0</v>
      </c>
      <c r="K54" s="704">
        <f>+landbouw!J12</f>
        <v>108.5465682507934</v>
      </c>
      <c r="L54" s="704">
        <f>+landbouw!K12</f>
        <v>0</v>
      </c>
      <c r="M54" s="704">
        <f>+landbouw!L12</f>
        <v>0</v>
      </c>
      <c r="N54" s="704">
        <f>+landbouw!M12</f>
        <v>0</v>
      </c>
      <c r="O54" s="704">
        <f>+landbouw!N12</f>
        <v>0</v>
      </c>
      <c r="P54" s="704">
        <f>+landbouw!O12</f>
        <v>0</v>
      </c>
      <c r="Q54" s="705">
        <f>+landbouw!P12</f>
        <v>0</v>
      </c>
      <c r="R54" s="732">
        <f ca="1">SUM(C54:Q54)</f>
        <v>15572.502396102505</v>
      </c>
    </row>
    <row r="55" spans="1:18" ht="15" thickBot="1">
      <c r="A55" s="826" t="s">
        <v>864</v>
      </c>
      <c r="B55" s="836"/>
      <c r="C55" s="704">
        <f ca="1">C25*'EF ele_warmte'!B12</f>
        <v>270.82558481210106</v>
      </c>
      <c r="D55" s="704"/>
      <c r="E55" s="704">
        <f>E25*EF_CO2_aardgas</f>
        <v>537.94919269130696</v>
      </c>
      <c r="F55" s="704"/>
      <c r="G55" s="704"/>
      <c r="H55" s="704"/>
      <c r="I55" s="704"/>
      <c r="J55" s="704"/>
      <c r="K55" s="704"/>
      <c r="L55" s="704"/>
      <c r="M55" s="704"/>
      <c r="N55" s="704"/>
      <c r="O55" s="704"/>
      <c r="P55" s="704"/>
      <c r="Q55" s="705"/>
      <c r="R55" s="732">
        <f ca="1">SUM(C55:Q55)</f>
        <v>808.77477750340802</v>
      </c>
    </row>
    <row r="56" spans="1:18" ht="15.75" thickBot="1">
      <c r="A56" s="824" t="s">
        <v>865</v>
      </c>
      <c r="B56" s="837"/>
      <c r="C56" s="733">
        <f ca="1">SUM(C54:C55)</f>
        <v>674.23186102480906</v>
      </c>
      <c r="D56" s="733">
        <f t="shared" ref="D56:Q56" ca="1" si="7">SUM(D54:D55)</f>
        <v>13701.456302521012</v>
      </c>
      <c r="E56" s="733">
        <f t="shared" si="7"/>
        <v>537.94919269130696</v>
      </c>
      <c r="F56" s="733">
        <f t="shared" si="7"/>
        <v>4.2052259769895182</v>
      </c>
      <c r="G56" s="733">
        <f t="shared" si="7"/>
        <v>1354.8880231410019</v>
      </c>
      <c r="H56" s="733">
        <f t="shared" si="7"/>
        <v>0</v>
      </c>
      <c r="I56" s="733">
        <f t="shared" si="7"/>
        <v>0</v>
      </c>
      <c r="J56" s="733">
        <f t="shared" si="7"/>
        <v>0</v>
      </c>
      <c r="K56" s="733">
        <f t="shared" si="7"/>
        <v>108.5465682507934</v>
      </c>
      <c r="L56" s="733">
        <f t="shared" si="7"/>
        <v>0</v>
      </c>
      <c r="M56" s="733">
        <f t="shared" si="7"/>
        <v>0</v>
      </c>
      <c r="N56" s="733">
        <f t="shared" si="7"/>
        <v>0</v>
      </c>
      <c r="O56" s="733">
        <f t="shared" si="7"/>
        <v>0</v>
      </c>
      <c r="P56" s="733">
        <f t="shared" si="7"/>
        <v>0</v>
      </c>
      <c r="Q56" s="734">
        <f t="shared" si="7"/>
        <v>0</v>
      </c>
      <c r="R56" s="735">
        <f ca="1">SUM(R54:R55)</f>
        <v>16381.277173605913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21908.059994761654</v>
      </c>
      <c r="D61" s="741">
        <f t="shared" ref="D61:Q61" ca="1" si="8">D46+D52+D56</f>
        <v>13701.456302521012</v>
      </c>
      <c r="E61" s="741">
        <f t="shared" ca="1" si="8"/>
        <v>41352.560591217843</v>
      </c>
      <c r="F61" s="741">
        <f t="shared" si="8"/>
        <v>1089.7203647252236</v>
      </c>
      <c r="G61" s="741">
        <f t="shared" ca="1" si="8"/>
        <v>5327.5414666168572</v>
      </c>
      <c r="H61" s="741">
        <f t="shared" si="8"/>
        <v>89099.870650854005</v>
      </c>
      <c r="I61" s="741">
        <f t="shared" si="8"/>
        <v>11414.963799003852</v>
      </c>
      <c r="J61" s="741">
        <f t="shared" si="8"/>
        <v>0</v>
      </c>
      <c r="K61" s="741">
        <f t="shared" si="8"/>
        <v>239.07097132762752</v>
      </c>
      <c r="L61" s="741">
        <f t="shared" si="8"/>
        <v>0</v>
      </c>
      <c r="M61" s="741">
        <f t="shared" ca="1" si="8"/>
        <v>0</v>
      </c>
      <c r="N61" s="741">
        <f t="shared" si="8"/>
        <v>0</v>
      </c>
      <c r="O61" s="741">
        <f t="shared" ca="1" si="8"/>
        <v>0</v>
      </c>
      <c r="P61" s="741">
        <f t="shared" si="8"/>
        <v>0</v>
      </c>
      <c r="Q61" s="741">
        <f t="shared" si="8"/>
        <v>0</v>
      </c>
      <c r="R61" s="741">
        <f ca="1">R46+R52+R56</f>
        <v>184133.24414102809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0.20169892562429234</v>
      </c>
      <c r="D63" s="782">
        <f t="shared" ca="1" si="9"/>
        <v>0.19984413005708615</v>
      </c>
      <c r="E63" s="1036">
        <f t="shared" ca="1" si="9"/>
        <v>0.20200000000000004</v>
      </c>
      <c r="F63" s="782">
        <f t="shared" si="9"/>
        <v>0.22699999999999998</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4891.9182615261961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7634.2499999999991</v>
      </c>
      <c r="C76" s="751">
        <f>'lokale energieproductie'!B8*IFERROR(SUM(D76:H76)/SUM(D76:O76),0)</f>
        <v>40358.25</v>
      </c>
      <c r="D76" s="1046">
        <f>'lokale energieproductie'!C8</f>
        <v>47480.294117647063</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8981.4705882352937</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9591.0194117647079</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12526.168261526196</v>
      </c>
      <c r="C78" s="756">
        <f>SUM(C72:C77)</f>
        <v>40358.25</v>
      </c>
      <c r="D78" s="757">
        <f t="shared" ref="D78:H78" si="10">SUM(D76:D77)</f>
        <v>47480.294117647063</v>
      </c>
      <c r="E78" s="757">
        <f t="shared" si="10"/>
        <v>0</v>
      </c>
      <c r="F78" s="757">
        <f t="shared" si="10"/>
        <v>0</v>
      </c>
      <c r="G78" s="757">
        <f t="shared" si="10"/>
        <v>0</v>
      </c>
      <c r="H78" s="757">
        <f t="shared" si="10"/>
        <v>0</v>
      </c>
      <c r="I78" s="757">
        <f>SUM(I76:I77)</f>
        <v>0</v>
      </c>
      <c r="J78" s="757">
        <f>SUM(J76:J77)</f>
        <v>8981.4705882352937</v>
      </c>
      <c r="K78" s="757">
        <f t="shared" ref="K78:L78" si="11">SUM(K76:K77)</f>
        <v>0</v>
      </c>
      <c r="L78" s="757">
        <f t="shared" si="11"/>
        <v>0</v>
      </c>
      <c r="M78" s="757">
        <f>SUM(M76:M77)</f>
        <v>0</v>
      </c>
      <c r="N78" s="757">
        <f>SUM(N76:N77)</f>
        <v>0</v>
      </c>
      <c r="O78" s="861">
        <f>SUM(O76:O77)</f>
        <v>0</v>
      </c>
      <c r="P78" s="758">
        <v>0</v>
      </c>
      <c r="Q78" s="758">
        <f>SUM(Q76:Q77)</f>
        <v>9591.0194117647079</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10906.071428571429</v>
      </c>
      <c r="C87" s="767">
        <f>'lokale energieproductie'!B17*IFERROR(SUM(D87:H87)/SUM(D87:O87),0)</f>
        <v>57654.642857142855</v>
      </c>
      <c r="D87" s="778">
        <f>'lokale energieproductie'!C17</f>
        <v>67828.991596638662</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12830.672268907565</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13701.45630252101</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10906.071428571429</v>
      </c>
      <c r="C90" s="756">
        <f>SUM(C87:C89)</f>
        <v>57654.642857142855</v>
      </c>
      <c r="D90" s="756">
        <f t="shared" ref="D90:H90" si="12">SUM(D87:D89)</f>
        <v>67828.991596638662</v>
      </c>
      <c r="E90" s="756">
        <f t="shared" si="12"/>
        <v>0</v>
      </c>
      <c r="F90" s="756">
        <f t="shared" si="12"/>
        <v>0</v>
      </c>
      <c r="G90" s="756">
        <f t="shared" si="12"/>
        <v>0</v>
      </c>
      <c r="H90" s="756">
        <f t="shared" si="12"/>
        <v>0</v>
      </c>
      <c r="I90" s="756">
        <f>SUM(I87:I89)</f>
        <v>0</v>
      </c>
      <c r="J90" s="756">
        <f>SUM(J87:J89)</f>
        <v>12830.672268907565</v>
      </c>
      <c r="K90" s="756">
        <f t="shared" ref="K90:L90" si="13">SUM(K87:K89)</f>
        <v>0</v>
      </c>
      <c r="L90" s="756">
        <f t="shared" si="13"/>
        <v>0</v>
      </c>
      <c r="M90" s="756">
        <f>SUM(M87:M89)</f>
        <v>0</v>
      </c>
      <c r="N90" s="756">
        <f>SUM(N87:N89)</f>
        <v>0</v>
      </c>
      <c r="O90" s="756">
        <f>SUM(O87:O89)</f>
        <v>0</v>
      </c>
      <c r="P90" s="756">
        <v>0</v>
      </c>
      <c r="Q90" s="756">
        <f>SUM(Q87:Q89)</f>
        <v>13701.45630252101</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4891.9182615261961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47992.5</v>
      </c>
      <c r="C8" s="571">
        <f>B101</f>
        <v>47480.294117647063</v>
      </c>
      <c r="D8" s="1056"/>
      <c r="E8" s="1056">
        <f>E101</f>
        <v>0</v>
      </c>
      <c r="F8" s="1057"/>
      <c r="G8" s="572"/>
      <c r="H8" s="1056">
        <f>I101</f>
        <v>0</v>
      </c>
      <c r="I8" s="1056">
        <f>G101+F101</f>
        <v>0</v>
      </c>
      <c r="J8" s="1056">
        <f>H101+D101+C101</f>
        <v>8981.4705882352937</v>
      </c>
      <c r="K8" s="1056"/>
      <c r="L8" s="1056"/>
      <c r="M8" s="1056"/>
      <c r="N8" s="573"/>
      <c r="O8" s="574">
        <f>C8*$C$12+D8*$D$12+E8*$E$12+F8*$F$12+G8*$G$12+H8*$H$12+I8*$I$12+J8*$J$12</f>
        <v>9591.0194117647079</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52884.418261526196</v>
      </c>
      <c r="C10" s="584">
        <f t="shared" ref="C10:L10" si="0">SUM(C8:C9)</f>
        <v>47480.294117647063</v>
      </c>
      <c r="D10" s="584">
        <f t="shared" si="0"/>
        <v>0</v>
      </c>
      <c r="E10" s="584">
        <f t="shared" si="0"/>
        <v>0</v>
      </c>
      <c r="F10" s="584">
        <f t="shared" si="0"/>
        <v>0</v>
      </c>
      <c r="G10" s="584">
        <f t="shared" si="0"/>
        <v>0</v>
      </c>
      <c r="H10" s="584">
        <f t="shared" si="0"/>
        <v>0</v>
      </c>
      <c r="I10" s="584">
        <f t="shared" si="0"/>
        <v>0</v>
      </c>
      <c r="J10" s="584">
        <f t="shared" si="0"/>
        <v>8981.4705882352937</v>
      </c>
      <c r="K10" s="584">
        <f t="shared" si="0"/>
        <v>0</v>
      </c>
      <c r="L10" s="584">
        <f t="shared" si="0"/>
        <v>0</v>
      </c>
      <c r="M10" s="1059"/>
      <c r="N10" s="1059"/>
      <c r="O10" s="585">
        <f>SUM(O4:O9)</f>
        <v>9591.0194117647079</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68560.71428571429</v>
      </c>
      <c r="C17" s="596">
        <f>B102</f>
        <v>67828.991596638662</v>
      </c>
      <c r="D17" s="597"/>
      <c r="E17" s="597">
        <f>E102</f>
        <v>0</v>
      </c>
      <c r="F17" s="1062"/>
      <c r="G17" s="598"/>
      <c r="H17" s="596">
        <f>I102</f>
        <v>0</v>
      </c>
      <c r="I17" s="597">
        <f>G102+F102</f>
        <v>0</v>
      </c>
      <c r="J17" s="597">
        <f>H102+D102+C102</f>
        <v>12830.672268907565</v>
      </c>
      <c r="K17" s="597"/>
      <c r="L17" s="597"/>
      <c r="M17" s="597"/>
      <c r="N17" s="1063"/>
      <c r="O17" s="599">
        <f>C17*$C$22+E17*$E$22+H17*$H$22+I17*$I$22+J17*$J$22+D17*$D$22+F17*$F$22+G17*$G$22+K17*$K$22+L17*$L$22</f>
        <v>13701.45630252101</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68560.71428571429</v>
      </c>
      <c r="C20" s="583">
        <f>SUM(C17:C19)</f>
        <v>67828.991596638662</v>
      </c>
      <c r="D20" s="583">
        <f t="shared" ref="D20:L20" si="1">SUM(D17:D19)</f>
        <v>0</v>
      </c>
      <c r="E20" s="583">
        <f t="shared" si="1"/>
        <v>0</v>
      </c>
      <c r="F20" s="583">
        <f t="shared" si="1"/>
        <v>0</v>
      </c>
      <c r="G20" s="583">
        <f t="shared" si="1"/>
        <v>0</v>
      </c>
      <c r="H20" s="583">
        <f t="shared" si="1"/>
        <v>0</v>
      </c>
      <c r="I20" s="583">
        <f t="shared" si="1"/>
        <v>0</v>
      </c>
      <c r="J20" s="583">
        <f t="shared" si="1"/>
        <v>12830.672268907565</v>
      </c>
      <c r="K20" s="583">
        <f t="shared" si="1"/>
        <v>0</v>
      </c>
      <c r="L20" s="583">
        <f t="shared" si="1"/>
        <v>0</v>
      </c>
      <c r="M20" s="583"/>
      <c r="N20" s="583"/>
      <c r="O20" s="602">
        <f>SUM(O17:O19)</f>
        <v>13701.45630252101</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38.25">
      <c r="A28" s="606"/>
      <c r="B28" s="797">
        <v>11035</v>
      </c>
      <c r="C28" s="797">
        <v>2520</v>
      </c>
      <c r="D28" s="654" t="s">
        <v>907</v>
      </c>
      <c r="E28" s="653" t="s">
        <v>908</v>
      </c>
      <c r="F28" s="653" t="s">
        <v>909</v>
      </c>
      <c r="G28" s="653" t="s">
        <v>910</v>
      </c>
      <c r="H28" s="653" t="s">
        <v>911</v>
      </c>
      <c r="I28" s="653" t="s">
        <v>908</v>
      </c>
      <c r="J28" s="796">
        <v>41043</v>
      </c>
      <c r="K28" s="796">
        <v>39083</v>
      </c>
      <c r="L28" s="653" t="s">
        <v>912</v>
      </c>
      <c r="M28" s="653">
        <v>1817</v>
      </c>
      <c r="N28" s="653">
        <v>8176.5</v>
      </c>
      <c r="O28" s="653">
        <v>11680.714285714286</v>
      </c>
      <c r="P28" s="653">
        <v>23361.428571428572</v>
      </c>
      <c r="Q28" s="653">
        <v>0</v>
      </c>
      <c r="R28" s="653">
        <v>0</v>
      </c>
      <c r="S28" s="653">
        <v>0</v>
      </c>
      <c r="T28" s="653">
        <v>0</v>
      </c>
      <c r="U28" s="653">
        <v>0</v>
      </c>
      <c r="V28" s="653">
        <v>0</v>
      </c>
      <c r="W28" s="653">
        <v>0</v>
      </c>
      <c r="X28" s="653">
        <v>10</v>
      </c>
      <c r="Y28" s="653" t="s">
        <v>112</v>
      </c>
      <c r="Z28" s="655" t="s">
        <v>112</v>
      </c>
    </row>
    <row r="29" spans="1:26" s="607" customFormat="1" ht="38.25">
      <c r="A29" s="606"/>
      <c r="B29" s="797">
        <v>11035</v>
      </c>
      <c r="C29" s="797">
        <v>2520</v>
      </c>
      <c r="D29" s="654" t="s">
        <v>913</v>
      </c>
      <c r="E29" s="653" t="s">
        <v>914</v>
      </c>
      <c r="F29" s="653" t="s">
        <v>915</v>
      </c>
      <c r="G29" s="653" t="s">
        <v>910</v>
      </c>
      <c r="H29" s="653" t="s">
        <v>911</v>
      </c>
      <c r="I29" s="653" t="s">
        <v>914</v>
      </c>
      <c r="J29" s="796">
        <v>39853</v>
      </c>
      <c r="K29" s="796">
        <v>39853</v>
      </c>
      <c r="L29" s="653" t="s">
        <v>912</v>
      </c>
      <c r="M29" s="653">
        <v>2016</v>
      </c>
      <c r="N29" s="653">
        <v>9072</v>
      </c>
      <c r="O29" s="653">
        <v>12960</v>
      </c>
      <c r="P29" s="653">
        <v>25920</v>
      </c>
      <c r="Q29" s="653">
        <v>0</v>
      </c>
      <c r="R29" s="653">
        <v>0</v>
      </c>
      <c r="S29" s="653">
        <v>0</v>
      </c>
      <c r="T29" s="653">
        <v>0</v>
      </c>
      <c r="U29" s="653">
        <v>0</v>
      </c>
      <c r="V29" s="653">
        <v>0</v>
      </c>
      <c r="W29" s="653">
        <v>0</v>
      </c>
      <c r="X29" s="653">
        <v>10</v>
      </c>
      <c r="Y29" s="653" t="s">
        <v>112</v>
      </c>
      <c r="Z29" s="655" t="s">
        <v>112</v>
      </c>
    </row>
    <row r="30" spans="1:26" s="607" customFormat="1" ht="25.5">
      <c r="A30" s="606"/>
      <c r="B30" s="797">
        <v>11035</v>
      </c>
      <c r="C30" s="797">
        <v>2520</v>
      </c>
      <c r="D30" s="654" t="s">
        <v>916</v>
      </c>
      <c r="E30" s="653" t="s">
        <v>917</v>
      </c>
      <c r="F30" s="653" t="s">
        <v>918</v>
      </c>
      <c r="G30" s="653" t="s">
        <v>910</v>
      </c>
      <c r="H30" s="653" t="s">
        <v>911</v>
      </c>
      <c r="I30" s="653" t="s">
        <v>917</v>
      </c>
      <c r="J30" s="796">
        <v>39895</v>
      </c>
      <c r="K30" s="796">
        <v>39895</v>
      </c>
      <c r="L30" s="653" t="s">
        <v>912</v>
      </c>
      <c r="M30" s="653">
        <v>1635</v>
      </c>
      <c r="N30" s="653">
        <v>7357.5</v>
      </c>
      <c r="O30" s="653">
        <v>10510.714285714286</v>
      </c>
      <c r="P30" s="653">
        <v>21021.428571428572</v>
      </c>
      <c r="Q30" s="653">
        <v>0</v>
      </c>
      <c r="R30" s="653">
        <v>0</v>
      </c>
      <c r="S30" s="653">
        <v>0</v>
      </c>
      <c r="T30" s="653">
        <v>0</v>
      </c>
      <c r="U30" s="653">
        <v>0</v>
      </c>
      <c r="V30" s="653">
        <v>0</v>
      </c>
      <c r="W30" s="653">
        <v>0</v>
      </c>
      <c r="X30" s="653">
        <v>10</v>
      </c>
      <c r="Y30" s="653" t="s">
        <v>112</v>
      </c>
      <c r="Z30" s="655" t="s">
        <v>112</v>
      </c>
    </row>
    <row r="31" spans="1:26" s="607" customFormat="1" ht="25.5">
      <c r="A31" s="606"/>
      <c r="B31" s="797">
        <v>11035</v>
      </c>
      <c r="C31" s="797">
        <v>2520</v>
      </c>
      <c r="D31" s="654" t="s">
        <v>919</v>
      </c>
      <c r="E31" s="653" t="s">
        <v>920</v>
      </c>
      <c r="F31" s="653" t="s">
        <v>921</v>
      </c>
      <c r="G31" s="653" t="s">
        <v>910</v>
      </c>
      <c r="H31" s="653" t="s">
        <v>911</v>
      </c>
      <c r="I31" s="653" t="s">
        <v>920</v>
      </c>
      <c r="J31" s="796">
        <v>40163</v>
      </c>
      <c r="K31" s="796">
        <v>40163</v>
      </c>
      <c r="L31" s="653" t="s">
        <v>912</v>
      </c>
      <c r="M31" s="653">
        <v>1127</v>
      </c>
      <c r="N31" s="653">
        <v>5071.5</v>
      </c>
      <c r="O31" s="653">
        <v>7245</v>
      </c>
      <c r="P31" s="653">
        <v>14490.000000000002</v>
      </c>
      <c r="Q31" s="653">
        <v>0</v>
      </c>
      <c r="R31" s="653">
        <v>0</v>
      </c>
      <c r="S31" s="653">
        <v>0</v>
      </c>
      <c r="T31" s="653">
        <v>0</v>
      </c>
      <c r="U31" s="653">
        <v>0</v>
      </c>
      <c r="V31" s="653">
        <v>0</v>
      </c>
      <c r="W31" s="653">
        <v>0</v>
      </c>
      <c r="X31" s="653">
        <v>10</v>
      </c>
      <c r="Y31" s="653" t="s">
        <v>112</v>
      </c>
      <c r="Z31" s="655" t="s">
        <v>112</v>
      </c>
    </row>
    <row r="32" spans="1:26" s="607" customFormat="1" ht="25.5">
      <c r="A32" s="606"/>
      <c r="B32" s="797">
        <v>11035</v>
      </c>
      <c r="C32" s="797">
        <v>2520</v>
      </c>
      <c r="D32" s="654" t="s">
        <v>922</v>
      </c>
      <c r="E32" s="653" t="s">
        <v>923</v>
      </c>
      <c r="F32" s="653" t="s">
        <v>924</v>
      </c>
      <c r="G32" s="653" t="s">
        <v>910</v>
      </c>
      <c r="H32" s="653" t="s">
        <v>911</v>
      </c>
      <c r="I32" s="653" t="s">
        <v>923</v>
      </c>
      <c r="J32" s="796">
        <v>40259</v>
      </c>
      <c r="K32" s="796">
        <v>40259</v>
      </c>
      <c r="L32" s="653" t="s">
        <v>912</v>
      </c>
      <c r="M32" s="653">
        <v>1008</v>
      </c>
      <c r="N32" s="653">
        <v>4536</v>
      </c>
      <c r="O32" s="653">
        <v>6480</v>
      </c>
      <c r="P32" s="653">
        <v>12960</v>
      </c>
      <c r="Q32" s="653">
        <v>0</v>
      </c>
      <c r="R32" s="653">
        <v>0</v>
      </c>
      <c r="S32" s="653">
        <v>0</v>
      </c>
      <c r="T32" s="653">
        <v>0</v>
      </c>
      <c r="U32" s="653">
        <v>0</v>
      </c>
      <c r="V32" s="653">
        <v>0</v>
      </c>
      <c r="W32" s="653">
        <v>0</v>
      </c>
      <c r="X32" s="653">
        <v>10</v>
      </c>
      <c r="Y32" s="653" t="s">
        <v>112</v>
      </c>
      <c r="Z32" s="655" t="s">
        <v>112</v>
      </c>
    </row>
    <row r="33" spans="1:26" s="607" customFormat="1" ht="25.5">
      <c r="A33" s="606"/>
      <c r="B33" s="797">
        <v>11035</v>
      </c>
      <c r="C33" s="797">
        <v>2520</v>
      </c>
      <c r="D33" s="654" t="s">
        <v>925</v>
      </c>
      <c r="E33" s="653" t="s">
        <v>926</v>
      </c>
      <c r="F33" s="653" t="s">
        <v>927</v>
      </c>
      <c r="G33" s="653" t="s">
        <v>910</v>
      </c>
      <c r="H33" s="653" t="s">
        <v>911</v>
      </c>
      <c r="I33" s="653" t="s">
        <v>928</v>
      </c>
      <c r="J33" s="796">
        <v>40434</v>
      </c>
      <c r="K33" s="796">
        <v>40434</v>
      </c>
      <c r="L33" s="653" t="s">
        <v>912</v>
      </c>
      <c r="M33" s="653">
        <v>2262</v>
      </c>
      <c r="N33" s="653">
        <v>10179</v>
      </c>
      <c r="O33" s="653">
        <v>14541.428571428572</v>
      </c>
      <c r="P33" s="653">
        <v>7270.7142857142862</v>
      </c>
      <c r="Q33" s="653">
        <v>21812.142857142859</v>
      </c>
      <c r="R33" s="653">
        <v>0</v>
      </c>
      <c r="S33" s="653">
        <v>0</v>
      </c>
      <c r="T33" s="653">
        <v>0</v>
      </c>
      <c r="U33" s="653">
        <v>0</v>
      </c>
      <c r="V33" s="653">
        <v>0</v>
      </c>
      <c r="W33" s="653">
        <v>0</v>
      </c>
      <c r="X33" s="653">
        <v>10</v>
      </c>
      <c r="Y33" s="653" t="s">
        <v>112</v>
      </c>
      <c r="Z33" s="655" t="s">
        <v>112</v>
      </c>
    </row>
    <row r="34" spans="1:26" s="607" customFormat="1" ht="25.5">
      <c r="A34" s="606"/>
      <c r="B34" s="797">
        <v>11035</v>
      </c>
      <c r="C34" s="797">
        <v>2520</v>
      </c>
      <c r="D34" s="654" t="s">
        <v>929</v>
      </c>
      <c r="E34" s="653" t="s">
        <v>930</v>
      </c>
      <c r="F34" s="653" t="s">
        <v>931</v>
      </c>
      <c r="G34" s="653" t="s">
        <v>910</v>
      </c>
      <c r="H34" s="653" t="s">
        <v>911</v>
      </c>
      <c r="I34" s="653" t="s">
        <v>930</v>
      </c>
      <c r="J34" s="796">
        <v>40568</v>
      </c>
      <c r="K34" s="796">
        <v>40570</v>
      </c>
      <c r="L34" s="653" t="s">
        <v>912</v>
      </c>
      <c r="M34" s="653">
        <v>800</v>
      </c>
      <c r="N34" s="653">
        <v>3600</v>
      </c>
      <c r="O34" s="653">
        <v>5142.8571428571431</v>
      </c>
      <c r="P34" s="653">
        <v>10285.714285714286</v>
      </c>
      <c r="Q34" s="653">
        <v>0</v>
      </c>
      <c r="R34" s="653">
        <v>0</v>
      </c>
      <c r="S34" s="653">
        <v>0</v>
      </c>
      <c r="T34" s="653">
        <v>0</v>
      </c>
      <c r="U34" s="653">
        <v>0</v>
      </c>
      <c r="V34" s="653">
        <v>0</v>
      </c>
      <c r="W34" s="653">
        <v>0</v>
      </c>
      <c r="X34" s="653">
        <v>10</v>
      </c>
      <c r="Y34" s="653" t="s">
        <v>112</v>
      </c>
      <c r="Z34" s="655" t="s">
        <v>112</v>
      </c>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10665</v>
      </c>
      <c r="N58" s="611">
        <f>SUM(N28:N57)</f>
        <v>47992.5</v>
      </c>
      <c r="O58" s="611">
        <f t="shared" ref="O58:W58" si="2">SUM(O28:O57)</f>
        <v>68560.71428571429</v>
      </c>
      <c r="P58" s="611">
        <f t="shared" si="2"/>
        <v>115309.28571428572</v>
      </c>
      <c r="Q58" s="611">
        <f t="shared" si="2"/>
        <v>21812.142857142859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10665</v>
      </c>
      <c r="N61" s="616">
        <f t="shared" si="4"/>
        <v>47992.5</v>
      </c>
      <c r="O61" s="616">
        <f t="shared" si="4"/>
        <v>68560.71428571429</v>
      </c>
      <c r="P61" s="616">
        <f t="shared" si="4"/>
        <v>115309.28571428572</v>
      </c>
      <c r="Q61" s="616">
        <f t="shared" si="4"/>
        <v>21812.142857142859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47480.294117647063</v>
      </c>
      <c r="C101" s="645">
        <f t="shared" si="9"/>
        <v>8981.4705882352937</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67828.991596638662</v>
      </c>
      <c r="C102" s="648">
        <f t="shared" si="10"/>
        <v>12830.672268907565</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36957.733294414145</v>
      </c>
      <c r="C4" s="478">
        <f>huishoudens!C8</f>
        <v>0</v>
      </c>
      <c r="D4" s="478">
        <f>huishoudens!D8</f>
        <v>81670.896980082165</v>
      </c>
      <c r="E4" s="478">
        <f>huishoudens!E8</f>
        <v>1677.4956385389257</v>
      </c>
      <c r="F4" s="478">
        <f>huishoudens!F8</f>
        <v>0</v>
      </c>
      <c r="G4" s="478">
        <f>huishoudens!G8</f>
        <v>0</v>
      </c>
      <c r="H4" s="478">
        <f>huishoudens!H8</f>
        <v>0</v>
      </c>
      <c r="I4" s="478">
        <f>huishoudens!I8</f>
        <v>0</v>
      </c>
      <c r="J4" s="478">
        <f>huishoudens!J8</f>
        <v>225.11503201487261</v>
      </c>
      <c r="K4" s="478">
        <f>huishoudens!K8</f>
        <v>0</v>
      </c>
      <c r="L4" s="478">
        <f>huishoudens!L8</f>
        <v>0</v>
      </c>
      <c r="M4" s="478">
        <f>huishoudens!M8</f>
        <v>0</v>
      </c>
      <c r="N4" s="478">
        <f>huishoudens!N8</f>
        <v>18426.416115644515</v>
      </c>
      <c r="O4" s="478">
        <f>huishoudens!O8</f>
        <v>250.13333333333333</v>
      </c>
      <c r="P4" s="479">
        <f>huishoudens!P8</f>
        <v>896.13333333333333</v>
      </c>
      <c r="Q4" s="480">
        <f>SUM(B4:P4)</f>
        <v>140103.92372736128</v>
      </c>
    </row>
    <row r="5" spans="1:17">
      <c r="A5" s="477" t="s">
        <v>156</v>
      </c>
      <c r="B5" s="478">
        <f ca="1">tertiair!B16</f>
        <v>32997.705600000001</v>
      </c>
      <c r="C5" s="478">
        <f ca="1">tertiair!C16</f>
        <v>0</v>
      </c>
      <c r="D5" s="478">
        <f ca="1">tertiair!D16</f>
        <v>21791.44675599043</v>
      </c>
      <c r="E5" s="478">
        <f>tertiair!E16</f>
        <v>247.54541211557029</v>
      </c>
      <c r="F5" s="478">
        <f ca="1">tertiair!F16</f>
        <v>5859.546341178504</v>
      </c>
      <c r="G5" s="478">
        <f>tertiair!G16</f>
        <v>0</v>
      </c>
      <c r="H5" s="478">
        <f>tertiair!H16</f>
        <v>0</v>
      </c>
      <c r="I5" s="478">
        <f>tertiair!I16</f>
        <v>0</v>
      </c>
      <c r="J5" s="478">
        <f>tertiair!J16</f>
        <v>0</v>
      </c>
      <c r="K5" s="478">
        <f>tertiair!K16</f>
        <v>0</v>
      </c>
      <c r="L5" s="478">
        <f ca="1">tertiair!L16</f>
        <v>0</v>
      </c>
      <c r="M5" s="478">
        <f>tertiair!M16</f>
        <v>0</v>
      </c>
      <c r="N5" s="478">
        <f ca="1">tertiair!N16</f>
        <v>11178.964860784876</v>
      </c>
      <c r="O5" s="478">
        <f>tertiair!O16</f>
        <v>1.5633333333333335</v>
      </c>
      <c r="P5" s="479">
        <f>tertiair!P16</f>
        <v>19.066666666666666</v>
      </c>
      <c r="Q5" s="477">
        <f t="shared" ref="Q5:Q14" ca="1" si="0">SUM(B5:P5)</f>
        <v>72095.838970069381</v>
      </c>
    </row>
    <row r="6" spans="1:17">
      <c r="A6" s="477" t="s">
        <v>194</v>
      </c>
      <c r="B6" s="478">
        <f>'openbare verlichting'!B8</f>
        <v>1404.8209999999999</v>
      </c>
      <c r="C6" s="478"/>
      <c r="D6" s="478"/>
      <c r="E6" s="478"/>
      <c r="F6" s="478"/>
      <c r="G6" s="478"/>
      <c r="H6" s="478"/>
      <c r="I6" s="478"/>
      <c r="J6" s="478"/>
      <c r="K6" s="478"/>
      <c r="L6" s="478"/>
      <c r="M6" s="478"/>
      <c r="N6" s="478"/>
      <c r="O6" s="478"/>
      <c r="P6" s="479"/>
      <c r="Q6" s="477">
        <f t="shared" si="0"/>
        <v>1404.8209999999999</v>
      </c>
    </row>
    <row r="7" spans="1:17">
      <c r="A7" s="477" t="s">
        <v>112</v>
      </c>
      <c r="B7" s="478">
        <f>landbouw!B8</f>
        <v>2000.04177</v>
      </c>
      <c r="C7" s="478">
        <f>landbouw!C8</f>
        <v>68560.71428571429</v>
      </c>
      <c r="D7" s="478">
        <f>landbouw!D8</f>
        <v>0</v>
      </c>
      <c r="E7" s="478">
        <f>landbouw!E8</f>
        <v>18.525224568235764</v>
      </c>
      <c r="F7" s="478">
        <f>landbouw!F8</f>
        <v>5074.4869780561867</v>
      </c>
      <c r="G7" s="478">
        <f>landbouw!G8</f>
        <v>0</v>
      </c>
      <c r="H7" s="478">
        <f>landbouw!H8</f>
        <v>0</v>
      </c>
      <c r="I7" s="478">
        <f>landbouw!I8</f>
        <v>0</v>
      </c>
      <c r="J7" s="478">
        <f>landbouw!J8</f>
        <v>306.62872387229777</v>
      </c>
      <c r="K7" s="478">
        <f>landbouw!K8</f>
        <v>0</v>
      </c>
      <c r="L7" s="478">
        <f>landbouw!L8</f>
        <v>0</v>
      </c>
      <c r="M7" s="478">
        <f>landbouw!M8</f>
        <v>0</v>
      </c>
      <c r="N7" s="478">
        <f>landbouw!N8</f>
        <v>0</v>
      </c>
      <c r="O7" s="478">
        <f>landbouw!O8</f>
        <v>0</v>
      </c>
      <c r="P7" s="479">
        <f>landbouw!P8</f>
        <v>0</v>
      </c>
      <c r="Q7" s="477">
        <f t="shared" si="0"/>
        <v>75960.396982211008</v>
      </c>
    </row>
    <row r="8" spans="1:17">
      <c r="A8" s="477" t="s">
        <v>650</v>
      </c>
      <c r="B8" s="478">
        <f>industrie!B18</f>
        <v>33866.745750000002</v>
      </c>
      <c r="C8" s="478">
        <f>industrie!C18</f>
        <v>0</v>
      </c>
      <c r="D8" s="478">
        <f>industrie!D18</f>
        <v>98473.353649317331</v>
      </c>
      <c r="E8" s="478">
        <f>industrie!E18</f>
        <v>1967.6877772270977</v>
      </c>
      <c r="F8" s="478">
        <f>industrie!F18</f>
        <v>9019.3055070456721</v>
      </c>
      <c r="G8" s="478">
        <f>industrie!G18</f>
        <v>0</v>
      </c>
      <c r="H8" s="478">
        <f>industrie!H18</f>
        <v>0</v>
      </c>
      <c r="I8" s="478">
        <f>industrie!I18</f>
        <v>0</v>
      </c>
      <c r="J8" s="478">
        <f>industrie!J18</f>
        <v>143.59797102703172</v>
      </c>
      <c r="K8" s="478">
        <f>industrie!K18</f>
        <v>0</v>
      </c>
      <c r="L8" s="478">
        <f>industrie!L18</f>
        <v>0</v>
      </c>
      <c r="M8" s="478">
        <f>industrie!M18</f>
        <v>0</v>
      </c>
      <c r="N8" s="478">
        <f>industrie!N18</f>
        <v>6622.5144090774256</v>
      </c>
      <c r="O8" s="478">
        <f>industrie!O18</f>
        <v>0</v>
      </c>
      <c r="P8" s="479">
        <f>industrie!P18</f>
        <v>0</v>
      </c>
      <c r="Q8" s="477">
        <f t="shared" si="0"/>
        <v>150093.20506369456</v>
      </c>
    </row>
    <row r="9" spans="1:17" s="483" customFormat="1">
      <c r="A9" s="481" t="s">
        <v>571</v>
      </c>
      <c r="B9" s="482">
        <f>transport!B14</f>
        <v>47.864154790545548</v>
      </c>
      <c r="C9" s="482">
        <f>transport!C14</f>
        <v>0</v>
      </c>
      <c r="D9" s="482">
        <f>transport!D14</f>
        <v>116.83429048396744</v>
      </c>
      <c r="E9" s="482">
        <f>transport!E14</f>
        <v>889.27618863045029</v>
      </c>
      <c r="F9" s="482">
        <f>transport!F14</f>
        <v>0</v>
      </c>
      <c r="G9" s="482">
        <f>transport!G14</f>
        <v>330260.91402280168</v>
      </c>
      <c r="H9" s="482">
        <f>transport!H14</f>
        <v>45843.228108449206</v>
      </c>
      <c r="I9" s="482">
        <f>transport!I14</f>
        <v>0</v>
      </c>
      <c r="J9" s="482">
        <f>transport!J14</f>
        <v>0</v>
      </c>
      <c r="K9" s="482">
        <f>transport!K14</f>
        <v>0</v>
      </c>
      <c r="L9" s="482">
        <f>transport!L14</f>
        <v>0</v>
      </c>
      <c r="M9" s="482">
        <f>transport!M14</f>
        <v>20515.288394585419</v>
      </c>
      <c r="N9" s="482">
        <f>transport!N14</f>
        <v>0</v>
      </c>
      <c r="O9" s="482">
        <f>transport!O14</f>
        <v>0</v>
      </c>
      <c r="P9" s="482">
        <f>transport!P14</f>
        <v>0</v>
      </c>
      <c r="Q9" s="481">
        <f>SUM(B9:P9)</f>
        <v>397673.40515974129</v>
      </c>
    </row>
    <row r="10" spans="1:17">
      <c r="A10" s="477" t="s">
        <v>561</v>
      </c>
      <c r="B10" s="478">
        <f>transport!B54</f>
        <v>0</v>
      </c>
      <c r="C10" s="478">
        <f>transport!C54</f>
        <v>0</v>
      </c>
      <c r="D10" s="478">
        <f>transport!D54</f>
        <v>0</v>
      </c>
      <c r="E10" s="478">
        <f>transport!E54</f>
        <v>0</v>
      </c>
      <c r="F10" s="478">
        <f>transport!F54</f>
        <v>0</v>
      </c>
      <c r="G10" s="478">
        <f>transport!G54</f>
        <v>3446.4666920073114</v>
      </c>
      <c r="H10" s="478">
        <f>transport!H54</f>
        <v>0</v>
      </c>
      <c r="I10" s="478">
        <f>transport!I54</f>
        <v>0</v>
      </c>
      <c r="J10" s="478">
        <f>transport!J54</f>
        <v>0</v>
      </c>
      <c r="K10" s="478">
        <f>transport!K54</f>
        <v>0</v>
      </c>
      <c r="L10" s="478">
        <f>transport!L54</f>
        <v>0</v>
      </c>
      <c r="M10" s="478">
        <f>transport!M54</f>
        <v>196.54194845203372</v>
      </c>
      <c r="N10" s="478">
        <f>transport!N54</f>
        <v>0</v>
      </c>
      <c r="O10" s="478">
        <f>transport!O54</f>
        <v>0</v>
      </c>
      <c r="P10" s="479">
        <f>transport!P54</f>
        <v>0</v>
      </c>
      <c r="Q10" s="477">
        <f t="shared" si="0"/>
        <v>3643.0086404593453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1342.722</v>
      </c>
      <c r="C14" s="485"/>
      <c r="D14" s="485">
        <f>'SEAP template'!E25</f>
        <v>2663.1148153034997</v>
      </c>
      <c r="E14" s="485"/>
      <c r="F14" s="485"/>
      <c r="G14" s="485"/>
      <c r="H14" s="485"/>
      <c r="I14" s="485"/>
      <c r="J14" s="485"/>
      <c r="K14" s="485"/>
      <c r="L14" s="485"/>
      <c r="M14" s="485"/>
      <c r="N14" s="485"/>
      <c r="O14" s="485"/>
      <c r="P14" s="486"/>
      <c r="Q14" s="477">
        <f t="shared" si="0"/>
        <v>4005.8368153034999</v>
      </c>
    </row>
    <row r="15" spans="1:17" s="487" customFormat="1">
      <c r="A15" s="1051" t="s">
        <v>565</v>
      </c>
      <c r="B15" s="991">
        <f ca="1">SUM(B4:B14)</f>
        <v>108617.63356920467</v>
      </c>
      <c r="C15" s="991">
        <f t="shared" ref="C15:Q15" ca="1" si="1">SUM(C4:C14)</f>
        <v>68560.71428571429</v>
      </c>
      <c r="D15" s="991">
        <f t="shared" ca="1" si="1"/>
        <v>204715.64649117741</v>
      </c>
      <c r="E15" s="991">
        <f t="shared" si="1"/>
        <v>4800.5302410802797</v>
      </c>
      <c r="F15" s="991">
        <f t="shared" ca="1" si="1"/>
        <v>19953.338826280364</v>
      </c>
      <c r="G15" s="991">
        <f t="shared" si="1"/>
        <v>333707.380714809</v>
      </c>
      <c r="H15" s="991">
        <f t="shared" si="1"/>
        <v>45843.228108449206</v>
      </c>
      <c r="I15" s="991">
        <f t="shared" si="1"/>
        <v>0</v>
      </c>
      <c r="J15" s="991">
        <f t="shared" si="1"/>
        <v>675.34172691420213</v>
      </c>
      <c r="K15" s="991">
        <f t="shared" si="1"/>
        <v>0</v>
      </c>
      <c r="L15" s="991">
        <f t="shared" ca="1" si="1"/>
        <v>0</v>
      </c>
      <c r="M15" s="991">
        <f t="shared" si="1"/>
        <v>20711.830343037454</v>
      </c>
      <c r="N15" s="991">
        <f t="shared" ca="1" si="1"/>
        <v>36227.895385506818</v>
      </c>
      <c r="O15" s="991">
        <f t="shared" si="1"/>
        <v>251.69666666666666</v>
      </c>
      <c r="P15" s="991">
        <f t="shared" si="1"/>
        <v>915.2</v>
      </c>
      <c r="Q15" s="991">
        <f t="shared" ca="1" si="1"/>
        <v>844980.43635884044</v>
      </c>
    </row>
    <row r="17" spans="1:17">
      <c r="A17" s="488" t="s">
        <v>566</v>
      </c>
      <c r="B17" s="787">
        <f ca="1">huishoudens!B10</f>
        <v>0.20169892562429234</v>
      </c>
      <c r="C17" s="787">
        <f ca="1">huishoudens!C10</f>
        <v>0.19984413005708615</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7454.3350989924711</v>
      </c>
      <c r="C22" s="478">
        <f t="shared" ref="C22:C32" ca="1" si="3">C4*$C$17</f>
        <v>0</v>
      </c>
      <c r="D22" s="478">
        <f t="shared" ref="D22:D32" si="4">D4*$D$17</f>
        <v>16497.5211899766</v>
      </c>
      <c r="E22" s="478">
        <f t="shared" ref="E22:E32" si="5">E4*$E$17</f>
        <v>380.79150994833617</v>
      </c>
      <c r="F22" s="478">
        <f t="shared" ref="F22:F32" si="6">F4*$F$17</f>
        <v>0</v>
      </c>
      <c r="G22" s="478">
        <f t="shared" ref="G22:G32" si="7">G4*$G$17</f>
        <v>0</v>
      </c>
      <c r="H22" s="478">
        <f t="shared" ref="H22:H32" si="8">H4*$H$17</f>
        <v>0</v>
      </c>
      <c r="I22" s="478">
        <f t="shared" ref="I22:I32" si="9">I4*$I$17</f>
        <v>0</v>
      </c>
      <c r="J22" s="478">
        <f t="shared" ref="J22:J32" si="10">J4*$J$17</f>
        <v>79.690721333264904</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24412.338520250672</v>
      </c>
    </row>
    <row r="23" spans="1:17">
      <c r="A23" s="477" t="s">
        <v>156</v>
      </c>
      <c r="B23" s="478">
        <f t="shared" ca="1" si="2"/>
        <v>6655.6017675866951</v>
      </c>
      <c r="C23" s="478">
        <f t="shared" ca="1" si="3"/>
        <v>0</v>
      </c>
      <c r="D23" s="478">
        <f t="shared" ca="1" si="4"/>
        <v>4401.8722447100672</v>
      </c>
      <c r="E23" s="478">
        <f t="shared" si="5"/>
        <v>56.19280855023446</v>
      </c>
      <c r="F23" s="478">
        <f t="shared" ca="1" si="6"/>
        <v>1564.4988730946607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12678.165693941659</v>
      </c>
    </row>
    <row r="24" spans="1:17">
      <c r="A24" s="477" t="s">
        <v>194</v>
      </c>
      <c r="B24" s="478">
        <f t="shared" ca="1" si="2"/>
        <v>283.35088639444399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283.35088639444399</v>
      </c>
    </row>
    <row r="25" spans="1:17">
      <c r="A25" s="477" t="s">
        <v>112</v>
      </c>
      <c r="B25" s="478">
        <f t="shared" ca="1" si="2"/>
        <v>403.40627621270801</v>
      </c>
      <c r="C25" s="478">
        <f t="shared" ca="1" si="3"/>
        <v>13701.456302521012</v>
      </c>
      <c r="D25" s="478">
        <f t="shared" si="4"/>
        <v>0</v>
      </c>
      <c r="E25" s="478">
        <f t="shared" si="5"/>
        <v>4.2052259769895182</v>
      </c>
      <c r="F25" s="478">
        <f t="shared" si="6"/>
        <v>1354.8880231410019</v>
      </c>
      <c r="G25" s="478">
        <f t="shared" si="7"/>
        <v>0</v>
      </c>
      <c r="H25" s="478">
        <f t="shared" si="8"/>
        <v>0</v>
      </c>
      <c r="I25" s="478">
        <f t="shared" si="9"/>
        <v>0</v>
      </c>
      <c r="J25" s="478">
        <f t="shared" si="10"/>
        <v>108.5465682507934</v>
      </c>
      <c r="K25" s="478">
        <f t="shared" si="11"/>
        <v>0</v>
      </c>
      <c r="L25" s="478">
        <f t="shared" si="12"/>
        <v>0</v>
      </c>
      <c r="M25" s="478">
        <f t="shared" si="13"/>
        <v>0</v>
      </c>
      <c r="N25" s="478">
        <f t="shared" si="14"/>
        <v>0</v>
      </c>
      <c r="O25" s="478">
        <f t="shared" si="15"/>
        <v>0</v>
      </c>
      <c r="P25" s="479">
        <f t="shared" si="16"/>
        <v>0</v>
      </c>
      <c r="Q25" s="477">
        <f t="shared" ca="1" si="17"/>
        <v>15572.502396102505</v>
      </c>
    </row>
    <row r="26" spans="1:17">
      <c r="A26" s="477" t="s">
        <v>650</v>
      </c>
      <c r="B26" s="478">
        <f t="shared" ca="1" si="2"/>
        <v>6830.886232166069</v>
      </c>
      <c r="C26" s="478">
        <f t="shared" ca="1" si="3"/>
        <v>0</v>
      </c>
      <c r="D26" s="478">
        <f t="shared" si="4"/>
        <v>19891.617437162102</v>
      </c>
      <c r="E26" s="478">
        <f t="shared" si="5"/>
        <v>446.6651254305512</v>
      </c>
      <c r="F26" s="478">
        <f t="shared" si="6"/>
        <v>2408.1545703811944</v>
      </c>
      <c r="G26" s="478">
        <f t="shared" si="7"/>
        <v>0</v>
      </c>
      <c r="H26" s="478">
        <f t="shared" si="8"/>
        <v>0</v>
      </c>
      <c r="I26" s="478">
        <f t="shared" si="9"/>
        <v>0</v>
      </c>
      <c r="J26" s="478">
        <f t="shared" si="10"/>
        <v>50.833681743569223</v>
      </c>
      <c r="K26" s="478">
        <f t="shared" si="11"/>
        <v>0</v>
      </c>
      <c r="L26" s="478">
        <f t="shared" si="12"/>
        <v>0</v>
      </c>
      <c r="M26" s="478">
        <f t="shared" si="13"/>
        <v>0</v>
      </c>
      <c r="N26" s="478">
        <f t="shared" si="14"/>
        <v>0</v>
      </c>
      <c r="O26" s="478">
        <f t="shared" si="15"/>
        <v>0</v>
      </c>
      <c r="P26" s="479">
        <f t="shared" si="16"/>
        <v>0</v>
      </c>
      <c r="Q26" s="477">
        <f t="shared" ca="1" si="17"/>
        <v>29628.157046883487</v>
      </c>
    </row>
    <row r="27" spans="1:17" s="483" customFormat="1">
      <c r="A27" s="481" t="s">
        <v>571</v>
      </c>
      <c r="B27" s="781">
        <f t="shared" ca="1" si="2"/>
        <v>9.6541485971678629</v>
      </c>
      <c r="C27" s="482">
        <f t="shared" ca="1" si="3"/>
        <v>0</v>
      </c>
      <c r="D27" s="482">
        <f t="shared" si="4"/>
        <v>23.600526677761422</v>
      </c>
      <c r="E27" s="482">
        <f t="shared" si="5"/>
        <v>201.86569481911224</v>
      </c>
      <c r="F27" s="482">
        <f t="shared" si="6"/>
        <v>0</v>
      </c>
      <c r="G27" s="482">
        <f t="shared" si="7"/>
        <v>88179.664044088058</v>
      </c>
      <c r="H27" s="482">
        <f t="shared" si="8"/>
        <v>11414.963799003852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99829.748213185943</v>
      </c>
    </row>
    <row r="28" spans="1:17">
      <c r="A28" s="477" t="s">
        <v>561</v>
      </c>
      <c r="B28" s="478">
        <f t="shared" ca="1" si="2"/>
        <v>0</v>
      </c>
      <c r="C28" s="478">
        <f t="shared" ca="1" si="3"/>
        <v>0</v>
      </c>
      <c r="D28" s="478">
        <f t="shared" si="4"/>
        <v>0</v>
      </c>
      <c r="E28" s="478">
        <f t="shared" si="5"/>
        <v>0</v>
      </c>
      <c r="F28" s="478">
        <f t="shared" si="6"/>
        <v>0</v>
      </c>
      <c r="G28" s="478">
        <f t="shared" si="7"/>
        <v>920.20660676595219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920.20660676595219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270.82558481210106</v>
      </c>
      <c r="C32" s="478">
        <f t="shared" ca="1" si="3"/>
        <v>0</v>
      </c>
      <c r="D32" s="478">
        <f t="shared" si="4"/>
        <v>537.94919269130696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808.77477750340802</v>
      </c>
    </row>
    <row r="33" spans="1:17" s="487" customFormat="1">
      <c r="A33" s="1051" t="s">
        <v>565</v>
      </c>
      <c r="B33" s="991">
        <f ca="1">SUM(B22:B32)</f>
        <v>21908.059994761657</v>
      </c>
      <c r="C33" s="991">
        <f t="shared" ref="C33:Q33" ca="1" si="18">SUM(C22:C32)</f>
        <v>13701.456302521012</v>
      </c>
      <c r="D33" s="991">
        <f t="shared" ca="1" si="18"/>
        <v>41352.560591217843</v>
      </c>
      <c r="E33" s="991">
        <f t="shared" si="18"/>
        <v>1089.7203647252236</v>
      </c>
      <c r="F33" s="991">
        <f t="shared" ca="1" si="18"/>
        <v>5327.5414666168572</v>
      </c>
      <c r="G33" s="991">
        <f t="shared" si="18"/>
        <v>89099.870650854005</v>
      </c>
      <c r="H33" s="991">
        <f t="shared" si="18"/>
        <v>11414.963799003852</v>
      </c>
      <c r="I33" s="991">
        <f t="shared" si="18"/>
        <v>0</v>
      </c>
      <c r="J33" s="991">
        <f t="shared" si="18"/>
        <v>239.07097132762755</v>
      </c>
      <c r="K33" s="991">
        <f t="shared" si="18"/>
        <v>0</v>
      </c>
      <c r="L33" s="991">
        <f t="shared" ca="1" si="18"/>
        <v>0</v>
      </c>
      <c r="M33" s="991">
        <f t="shared" si="18"/>
        <v>0</v>
      </c>
      <c r="N33" s="991">
        <f t="shared" ca="1" si="18"/>
        <v>0</v>
      </c>
      <c r="O33" s="991">
        <f t="shared" si="18"/>
        <v>0</v>
      </c>
      <c r="P33" s="991">
        <f t="shared" si="18"/>
        <v>0</v>
      </c>
      <c r="Q33" s="991">
        <f t="shared" ca="1" si="18"/>
        <v>184133.24414102809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4891.9182615261961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7634.2499999999991</v>
      </c>
      <c r="C8" s="1068">
        <f>'SEAP template'!C76</f>
        <v>40358.25</v>
      </c>
      <c r="D8" s="1068">
        <f>'SEAP template'!D76</f>
        <v>47480.294117647063</v>
      </c>
      <c r="E8" s="1068">
        <f>'SEAP template'!E76</f>
        <v>0</v>
      </c>
      <c r="F8" s="1068">
        <f>'SEAP template'!F76</f>
        <v>0</v>
      </c>
      <c r="G8" s="1068">
        <f>'SEAP template'!G76</f>
        <v>0</v>
      </c>
      <c r="H8" s="1068">
        <f>'SEAP template'!H76</f>
        <v>0</v>
      </c>
      <c r="I8" s="1068">
        <f>'SEAP template'!I76</f>
        <v>0</v>
      </c>
      <c r="J8" s="1068">
        <f>'SEAP template'!J76</f>
        <v>8981.4705882352937</v>
      </c>
      <c r="K8" s="1068">
        <f>'SEAP template'!K76</f>
        <v>0</v>
      </c>
      <c r="L8" s="1068">
        <f>'SEAP template'!L76</f>
        <v>0</v>
      </c>
      <c r="M8" s="1068">
        <f>'SEAP template'!M76</f>
        <v>0</v>
      </c>
      <c r="N8" s="1068">
        <f>'SEAP template'!N76</f>
        <v>0</v>
      </c>
      <c r="O8" s="1068">
        <f>'SEAP template'!O76</f>
        <v>0</v>
      </c>
      <c r="P8" s="1069">
        <f>'SEAP template'!Q76</f>
        <v>9591.0194117647079</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12526.168261526196</v>
      </c>
      <c r="C10" s="1072">
        <f>SUM(C4:C9)</f>
        <v>40358.25</v>
      </c>
      <c r="D10" s="1072">
        <f t="shared" ref="D10:H10" si="0">SUM(D8:D9)</f>
        <v>47480.294117647063</v>
      </c>
      <c r="E10" s="1072">
        <f t="shared" si="0"/>
        <v>0</v>
      </c>
      <c r="F10" s="1072">
        <f t="shared" si="0"/>
        <v>0</v>
      </c>
      <c r="G10" s="1072">
        <f t="shared" si="0"/>
        <v>0</v>
      </c>
      <c r="H10" s="1072">
        <f t="shared" si="0"/>
        <v>0</v>
      </c>
      <c r="I10" s="1072">
        <f>SUM(I8:I9)</f>
        <v>0</v>
      </c>
      <c r="J10" s="1072">
        <f>SUM(J8:J9)</f>
        <v>8981.4705882352937</v>
      </c>
      <c r="K10" s="1072">
        <f t="shared" ref="K10:L10" si="1">SUM(K8:K9)</f>
        <v>0</v>
      </c>
      <c r="L10" s="1072">
        <f t="shared" si="1"/>
        <v>0</v>
      </c>
      <c r="M10" s="1072">
        <f>SUM(M8:M9)</f>
        <v>0</v>
      </c>
      <c r="N10" s="1072">
        <f>SUM(N8:N9)</f>
        <v>0</v>
      </c>
      <c r="O10" s="1072">
        <f>SUM(O8:O9)</f>
        <v>0</v>
      </c>
      <c r="P10" s="1072">
        <f>SUM(P8:P9)</f>
        <v>9591.0194117647079</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0.20169892562429234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10906.071428571429</v>
      </c>
      <c r="C17" s="1074">
        <f>'SEAP template'!C87</f>
        <v>57654.642857142855</v>
      </c>
      <c r="D17" s="1069">
        <f>'SEAP template'!D87</f>
        <v>67828.991596638662</v>
      </c>
      <c r="E17" s="1069">
        <f>'SEAP template'!E87</f>
        <v>0</v>
      </c>
      <c r="F17" s="1069">
        <f>'SEAP template'!F87</f>
        <v>0</v>
      </c>
      <c r="G17" s="1069">
        <f>'SEAP template'!G87</f>
        <v>0</v>
      </c>
      <c r="H17" s="1069">
        <f>'SEAP template'!H87</f>
        <v>0</v>
      </c>
      <c r="I17" s="1069">
        <f>'SEAP template'!I87</f>
        <v>0</v>
      </c>
      <c r="J17" s="1069">
        <f>'SEAP template'!J87</f>
        <v>12830.672268907565</v>
      </c>
      <c r="K17" s="1069">
        <f>'SEAP template'!K87</f>
        <v>0</v>
      </c>
      <c r="L17" s="1069">
        <f>'SEAP template'!L87</f>
        <v>0</v>
      </c>
      <c r="M17" s="1069">
        <f>'SEAP template'!M87</f>
        <v>0</v>
      </c>
      <c r="N17" s="1069">
        <f>'SEAP template'!N87</f>
        <v>0</v>
      </c>
      <c r="O17" s="1069">
        <f>'SEAP template'!O87</f>
        <v>0</v>
      </c>
      <c r="P17" s="1069">
        <f>'SEAP template'!Q87</f>
        <v>13701.45630252101</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10906.071428571429</v>
      </c>
      <c r="C20" s="1072">
        <f>SUM(C17:C19)</f>
        <v>57654.642857142855</v>
      </c>
      <c r="D20" s="1072">
        <f t="shared" ref="D20:H20" si="2">SUM(D17:D19)</f>
        <v>67828.991596638662</v>
      </c>
      <c r="E20" s="1072">
        <f t="shared" si="2"/>
        <v>0</v>
      </c>
      <c r="F20" s="1072">
        <f t="shared" si="2"/>
        <v>0</v>
      </c>
      <c r="G20" s="1072">
        <f t="shared" si="2"/>
        <v>0</v>
      </c>
      <c r="H20" s="1072">
        <f t="shared" si="2"/>
        <v>0</v>
      </c>
      <c r="I20" s="1072">
        <f>SUM(I17:I19)</f>
        <v>0</v>
      </c>
      <c r="J20" s="1072">
        <f>SUM(J17:J19)</f>
        <v>12830.672268907565</v>
      </c>
      <c r="K20" s="1072">
        <f t="shared" ref="K20:L20" si="3">SUM(K17:K19)</f>
        <v>0</v>
      </c>
      <c r="L20" s="1072">
        <f t="shared" si="3"/>
        <v>0</v>
      </c>
      <c r="M20" s="1072">
        <f>SUM(M17:M19)</f>
        <v>0</v>
      </c>
      <c r="N20" s="1072">
        <f>SUM(N17:N19)</f>
        <v>0</v>
      </c>
      <c r="O20" s="1072">
        <f>SUM(O17:O19)</f>
        <v>0</v>
      </c>
      <c r="P20" s="1072">
        <f>SUM(P17:P19)</f>
        <v>13701.45630252101</v>
      </c>
    </row>
    <row r="22" spans="1:16">
      <c r="A22" s="488" t="s">
        <v>888</v>
      </c>
      <c r="B22" s="787" t="s">
        <v>882</v>
      </c>
      <c r="C22" s="787">
        <f ca="1">'EF ele_warmte'!B22</f>
        <v>0.19984413005708615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0.20169892562429234</v>
      </c>
      <c r="C17" s="525">
        <f ca="1">'EF ele_warmte'!B22</f>
        <v>0.19984413005708615</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1</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19.066666666666666</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2019-08-12T08:06:28Z</dcterms:modified>
</cp:coreProperties>
</file>