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E18"/>
  <c r="F88" i="14" s="1"/>
  <c r="F18" i="59" s="1"/>
  <c r="D18" i="18"/>
  <c r="D20" s="1"/>
  <c r="C18"/>
  <c r="B18"/>
  <c r="L9"/>
  <c r="L10" s="1"/>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59" s="1"/>
  <c r="B17" i="18"/>
  <c r="B20" s="1"/>
  <c r="G12"/>
  <c r="F12"/>
  <c r="E12"/>
  <c r="D12"/>
  <c r="C12"/>
  <c r="K10"/>
  <c r="G10"/>
  <c r="E77" i="14"/>
  <c r="E9" i="59" s="1"/>
  <c r="B8" i="18"/>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P52"/>
  <c r="R44"/>
  <c r="E25"/>
  <c r="E55" s="1"/>
  <c r="C25"/>
  <c r="B14" i="48" s="1"/>
  <c r="J26" i="14"/>
  <c r="I26"/>
  <c r="H26"/>
  <c r="F20" i="18" l="1"/>
  <c r="G88" i="14"/>
  <c r="G18" i="59" s="1"/>
  <c r="G20" s="1"/>
  <c r="L90" i="14"/>
  <c r="L18" i="59"/>
  <c r="L20" s="1"/>
  <c r="N78" i="14"/>
  <c r="N9" i="59"/>
  <c r="N10" s="1"/>
  <c r="G22" i="14"/>
  <c r="D14" i="48"/>
  <c r="K78" i="14"/>
  <c r="H90"/>
  <c r="H18" i="59"/>
  <c r="M77" i="14"/>
  <c r="M9" i="59" s="1"/>
  <c r="H9" i="18"/>
  <c r="D22" i="14"/>
  <c r="L22"/>
  <c r="E10" i="59"/>
  <c r="G77" i="14"/>
  <c r="G9" i="59" s="1"/>
  <c r="G10" s="1"/>
  <c r="P28" i="48"/>
  <c r="I77" i="14"/>
  <c r="I9" i="59" s="1"/>
  <c r="O10"/>
  <c r="H20"/>
  <c r="M22" i="14"/>
  <c r="K20" i="59"/>
  <c r="C98" i="18"/>
  <c r="C101" s="1"/>
  <c r="D13" i="15"/>
  <c r="C16" i="16"/>
  <c r="P22" i="14"/>
  <c r="E20" i="59"/>
  <c r="C13" i="15"/>
  <c r="B16" i="16"/>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G90" i="14"/>
  <c r="Q77"/>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G5" i="48"/>
  <c r="H10" i="14"/>
  <c r="H16" s="1"/>
  <c r="M78"/>
  <c r="M8" i="59"/>
  <c r="M10" s="1"/>
  <c r="O8" i="18"/>
  <c r="O10" s="1"/>
  <c r="J87" i="14"/>
  <c r="I10" i="18"/>
  <c r="Q76" i="14"/>
  <c r="D78"/>
  <c r="I78"/>
  <c r="B76"/>
  <c r="J10" i="18"/>
  <c r="J76" i="14"/>
  <c r="I87"/>
  <c r="I17" i="59" s="1"/>
  <c r="I20" s="1"/>
  <c r="I20" i="18"/>
  <c r="Q87" i="14"/>
  <c r="D90"/>
  <c r="A31" i="23"/>
  <c r="A32"/>
  <c r="A33"/>
  <c r="B78" i="14" l="1"/>
  <c r="B8" i="59"/>
  <c r="B10" s="1"/>
  <c r="J78" i="14"/>
  <c r="J8" i="59"/>
  <c r="J10" s="1"/>
  <c r="J90" i="14"/>
  <c r="J17" i="59"/>
  <c r="J20" s="1"/>
  <c r="Q90" i="14"/>
  <c r="B17" i="6" s="1"/>
  <c r="P17" i="59"/>
  <c r="P20" s="1"/>
  <c r="Q78" i="14"/>
  <c r="B9" i="6" s="1"/>
  <c r="P8" i="59"/>
  <c r="P10" s="1"/>
  <c r="C87" i="14"/>
  <c r="B87"/>
  <c r="I90"/>
  <c r="C76"/>
  <c r="B11" i="44"/>
  <c r="B25"/>
  <c r="B24"/>
  <c r="C90" i="14" l="1"/>
  <c r="C17" i="59"/>
  <c r="C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6"/>
  <c r="H32"/>
  <c r="H28"/>
  <c r="H29"/>
  <c r="H25"/>
  <c r="H24"/>
  <c r="H22"/>
  <c r="H30"/>
  <c r="H23"/>
  <c r="D11" i="14"/>
  <c r="C4" i="48"/>
  <c r="G30"/>
  <c r="G24"/>
  <c r="G25"/>
  <c r="G29"/>
  <c r="G26"/>
  <c r="G32"/>
  <c r="G22"/>
  <c r="G23"/>
  <c r="C11" i="14"/>
  <c r="B4" i="48"/>
  <c r="F24"/>
  <c r="F32"/>
  <c r="F29"/>
  <c r="F27"/>
  <c r="F30"/>
  <c r="F31"/>
  <c r="F28"/>
  <c r="N30"/>
  <c r="N27"/>
  <c r="N31"/>
  <c r="N32"/>
  <c r="N24"/>
  <c r="N29"/>
  <c r="N28"/>
  <c r="C19" i="14"/>
  <c r="B10" i="48"/>
  <c r="E32"/>
  <c r="E31"/>
  <c r="E28"/>
  <c r="E30"/>
  <c r="E24"/>
  <c r="E29"/>
  <c r="M32"/>
  <c r="M26"/>
  <c r="M25"/>
  <c r="M24"/>
  <c r="M29"/>
  <c r="M30"/>
  <c r="M22"/>
  <c r="M23"/>
  <c r="L10" i="14"/>
  <c r="L16" s="1"/>
  <c r="L27" s="1"/>
  <c r="K5" i="48"/>
  <c r="D30"/>
  <c r="D31"/>
  <c r="D29"/>
  <c r="D24"/>
  <c r="D28"/>
  <c r="D32"/>
  <c r="L32"/>
  <c r="L27"/>
  <c r="L24"/>
  <c r="L28"/>
  <c r="L22"/>
  <c r="L29"/>
  <c r="L31"/>
  <c r="L30"/>
  <c r="Q10" i="14"/>
  <c r="P5" i="48"/>
  <c r="P23" s="1"/>
  <c r="K28"/>
  <c r="K32"/>
  <c r="K27"/>
  <c r="K30"/>
  <c r="K26"/>
  <c r="K31"/>
  <c r="K24"/>
  <c r="K25"/>
  <c r="K29"/>
  <c r="K22"/>
  <c r="B7"/>
  <c r="C24" i="14"/>
  <c r="C26" s="1"/>
  <c r="J30" i="48"/>
  <c r="J24"/>
  <c r="J29"/>
  <c r="J32"/>
  <c r="J31"/>
  <c r="J28"/>
  <c r="J27"/>
  <c r="P4"/>
  <c r="Q11" i="14"/>
  <c r="P11"/>
  <c r="O4" i="48"/>
  <c r="I22"/>
  <c r="I26"/>
  <c r="I25"/>
  <c r="I32"/>
  <c r="I29"/>
  <c r="I28"/>
  <c r="I24"/>
  <c r="I31"/>
  <c r="I27"/>
  <c r="I30"/>
  <c r="J15" i="16"/>
  <c r="G24" i="1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P15"/>
  <c r="P22"/>
  <c r="P33" s="1"/>
  <c r="E9"/>
  <c r="E27" s="1"/>
  <c r="F20" i="14"/>
  <c r="F22" s="1"/>
  <c r="D9" i="48"/>
  <c r="D27" s="1"/>
  <c r="E20" i="14"/>
  <c r="E22" s="1"/>
  <c r="P10"/>
  <c r="O5" i="48"/>
  <c r="O23" s="1"/>
  <c r="J7"/>
  <c r="J25" s="1"/>
  <c r="K24" i="14"/>
  <c r="K26" s="1"/>
  <c r="C20"/>
  <c r="B9" i="48"/>
  <c r="O22"/>
  <c r="G11" i="14"/>
  <c r="F4" i="48"/>
  <c r="F22" s="1"/>
  <c r="K23"/>
  <c r="K33" s="1"/>
  <c r="K15"/>
  <c r="M12" i="22"/>
  <c r="M13" i="48"/>
  <c r="M31" s="1"/>
  <c r="N18" i="14"/>
  <c r="G13" i="48"/>
  <c r="H18" i="14"/>
  <c r="R18" s="1"/>
  <c r="H13" i="48"/>
  <c r="H31" s="1"/>
  <c r="I18" i="14"/>
  <c r="P22" i="16"/>
  <c r="Q43" i="14" s="1"/>
  <c r="Q13"/>
  <c r="Q16" s="1"/>
  <c r="Q27" s="1"/>
  <c r="Q63" s="1"/>
  <c r="P8" i="48"/>
  <c r="P26" s="1"/>
  <c r="J63" i="14"/>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E12" l="1"/>
  <c r="F41" i="14" s="1"/>
  <c r="F11"/>
  <c r="E4" i="48"/>
  <c r="O11" i="14"/>
  <c r="N4" i="48"/>
  <c r="N22" s="1"/>
  <c r="K11" i="14"/>
  <c r="J4" i="48"/>
  <c r="E7"/>
  <c r="E25" s="1"/>
  <c r="F24" i="14"/>
  <c r="F26" s="1"/>
  <c r="M9" i="48"/>
  <c r="N20" i="14"/>
  <c r="M10" i="48"/>
  <c r="M28" s="1"/>
  <c r="N19" i="14"/>
  <c r="N22" s="1"/>
  <c r="N27" s="1"/>
  <c r="O22" i="16"/>
  <c r="P43" i="14" s="1"/>
  <c r="P46" s="1"/>
  <c r="P61" s="1"/>
  <c r="P13"/>
  <c r="P16" s="1"/>
  <c r="P27" s="1"/>
  <c r="O8" i="48"/>
  <c r="H19" i="14"/>
  <c r="G10" i="48"/>
  <c r="G31"/>
  <c r="Q13"/>
  <c r="I23"/>
  <c r="I33" s="1"/>
  <c r="I15"/>
  <c r="G14" i="22"/>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K10"/>
  <c r="J5" i="48"/>
  <c r="J23" s="1"/>
  <c r="E5"/>
  <c r="E23" s="1"/>
  <c r="F10" i="14"/>
  <c r="J22" i="48"/>
  <c r="I20" i="14"/>
  <c r="I22" s="1"/>
  <c r="I27" s="1"/>
  <c r="H9" i="48"/>
  <c r="O26"/>
  <c r="O33" s="1"/>
  <c r="O15"/>
  <c r="H20" i="14"/>
  <c r="G9" i="48"/>
  <c r="G28"/>
  <c r="Q10"/>
  <c r="M27"/>
  <c r="M33" s="1"/>
  <c r="M15"/>
  <c r="E22"/>
  <c r="Q4"/>
  <c r="R19" i="14"/>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2" l="1"/>
  <c r="H27" s="1"/>
  <c r="H63" s="1"/>
  <c r="R20"/>
  <c r="J22" i="16"/>
  <c r="K43" i="14" s="1"/>
  <c r="K13"/>
  <c r="K16" s="1"/>
  <c r="K27" s="1"/>
  <c r="J8" i="48"/>
  <c r="J26" s="1"/>
  <c r="G27"/>
  <c r="G33" s="1"/>
  <c r="G15"/>
  <c r="Q9"/>
  <c r="F13" i="14"/>
  <c r="E8" i="48"/>
  <c r="H27"/>
  <c r="H33" s="1"/>
  <c r="H15"/>
  <c r="F46" i="14"/>
  <c r="F61" s="1"/>
  <c r="F63" s="1"/>
  <c r="R22"/>
  <c r="F16"/>
  <c r="F27" s="1"/>
  <c r="K46"/>
  <c r="K61" s="1"/>
  <c r="J33" i="48"/>
  <c r="I63" i="14"/>
  <c r="O13"/>
  <c r="N8" i="48"/>
  <c r="N26" s="1"/>
  <c r="F8"/>
  <c r="G13" i="14"/>
  <c r="E26" i="48" l="1"/>
  <c r="E33" s="1"/>
  <c r="E15"/>
  <c r="R13" i="14"/>
  <c r="J15" i="48"/>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<sst xmlns="http://schemas.openxmlformats.org/spreadsheetml/2006/main" count="2419" uniqueCount="907">
  <si>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</si>
  <si>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</si>
  <si>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</si>
  <si>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</si>
  <si>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</si>
  <si>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</si>
  <si>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</si>
  <si>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</si>
  <si>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</si>
  <si>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</si>
  <si>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</si>
  <si>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</si>
  <si>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</si>
  <si>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</si>
  <si>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</si>
  <si>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</si>
  <si>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</si>
  <si>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</si>
  <si>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</si>
  <si>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</si>
  <si>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</si>
  <si>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</si>
  <si>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</si>
  <si>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</si>
  <si>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</si>
  <si>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</si>
  <si>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</si>
  <si>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</si>
  <si>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</si>
  <si>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</si>
  <si>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</si>
  <si>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</si>
  <si>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</si>
  <si>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</si>
  <si>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</si>
  <si>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</si>
  <si>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</si>
  <si>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</si>
  <si>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</si>
  <si>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</si>
  <si>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</si>
  <si>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</si>
  <si>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</si>
  <si>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</si>
  <si>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</si>
  <si>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</si>
  <si>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</si>
  <si>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</si>
  <si>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</si>
  <si>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</si>
  <si>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</si>
  <si>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</si>
  <si>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</si>
  <si>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</si>
  <si>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</si>
  <si>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</si>
  <si>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</si>
  <si>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</si>
  <si>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</si>
  <si>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</si>
  <si>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</si>
  <si>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</si>
  <si>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</si>
  <si>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</si>
  <si>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</si>
  <si>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</si>
  <si>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</si>
  <si>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</si>
  <si>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</si>
  <si>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</si>
  <si>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</si>
  <si>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</si>
  <si>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</si>
  <si>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</si>
  <si>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</si>
  <si>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</si>
  <si>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</si>
  <si>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</si>
  <si>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</si>
  <si>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</si>
  <si>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</si>
  <si>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</si>
  <si>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</si>
  <si>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</si>
  <si>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</si>
  <si>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</si>
  <si>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</si>
  <si>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</si>
  <si>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</si>
  <si>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</si>
  <si>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</si>
  <si>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</si>
  <si>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</si>
  <si>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</si>
  <si>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</si>
  <si>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</si>
  <si>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</si>
  <si>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</si>
  <si>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</si>
  <si>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</si>
  <si>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</si>
  <si>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</si>
  <si>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</si>
  <si>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</si>
  <si>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</si>
  <si>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</si>
  <si>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</si>
  <si>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</si>
  <si>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</si>
  <si>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</si>
  <si>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</si>
  <si>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</si>
  <si>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</si>
  <si>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</si>
  <si>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</si>
  <si>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</si>
  <si>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</si>
  <si>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</si>
  <si>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</si>
  <si>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</si>
  <si>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</si>
  <si>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</si>
  <si>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</si>
  <si>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</si>
  <si>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</si>
  <si>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</si>
  <si>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</si>
  <si>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</si>
  <si>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</si>
  <si>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</si>
  <si>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</si>
  <si>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</si>
  <si>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</si>
  <si>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</si>
  <si>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</si>
  <si>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</si>
  <si>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</si>
  <si>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</si>
  <si>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</si>
  <si>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</si>
  <si>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</si>
  <si>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</si>
  <si>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</si>
  <si>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</si>
  <si>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</si>
  <si>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</si>
  <si>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</si>
  <si>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</si>
  <si>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</si>
  <si>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</si>
  <si>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</si>
  <si>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</si>
  <si>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</si>
  <si>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</si>
  <si>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</si>
  <si>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</si>
  <si>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</si>
  <si>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</si>
  <si>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</si>
  <si>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</si>
  <si>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</si>
  <si>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</si>
  <si>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</si>
  <si>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</si>
  <si>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</si>
  <si>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</si>
  <si>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</si>
  <si>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</si>
  <si>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</si>
  <si>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</si>
  <si>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</si>
  <si>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</si>
  <si>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</si>
  <si>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</si>
  <si>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</si>
  <si>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</si>
  <si>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</si>
  <si>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</si>
  <si>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</si>
  <si>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</si>
  <si>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</si>
  <si>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</si>
  <si>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</si>
  <si>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</si>
  <si>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</si>
  <si>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</si>
  <si>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</si>
  <si>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</si>
  <si>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</si>
  <si>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</si>
  <si>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</si>
  <si>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</si>
  <si>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</si>
  <si>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</si>
  <si>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</si>
  <si>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</si>
  <si>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</si>
  <si>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</si>
  <si>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</si>
  <si>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</si>
  <si>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</si>
  <si>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</si>
  <si>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</si>
  <si>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</si>
  <si>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</si>
  <si>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</si>
  <si>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</si>
  <si>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</si>
  <si>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</si>
  <si>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</si>
  <si>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</si>
  <si>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</si>
  <si>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</si>
  <si>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</si>
  <si>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</si>
  <si>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</si>
  <si>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</si>
  <si>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</si>
  <si>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</si>
  <si>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</si>
  <si>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</si>
  <si>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</si>
  <si>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</si>
  <si>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</si>
  <si>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</si>
  <si>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</si>
  <si>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</si>
  <si>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</si>
  <si>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</si>
  <si>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</si>
  <si>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</si>
  <si>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</si>
  <si>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</si>
  <si>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</si>
  <si>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</si>
  <si>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</si>
  <si>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</si>
  <si>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</si>
  <si>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</si>
  <si>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</si>
  <si>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</si>
  <si>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</si>
  <si>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</si>
  <si>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</si>
  <si>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</si>
  <si>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</si>
  <si>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</si>
  <si>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</si>
  <si>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</si>
  <si>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</si>
  <si>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</si>
  <si>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</si>
  <si>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</si>
  <si>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</si>
  <si>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</si>
  <si>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</si>
  <si>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</si>
  <si>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</si>
  <si>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</si>
  <si>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</si>
  <si>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</si>
  <si>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</si>
  <si>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</si>
  <si>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</si>
  <si>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</si>
  <si>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</si>
  <si>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</si>
  <si>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</si>
  <si>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</si>
  <si>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</si>
  <si>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</si>
  <si>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</si>
  <si>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</si>
  <si>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</si>
  <si>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</si>
  <si>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</si>
  <si>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</si>
  <si>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</si>
  <si>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</si>
  <si>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</si>
  <si>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</si>
  <si>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</si>
  <si>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</si>
  <si>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</si>
  <si>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</si>
  <si>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</si>
  <si>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</si>
  <si>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</si>
  <si>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</si>
  <si>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</si>
  <si>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</si>
  <si>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</si>
  <si>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</si>
  <si>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</si>
  <si>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</si>
  <si>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</si>
  <si>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</si>
  <si>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</si>
  <si>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</si>
  <si>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</si>
  <si>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</si>
  <si>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</si>
  <si>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</si>
  <si>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</si>
  <si>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</si>
  <si>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</si>
  <si>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</si>
  <si>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</si>
  <si>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</si>
  <si>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</si>
  <si>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</si>
  <si>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</si>
  <si>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</si>
  <si>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</si>
  <si>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</si>
  <si>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</si>
  <si>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</si>
  <si>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</si>
  <si>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</si>
  <si>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</si>
  <si>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</si>
  <si>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</si>
  <si>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</si>
  <si>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</si>
  <si>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</si>
  <si>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</si>
  <si>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</si>
  <si>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</si>
  <si>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</si>
  <si>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</si>
  <si>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</si>
  <si>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</si>
  <si>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</si>
  <si>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</si>
  <si>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</si>
  <si>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</si>
  <si>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</si>
  <si>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</si>
  <si>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</si>
  <si>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</si>
  <si>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</si>
  <si>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</si>
  <si>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</si>
  <si>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</si>
  <si>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</si>
  <si>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</si>
  <si>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</si>
  <si>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</si>
  <si>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</si>
  <si>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</si>
  <si>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</si>
  <si>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</si>
  <si>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</si>
  <si>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</si>
  <si>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</si>
  <si>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</si>
  <si>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</si>
  <si>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</si>
  <si>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</si>
  <si>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</si>
  <si>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</si>
  <si>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</si>
  <si>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</si>
  <si>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</si>
  <si>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</si>
  <si>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</si>
  <si>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</si>
  <si>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</si>
  <si>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</si>
  <si>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</si>
  <si>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</si>
  <si>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</si>
  <si>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</si>
  <si>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</si>
  <si>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</si>
  <si>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</si>
  <si>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</si>
  <si>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</si>
  <si>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</si>
  <si>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</si>
  <si>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</si>
  <si>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</si>
  <si>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</si>
  <si>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</si>
  <si>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</si>
  <si>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</si>
  <si>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</si>
  <si>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</si>
  <si>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</si>
  <si>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</si>
  <si>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</si>
  <si>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</si>
  <si>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</si>
  <si>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</si>
  <si>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</si>
  <si>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</si>
  <si>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</si>
  <si>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</si>
  <si>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</si>
  <si>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</si>
  <si>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</si>
  <si>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</si>
  <si>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</si>
  <si>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</si>
  <si>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</si>
  <si>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</si>
  <si>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</si>
  <si>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</si>
  <si>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</si>
  <si>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</si>
  <si>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</si>
  <si>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</si>
  <si>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</si>
  <si>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</si>
  <si>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</si>
  <si>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</si>
  <si>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</si>
  <si>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</si>
  <si>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</si>
  <si>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</si>
  <si>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</si>
  <si>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</si>
  <si>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</si>
  <si>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</si>
  <si>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</si>
  <si>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</si>
  <si>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</si>
  <si>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</si>
  <si>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</si>
  <si>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</si>
  <si>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</si>
  <si>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</si>
  <si>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</si>
  <si>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</si>
  <si>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</si>
  <si>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</si>
  <si>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</si>
  <si>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</si>
  <si>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</si>
  <si>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</si>
  <si>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</si>
  <si>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</si>
  <si>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</si>
  <si>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</si>
  <si>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</si>
  <si>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</si>
  <si>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</si>
  <si>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</si>
  <si>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</si>
  <si>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</si>
  <si>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</si>
  <si>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</si>
  <si>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</si>
  <si>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</si>
  <si>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</si>
  <si>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</si>
  <si>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</si>
  <si>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</si>
  <si>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</si>
  <si>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</si>
  <si>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</si>
  <si>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</si>
  <si>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</si>
  <si>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</si>
  <si>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</si>
  <si>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</si>
  <si>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</si>
  <si>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</si>
  <si>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</si>
  <si>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</si>
  <si>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</si>
  <si>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</si>
  <si>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</si>
  <si>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</si>
  <si>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</si>
  <si>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</si>
  <si>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</si>
  <si>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</si>
  <si>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</si>
  <si>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</si>
  <si>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</si>
  <si>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</si>
  <si>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</si>
  <si>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</si>
  <si>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</si>
  <si>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</si>
  <si>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</si>
  <si>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</si>
  <si>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</si>
  <si>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</si>
  <si>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</si>
  <si>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</si>
  <si>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</si>
  <si>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</si>
  <si>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</si>
  <si>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</si>
  <si>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</si>
  <si>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</si>
  <si>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</si>
  <si>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</si>
  <si>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</si>
  <si>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</si>
  <si>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</si>
  <si>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</si>
  <si>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</si>
  <si>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</si>
  <si>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</si>
  <si>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</si>
  <si>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</si>
  <si>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</si>
  <si>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</si>
  <si>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</si>
  <si>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</si>
  <si>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</si>
  <si>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</si>
  <si>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</si>
  <si>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</si>
  <si>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</si>
  <si>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</si>
  <si>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</si>
  <si>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</si>
  <si>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</si>
  <si>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</si>
  <si>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</si>
  <si>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</si>
  <si>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</si>
  <si>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</si>
  <si>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</si>
  <si>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</si>
  <si>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</si>
  <si>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</si>
  <si>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</si>
  <si>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</si>
  <si>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</si>
  <si>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</si>
  <si>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</si>
  <si>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</si>
  <si>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</si>
  <si>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</si>
  <si>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</si>
  <si>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</si>
  <si>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</si>
  <si>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</si>
  <si>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</si>
  <si>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</si>
  <si>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</si>
  <si>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</si>
  <si>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</si>
  <si>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</si>
  <si>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</si>
  <si>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</si>
  <si>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</si>
  <si>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</si>
  <si>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</si>
  <si>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</si>
  <si>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</si>
  <si>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</si>
  <si>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</si>
  <si>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</si>
  <si>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</si>
  <si>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</si>
  <si>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</si>
  <si>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</si>
  <si>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</si>
  <si>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</si>
  <si>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</si>
  <si>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</si>
  <si>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</si>
  <si>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</si>
  <si>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</si>
  <si>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</si>
  <si>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</si>
  <si>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</si>
  <si>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</si>
  <si>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</si>
  <si>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</si>
  <si>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</si>
  <si>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</si>
  <si>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</si>
  <si>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</si>
  <si>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</si>
  <si>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</si>
  <si>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</si>
  <si>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</si>
  <si>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</si>
  <si>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</si>
  <si>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</si>
  <si>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</si>
  <si>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</si>
  <si>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</si>
  <si>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</si>
  <si>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</si>
  <si>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</si>
  <si>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</si>
  <si>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</si>
  <si>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</si>
  <si>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</si>
  <si>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</si>
  <si>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</si>
  <si>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</si>
  <si>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</si>
  <si>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</si>
  <si>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</si>
  <si>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</si>
  <si>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</si>
  <si>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</si>
  <si>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</si>
  <si>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</si>
  <si>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</si>
  <si>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</si>
  <si>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</si>
  <si>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</si>
  <si>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</si>
  <si>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</si>
  <si>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</si>
  <si>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</si>
  <si>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</si>
  <si>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</si>
  <si>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</si>
  <si>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</si>
  <si>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</si>
  <si>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</si>
  <si>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</si>
  <si>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</si>
  <si>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</si>
  <si>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</si>
  <si>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</si>
  <si>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</si>
  <si>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</si>
  <si>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</si>
  <si>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</si>
  <si>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</si>
  <si>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</si>
  <si>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</si>
  <si>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</si>
  <si>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</si>
  <si>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</si>
  <si>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</si>
  <si>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</si>
  <si>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</si>
  <si>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</si>
  <si>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</si>
  <si>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</si>
  <si>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</si>
  <si>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</si>
  <si>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</si>
  <si>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</si>
  <si>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</si>
  <si>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</si>
  <si>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</si>
  <si>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</si>
  <si>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</si>
  <si>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</si>
  <si>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</si>
  <si>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</si>
  <si>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</si>
  <si>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</si>
  <si>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</si>
  <si>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</si>
  <si>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</si>
  <si>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</si>
  <si>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</si>
  <si>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</si>
  <si>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</si>
  <si>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</si>
  <si>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</si>
  <si>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</si>
  <si>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</si>
  <si>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</si>
  <si>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</si>
  <si>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</si>
  <si>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</si>
  <si>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</si>
  <si>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</si>
  <si>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</si>
  <si>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</si>
  <si>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</si>
  <si>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</si>
  <si>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</si>
  <si>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</si>
  <si>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</si>
  <si>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</si>
  <si>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</si>
  <si>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</si>
  <si>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</si>
  <si>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</si>
  <si>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</si>
  <si>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</si>
  <si>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</si>
  <si>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</si>
  <si>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</si>
  <si>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</si>
  <si>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</si>
  <si>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</si>
  <si>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</si>
  <si>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</si>
  <si>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</si>
  <si>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</si>
  <si>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</si>
  <si>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</si>
  <si>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</si>
  <si>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</si>
  <si>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</si>
  <si>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</si>
  <si>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</si>
  <si>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</si>
  <si>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</si>
  <si>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</si>
  <si>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</si>
  <si>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</si>
  <si>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</si>
  <si>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</si>
  <si>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</si>
  <si>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</si>
  <si>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</si>
  <si>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</si>
  <si>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</si>
  <si>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</si>
  <si>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</si>
  <si>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</si>
  <si>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</si>
  <si>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</si>
  <si>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</si>
  <si>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</si>
  <si>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</si>
  <si>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</si>
  <si>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</si>
  <si>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</si>
  <si>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</si>
  <si>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</si>
  <si>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</si>
  <si>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</si>
  <si>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</si>
  <si>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</si>
  <si>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</si>
  <si>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</si>
  <si>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</si>
  <si>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</si>
  <si>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</si>
  <si>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</si>
  <si>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</si>
  <si>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</si>
  <si>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</si>
  <si>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</si>
  <si>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</si>
  <si>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</si>
  <si>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</si>
  <si>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</si>
  <si>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</si>
  <si>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</si>
  <si>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</si>
  <si>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</si>
  <si>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</si>
  <si>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</si>
  <si>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</si>
  <si>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</si>
  <si>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</si>
  <si>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</si>
  <si>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</si>
  <si>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</si>
  <si>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</si>
  <si>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</si>
  <si>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</si>
  <si>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</si>
  <si>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</si>
  <si>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</si>
  <si>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</si>
  <si>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</si>
  <si>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</si>
  <si>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</si>
  <si>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</si>
  <si>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</si>
  <si>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</si>
  <si>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</si>
  <si>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</si>
  <si>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</si>
  <si>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</si>
  <si>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</si>
  <si>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</si>
  <si>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</si>
  <si>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</si>
  <si>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</si>
  <si>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</si>
  <si>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</si>
  <si>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</si>
  <si>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</si>
  <si>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</si>
  <si>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</si>
  <si>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</si>
  <si>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</si>
  <si>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</si>
  <si>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</si>
  <si>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</si>
  <si>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</si>
  <si>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</si>
  <si>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</si>
  <si>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</si>
  <si>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</si>
  <si>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</si>
  <si>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</si>
  <si>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</si>
  <si>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</si>
  <si>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</si>
  <si>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</si>
  <si>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</si>
  <si>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</si>
  <si>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</si>
  <si>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</si>
  <si>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</si>
  <si>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</si>
  <si>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</si>
  <si>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</si>
  <si>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</si>
  <si>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</si>
  <si>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</si>
  <si>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</si>
  <si>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</si>
  <si>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</si>
  <si>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</si>
  <si>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</si>
  <si>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</si>
  <si>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</si>
  <si>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</si>
  <si>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</si>
  <si>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</si>
  <si>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</si>
  <si>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</si>
  <si>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</si>
  <si>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</si>
  <si>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</si>
  <si>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</si>
  <si>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</si>
  <si>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</si>
  <si>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</si>
  <si>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</si>
  <si>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</si>
  <si>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</si>
  <si>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</si>
  <si>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</si>
  <si>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</si>
  <si>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</si>
  <si>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</si>
  <si>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</si>
  <si>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</si>
  <si>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</si>
  <si>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</si>
  <si>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</si>
  <si>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</si>
  <si>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</si>
  <si>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</si>
  <si>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</si>
  <si>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</si>
  <si>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</si>
  <si>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</si>
  <si>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</si>
  <si>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</si>
  <si>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</si>
  <si>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</si>
  <si>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</si>
  <si>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</si>
  <si>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</si>
  <si>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</si>
  <si>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</si>
  <si>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</si>
  <si>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</si>
  <si>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</si>
  <si>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</si>
  <si>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</si>
  <si>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</si>
  <si>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</si>
  <si>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</si>
  <si>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</si>
  <si>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</si>
  <si>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</si>
  <si>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</si>
  <si>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</si>
  <si>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</si>
  <si>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</si>
  <si>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</si>
  <si>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</si>
  <si>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</si>
  <si>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</si>
  <si>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</si>
  <si>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</si>
  <si>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</si>
  <si>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</si>
  <si>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</si>
  <si>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</si>
  <si>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</si>
  <si>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</si>
  <si>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</si>
  <si>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</si>
  <si>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</si>
  <si>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</si>
  <si>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</si>
  <si>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</si>
  <si>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</si>
  <si>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</si>
  <si>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</si>
  <si>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11029</t>
  </si>
  <si>
    <t>MORTSEL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</si>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</sst>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164996.12256128475</c:v>
                </c:pt>
                <c:pt idx="1">
                  <c:v>78902.40184082347</c:v>
                </c:pt>
                <c:pt idx="2">
                  <c:v>1075.3620000000001</c:v>
                </c:pt>
                <c:pt idx="3">
                  <c:v>827.93397782683667</c:v>
                </c:pt>
                <c:pt idx="4">
                  <c:v>359581.72980524716</c:v>
                </c:pt>
                <c:pt idx="5">
                  <c:v>55075.875903514243</c:v>
                </c:pt>
                <c:pt idx="6">
                  <c:v>4115.2671912071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164996.12256128475</c:v>
                </c:pt>
                <c:pt idx="1">
                  <c:v>78902.40184082347</c:v>
                </c:pt>
                <c:pt idx="2">
                  <c:v>1075.3620000000001</c:v>
                </c:pt>
                <c:pt idx="3">
                  <c:v>827.93397782683667</c:v>
                </c:pt>
                <c:pt idx="4">
                  <c:v>359581.72980524716</c:v>
                </c:pt>
                <c:pt idx="5">
                  <c:v>55075.875903514243</c:v>
                </c:pt>
                <c:pt idx="6">
                  <c:v>4115.2671912071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33213.069069065918</c:v>
                </c:pt>
                <c:pt idx="2">
                  <c:v>16246.804116410056</c:v>
                </c:pt>
                <c:pt idx="3">
                  <c:v>230.15134387211859</c:v>
                </c:pt>
                <c:pt idx="4">
                  <c:v>209.19590788202763</c:v>
                </c:pt>
                <c:pt idx="5">
                  <c:v>72656.281054749008</c:v>
                </c:pt>
                <c:pt idx="6">
                  <c:v>13785.561228811124</c:v>
                </c:pt>
                <c:pt idx="7">
                  <c:v>979.44427357917107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33213.069069065918</c:v>
                </c:pt>
                <c:pt idx="2">
                  <c:v>16246.804116410056</c:v>
                </c:pt>
                <c:pt idx="3">
                  <c:v>230.15134387211859</c:v>
                </c:pt>
                <c:pt idx="4">
                  <c:v>209.19590788202763</c:v>
                </c:pt>
                <c:pt idx="5">
                  <c:v>72656.281054749008</c:v>
                </c:pt>
                <c:pt idx="6">
                  <c:v>13785.561228811124</c:v>
                </c:pt>
                <c:pt idx="7">
                  <c:v>979.44427357917107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11029</v>
      </c>
      <c r="B6" s="416"/>
      <c r="C6" s="417"/>
    </row>
    <row r="7" spans="1:7" s="414" customFormat="1" ht="15.75" customHeight="1">
      <c r="A7" s="418" t="str">
        <f>txtMunicipality</f>
        <v>MORTSEL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0.21402220263698976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0.21402220263698976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10900</v>
      </c>
      <c r="C9" s="342">
        <v>10776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103</v>
      </c>
    </row>
    <row r="15" spans="1:6">
      <c r="A15" s="348" t="s">
        <v>184</v>
      </c>
      <c r="B15" s="334">
        <v>2</v>
      </c>
    </row>
    <row r="16" spans="1:6">
      <c r="A16" s="348" t="s">
        <v>6</v>
      </c>
      <c r="B16" s="334">
        <v>182</v>
      </c>
    </row>
    <row r="17" spans="1:6">
      <c r="A17" s="348" t="s">
        <v>7</v>
      </c>
      <c r="B17" s="334">
        <v>1</v>
      </c>
    </row>
    <row r="18" spans="1:6">
      <c r="A18" s="348" t="s">
        <v>8</v>
      </c>
      <c r="B18" s="334">
        <v>92</v>
      </c>
    </row>
    <row r="19" spans="1:6">
      <c r="A19" s="348" t="s">
        <v>9</v>
      </c>
      <c r="B19" s="334">
        <v>68</v>
      </c>
    </row>
    <row r="20" spans="1:6">
      <c r="A20" s="348" t="s">
        <v>10</v>
      </c>
      <c r="B20" s="334">
        <v>66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0</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70857.751230541704</v>
      </c>
      <c r="E38" s="334">
        <v>3</v>
      </c>
      <c r="F38" s="334">
        <v>10587.23</v>
      </c>
    </row>
    <row r="39" spans="1:6">
      <c r="A39" s="348" t="s">
        <v>30</v>
      </c>
      <c r="B39" s="348" t="s">
        <v>31</v>
      </c>
      <c r="C39" s="334">
        <v>9299</v>
      </c>
      <c r="D39" s="334">
        <v>129812502.89735401</v>
      </c>
      <c r="E39" s="334">
        <v>11210</v>
      </c>
      <c r="F39" s="334">
        <v>35338235.916000001</v>
      </c>
    </row>
    <row r="40" spans="1:6">
      <c r="A40" s="348" t="s">
        <v>30</v>
      </c>
      <c r="B40" s="348" t="s">
        <v>29</v>
      </c>
      <c r="C40" s="334">
        <v>0</v>
      </c>
      <c r="D40" s="334">
        <v>0</v>
      </c>
      <c r="E40" s="334">
        <v>0</v>
      </c>
      <c r="F40" s="334">
        <v>0</v>
      </c>
    </row>
    <row r="41" spans="1:6">
      <c r="A41" s="348" t="s">
        <v>32</v>
      </c>
      <c r="B41" s="348" t="s">
        <v>33</v>
      </c>
      <c r="C41" s="334">
        <v>63</v>
      </c>
      <c r="D41" s="334">
        <v>982164.88917457499</v>
      </c>
      <c r="E41" s="334">
        <v>111</v>
      </c>
      <c r="F41" s="334">
        <v>878949.4</v>
      </c>
    </row>
    <row r="42" spans="1:6">
      <c r="A42" s="348" t="s">
        <v>32</v>
      </c>
      <c r="B42" s="348" t="s">
        <v>34</v>
      </c>
      <c r="C42" s="334">
        <v>8</v>
      </c>
      <c r="D42" s="334">
        <v>391314972.03442198</v>
      </c>
      <c r="E42" s="334">
        <v>3</v>
      </c>
      <c r="F42" s="334">
        <v>100468</v>
      </c>
    </row>
    <row r="43" spans="1:6">
      <c r="A43" s="348" t="s">
        <v>32</v>
      </c>
      <c r="B43" s="348" t="s">
        <v>35</v>
      </c>
      <c r="C43" s="334">
        <v>0</v>
      </c>
      <c r="D43" s="334">
        <v>0</v>
      </c>
      <c r="E43" s="334">
        <v>0</v>
      </c>
      <c r="F43" s="334">
        <v>0</v>
      </c>
    </row>
    <row r="44" spans="1:6">
      <c r="A44" s="348" t="s">
        <v>32</v>
      </c>
      <c r="B44" s="348" t="s">
        <v>36</v>
      </c>
      <c r="C44" s="334">
        <v>0</v>
      </c>
      <c r="D44" s="334">
        <v>0</v>
      </c>
      <c r="E44" s="334">
        <v>11</v>
      </c>
      <c r="F44" s="334">
        <v>73728.479999999996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121736.41771419199</v>
      </c>
      <c r="E47" s="334">
        <v>4</v>
      </c>
      <c r="F47" s="334">
        <v>46252.46</v>
      </c>
    </row>
    <row r="48" spans="1:6">
      <c r="A48" s="348" t="s">
        <v>32</v>
      </c>
      <c r="B48" s="348" t="s">
        <v>29</v>
      </c>
      <c r="C48" s="334">
        <v>14</v>
      </c>
      <c r="D48" s="334">
        <v>524173.23079875199</v>
      </c>
      <c r="E48" s="334">
        <v>21</v>
      </c>
      <c r="F48" s="334">
        <v>166167.9</v>
      </c>
    </row>
    <row r="49" spans="1:6">
      <c r="A49" s="348" t="s">
        <v>32</v>
      </c>
      <c r="B49" s="348" t="s">
        <v>40</v>
      </c>
      <c r="C49" s="334">
        <v>0</v>
      </c>
      <c r="D49" s="334">
        <v>0</v>
      </c>
      <c r="E49" s="334">
        <v>0</v>
      </c>
      <c r="F49" s="334">
        <v>0</v>
      </c>
    </row>
    <row r="50" spans="1:6">
      <c r="A50" s="348" t="s">
        <v>32</v>
      </c>
      <c r="B50" s="348" t="s">
        <v>41</v>
      </c>
      <c r="C50" s="334">
        <v>7</v>
      </c>
      <c r="D50" s="334">
        <v>617627.48829730297</v>
      </c>
      <c r="E50" s="334">
        <v>9</v>
      </c>
      <c r="F50" s="334">
        <v>572888.30000000005</v>
      </c>
    </row>
    <row r="51" spans="1:6">
      <c r="A51" s="348" t="s">
        <v>42</v>
      </c>
      <c r="B51" s="348" t="s">
        <v>43</v>
      </c>
      <c r="C51" s="334">
        <v>0</v>
      </c>
      <c r="D51" s="334">
        <v>0</v>
      </c>
      <c r="E51" s="334">
        <v>5</v>
      </c>
      <c r="F51" s="334">
        <v>51453.09</v>
      </c>
    </row>
    <row r="52" spans="1:6">
      <c r="A52" s="348" t="s">
        <v>42</v>
      </c>
      <c r="B52" s="348" t="s">
        <v>29</v>
      </c>
      <c r="C52" s="334">
        <v>3</v>
      </c>
      <c r="D52" s="334">
        <v>59517.8780852052</v>
      </c>
      <c r="E52" s="334">
        <v>2</v>
      </c>
      <c r="F52" s="334">
        <v>157816.70000000001</v>
      </c>
    </row>
    <row r="53" spans="1:6">
      <c r="A53" s="348" t="s">
        <v>44</v>
      </c>
      <c r="B53" s="348" t="s">
        <v>45</v>
      </c>
      <c r="C53" s="334">
        <v>289</v>
      </c>
      <c r="D53" s="334">
        <v>5300125.6947998796</v>
      </c>
      <c r="E53" s="334">
        <v>550</v>
      </c>
      <c r="F53" s="334">
        <v>2091454</v>
      </c>
    </row>
    <row r="54" spans="1:6">
      <c r="A54" s="348" t="s">
        <v>46</v>
      </c>
      <c r="B54" s="348" t="s">
        <v>47</v>
      </c>
      <c r="C54" s="334">
        <v>0</v>
      </c>
      <c r="D54" s="334">
        <v>0</v>
      </c>
      <c r="E54" s="334">
        <v>1</v>
      </c>
      <c r="F54" s="334">
        <v>1075362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90</v>
      </c>
      <c r="D57" s="334">
        <v>2228938.7567189899</v>
      </c>
      <c r="E57" s="334">
        <v>118</v>
      </c>
      <c r="F57" s="334">
        <v>1089933</v>
      </c>
    </row>
    <row r="58" spans="1:6">
      <c r="A58" s="348" t="s">
        <v>49</v>
      </c>
      <c r="B58" s="348" t="s">
        <v>51</v>
      </c>
      <c r="C58" s="334">
        <v>102</v>
      </c>
      <c r="D58" s="334">
        <v>7865494.7904602997</v>
      </c>
      <c r="E58" s="334">
        <v>111</v>
      </c>
      <c r="F58" s="334">
        <v>2697478</v>
      </c>
    </row>
    <row r="59" spans="1:6">
      <c r="A59" s="348" t="s">
        <v>49</v>
      </c>
      <c r="B59" s="348" t="s">
        <v>52</v>
      </c>
      <c r="C59" s="334">
        <v>187</v>
      </c>
      <c r="D59" s="334">
        <v>5207994.5051279897</v>
      </c>
      <c r="E59" s="334">
        <v>293</v>
      </c>
      <c r="F59" s="334">
        <v>6833263</v>
      </c>
    </row>
    <row r="60" spans="1:6">
      <c r="A60" s="348" t="s">
        <v>49</v>
      </c>
      <c r="B60" s="348" t="s">
        <v>53</v>
      </c>
      <c r="C60" s="334">
        <v>85</v>
      </c>
      <c r="D60" s="334">
        <v>10978023.780173801</v>
      </c>
      <c r="E60" s="334">
        <v>145</v>
      </c>
      <c r="F60" s="334">
        <v>3505025</v>
      </c>
    </row>
    <row r="61" spans="1:6">
      <c r="A61" s="348" t="s">
        <v>49</v>
      </c>
      <c r="B61" s="348" t="s">
        <v>54</v>
      </c>
      <c r="C61" s="334">
        <v>268</v>
      </c>
      <c r="D61" s="334">
        <v>13412030.843896501</v>
      </c>
      <c r="E61" s="334">
        <v>518</v>
      </c>
      <c r="F61" s="334">
        <v>5914121</v>
      </c>
    </row>
    <row r="62" spans="1:6">
      <c r="A62" s="348" t="s">
        <v>49</v>
      </c>
      <c r="B62" s="348" t="s">
        <v>55</v>
      </c>
      <c r="C62" s="334">
        <v>18</v>
      </c>
      <c r="D62" s="334">
        <v>734666.04627263895</v>
      </c>
      <c r="E62" s="334">
        <v>30</v>
      </c>
      <c r="F62" s="334">
        <v>594665</v>
      </c>
    </row>
    <row r="63" spans="1:6">
      <c r="A63" s="348" t="s">
        <v>49</v>
      </c>
      <c r="B63" s="348" t="s">
        <v>29</v>
      </c>
      <c r="C63" s="334">
        <v>97</v>
      </c>
      <c r="D63" s="334">
        <v>7544780.0592673002</v>
      </c>
      <c r="E63" s="334">
        <v>99</v>
      </c>
      <c r="F63" s="334">
        <v>8708365</v>
      </c>
    </row>
    <row r="64" spans="1:6">
      <c r="A64" s="348" t="s">
        <v>56</v>
      </c>
      <c r="B64" s="348" t="s">
        <v>57</v>
      </c>
      <c r="C64" s="334">
        <v>0</v>
      </c>
      <c r="D64" s="334">
        <v>0</v>
      </c>
      <c r="E64" s="334">
        <v>0</v>
      </c>
      <c r="F64" s="334">
        <v>0</v>
      </c>
    </row>
    <row r="65" spans="1:6">
      <c r="A65" s="348" t="s">
        <v>56</v>
      </c>
      <c r="B65" s="348" t="s">
        <v>29</v>
      </c>
      <c r="C65" s="334">
        <v>7</v>
      </c>
      <c r="D65" s="334">
        <v>132230.24079559901</v>
      </c>
      <c r="E65" s="334">
        <v>2</v>
      </c>
      <c r="F65" s="334">
        <v>8708.8629999999994</v>
      </c>
    </row>
    <row r="66" spans="1:6">
      <c r="A66" s="348" t="s">
        <v>56</v>
      </c>
      <c r="B66" s="348" t="s">
        <v>58</v>
      </c>
      <c r="C66" s="334">
        <v>0</v>
      </c>
      <c r="D66" s="334">
        <v>0</v>
      </c>
      <c r="E66" s="334">
        <v>18</v>
      </c>
      <c r="F66" s="334">
        <v>249934</v>
      </c>
    </row>
    <row r="67" spans="1:6">
      <c r="A67" s="355" t="s">
        <v>56</v>
      </c>
      <c r="B67" s="355" t="s">
        <v>59</v>
      </c>
      <c r="C67" s="334">
        <v>0</v>
      </c>
      <c r="D67" s="334">
        <v>0</v>
      </c>
      <c r="E67" s="334">
        <v>0</v>
      </c>
      <c r="F67" s="334">
        <v>0</v>
      </c>
    </row>
    <row r="68" spans="1:6">
      <c r="A68" s="341" t="s">
        <v>56</v>
      </c>
      <c r="B68" s="341" t="s">
        <v>60</v>
      </c>
      <c r="C68" s="334">
        <v>0</v>
      </c>
      <c r="D68" s="334">
        <v>0</v>
      </c>
      <c r="E68" s="334">
        <v>14</v>
      </c>
      <c r="F68" s="334">
        <v>1937009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47990019</v>
      </c>
      <c r="E73" s="476">
        <v>46746374.197787844</v>
      </c>
    </row>
    <row r="74" spans="1:6">
      <c r="A74" s="348" t="s">
        <v>64</v>
      </c>
      <c r="B74" s="348" t="s">
        <v>714</v>
      </c>
      <c r="C74" s="1311" t="s">
        <v>716</v>
      </c>
      <c r="D74" s="476">
        <v>2644657.5198446508</v>
      </c>
      <c r="E74" s="476">
        <v>2590815.8648148524</v>
      </c>
    </row>
    <row r="75" spans="1:6">
      <c r="A75" s="348" t="s">
        <v>65</v>
      </c>
      <c r="B75" s="348" t="s">
        <v>713</v>
      </c>
      <c r="C75" s="1311" t="s">
        <v>717</v>
      </c>
      <c r="D75" s="476">
        <v>19444666</v>
      </c>
      <c r="E75" s="476">
        <v>19049613.596057791</v>
      </c>
    </row>
    <row r="76" spans="1:6">
      <c r="A76" s="348" t="s">
        <v>65</v>
      </c>
      <c r="B76" s="348" t="s">
        <v>714</v>
      </c>
      <c r="C76" s="1311" t="s">
        <v>718</v>
      </c>
      <c r="D76" s="476">
        <v>649185.51984465064</v>
      </c>
      <c r="E76" s="476">
        <v>719904.28661527159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683668.96031069872</v>
      </c>
      <c r="C83" s="476">
        <v>675922.93390698673</v>
      </c>
    </row>
    <row r="84" spans="1:6">
      <c r="A84" s="341" t="s">
        <v>337</v>
      </c>
      <c r="B84" s="1307">
        <v>441660.84227923391</v>
      </c>
      <c r="C84" s="1307">
        <v>452470.74265457405</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1352.9591415520788</v>
      </c>
    </row>
    <row r="92" spans="1:6">
      <c r="A92" s="341" t="s">
        <v>69</v>
      </c>
      <c r="B92" s="342">
        <v>946.0729678185395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7129</v>
      </c>
    </row>
    <row r="98" spans="1:6">
      <c r="A98" s="348" t="s">
        <v>72</v>
      </c>
      <c r="B98" s="334">
        <v>9</v>
      </c>
    </row>
    <row r="99" spans="1:6">
      <c r="A99" s="348" t="s">
        <v>73</v>
      </c>
      <c r="B99" s="334">
        <v>16</v>
      </c>
    </row>
    <row r="100" spans="1:6">
      <c r="A100" s="348" t="s">
        <v>74</v>
      </c>
      <c r="B100" s="334">
        <v>538</v>
      </c>
    </row>
    <row r="101" spans="1:6">
      <c r="A101" s="348" t="s">
        <v>75</v>
      </c>
      <c r="B101" s="334">
        <v>33</v>
      </c>
    </row>
    <row r="102" spans="1:6">
      <c r="A102" s="348" t="s">
        <v>76</v>
      </c>
      <c r="B102" s="334">
        <v>143</v>
      </c>
    </row>
    <row r="103" spans="1:6">
      <c r="A103" s="348" t="s">
        <v>77</v>
      </c>
      <c r="B103" s="334">
        <v>56</v>
      </c>
    </row>
    <row r="104" spans="1:6">
      <c r="A104" s="348" t="s">
        <v>78</v>
      </c>
      <c r="B104" s="334">
        <v>2194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72814.682017609593</v>
      </c>
      <c r="C3" s="43" t="s">
        <v>170</v>
      </c>
      <c r="D3" s="43"/>
      <c r="E3" s="154"/>
      <c r="F3" s="43"/>
      <c r="G3" s="43"/>
      <c r="H3" s="43"/>
      <c r="I3" s="43"/>
      <c r="J3" s="43"/>
      <c r="K3" s="96"/>
    </row>
    <row r="4" spans="1:11">
      <c r="A4" s="384" t="s">
        <v>171</v>
      </c>
      <c r="B4" s="49">
        <f>IF(ISERROR('SEAP template'!B78+'SEAP template'!C78),0,'SEAP template'!B78+'SEAP template'!C78)</f>
        <v>2299.0321093706184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0.21402220263698976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1075.3620000000001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1075.3620000000001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0.21402220263698976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230.15134387211859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35338.235915999998</v>
      </c>
      <c r="C5" s="17">
        <f>IF(ISERROR('Eigen informatie GS &amp; warmtenet'!B57),0,'Eigen informatie GS &amp; warmtenet'!B57)</f>
        <v>0</v>
      </c>
      <c r="D5" s="30">
        <f>(SUM(HH_hh_gas_kWh,HH_rest_gas_kWh)/1000)*0.902</f>
        <v>117090.87761341331</v>
      </c>
      <c r="E5" s="17">
        <f>B46*B57</f>
        <v>546.18672298644867</v>
      </c>
      <c r="F5" s="17">
        <f>B51*B62</f>
        <v>5932.5731139991585</v>
      </c>
      <c r="G5" s="18"/>
      <c r="H5" s="17"/>
      <c r="I5" s="17"/>
      <c r="J5" s="17">
        <f>B50*B61+C50*C61</f>
        <v>0</v>
      </c>
      <c r="K5" s="17"/>
      <c r="L5" s="17"/>
      <c r="M5" s="17"/>
      <c r="N5" s="17">
        <f>B48*B59+C48*C59</f>
        <v>4272.020053333752</v>
      </c>
      <c r="O5" s="17">
        <f>B69*B70*B71</f>
        <v>139.13666666666668</v>
      </c>
      <c r="P5" s="17">
        <f>B77*B78*B79/1000-B77*B78*B79/1000/B80</f>
        <v>324.13333333333333</v>
      </c>
    </row>
    <row r="6" spans="1:16">
      <c r="A6" s="16" t="s">
        <v>631</v>
      </c>
      <c r="B6" s="789">
        <f>kWh_PV_kleiner_dan_10kW</f>
        <v>1352.9591415520788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36691.195057552075</v>
      </c>
      <c r="C8" s="21">
        <f>C5</f>
        <v>0</v>
      </c>
      <c r="D8" s="21">
        <f>D5</f>
        <v>117090.87761341331</v>
      </c>
      <c r="E8" s="21">
        <f>E5</f>
        <v>546.18672298644867</v>
      </c>
      <c r="F8" s="21">
        <f>F5</f>
        <v>5932.5731139991585</v>
      </c>
      <c r="G8" s="21"/>
      <c r="H8" s="21"/>
      <c r="I8" s="21"/>
      <c r="J8" s="21">
        <f>J5</f>
        <v>0</v>
      </c>
      <c r="K8" s="21"/>
      <c r="L8" s="21">
        <f>L5</f>
        <v>0</v>
      </c>
      <c r="M8" s="21">
        <f>M5</f>
        <v>0</v>
      </c>
      <c r="N8" s="21">
        <f>N5</f>
        <v>4272.020053333752</v>
      </c>
      <c r="O8" s="21">
        <f>O5</f>
        <v>139.13666666666668</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0.21402220263698976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7852.7303836007277</v>
      </c>
      <c r="C12" s="23">
        <f ca="1">C10*C8</f>
        <v>0</v>
      </c>
      <c r="D12" s="23">
        <f>D8*D10</f>
        <v>23652.35727790949</v>
      </c>
      <c r="E12" s="23">
        <f>E10*E8</f>
        <v>123.98438611792385</v>
      </c>
      <c r="F12" s="23">
        <f>F10*F8</f>
        <v>1583.9970214377754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7129</v>
      </c>
      <c r="C18" s="166" t="s">
        <v>111</v>
      </c>
      <c r="D18" s="228"/>
      <c r="E18" s="15"/>
    </row>
    <row r="19" spans="1:7">
      <c r="A19" s="171" t="s">
        <v>72</v>
      </c>
      <c r="B19" s="37">
        <f>aantalw2001_ander</f>
        <v>9</v>
      </c>
      <c r="C19" s="166" t="s">
        <v>111</v>
      </c>
      <c r="D19" s="229"/>
      <c r="E19" s="15"/>
    </row>
    <row r="20" spans="1:7">
      <c r="A20" s="171" t="s">
        <v>73</v>
      </c>
      <c r="B20" s="37">
        <f>aantalw2001_propaan</f>
        <v>16</v>
      </c>
      <c r="C20" s="167">
        <f>IF(ISERROR(B20/SUM($B$20,$B$21,$B$22)*100),0,B20/SUM($B$20,$B$21,$B$22)*100)</f>
        <v>2.7257240204429301</v>
      </c>
      <c r="D20" s="229"/>
      <c r="E20" s="15"/>
    </row>
    <row r="21" spans="1:7">
      <c r="A21" s="171" t="s">
        <v>74</v>
      </c>
      <c r="B21" s="37">
        <f>aantalw2001_elektriciteit</f>
        <v>538</v>
      </c>
      <c r="C21" s="167">
        <f>IF(ISERROR(B21/SUM($B$20,$B$21,$B$22)*100),0,B21/SUM($B$20,$B$21,$B$22)*100)</f>
        <v>91.652470187393533</v>
      </c>
      <c r="D21" s="229"/>
      <c r="E21" s="15"/>
    </row>
    <row r="22" spans="1:7">
      <c r="A22" s="171" t="s">
        <v>75</v>
      </c>
      <c r="B22" s="37">
        <f>aantalw2001_hout</f>
        <v>33</v>
      </c>
      <c r="C22" s="167">
        <f>IF(ISERROR(B22/SUM($B$20,$B$21,$B$22)*100),0,B22/SUM($B$20,$B$21,$B$22)*100)</f>
        <v>5.6218057921635438</v>
      </c>
      <c r="D22" s="229"/>
      <c r="E22" s="15"/>
    </row>
    <row r="23" spans="1:7">
      <c r="A23" s="171" t="s">
        <v>76</v>
      </c>
      <c r="B23" s="37">
        <f>aantalw2001_niet_gespec</f>
        <v>143</v>
      </c>
      <c r="C23" s="166" t="s">
        <v>111</v>
      </c>
      <c r="D23" s="228"/>
      <c r="E23" s="15"/>
    </row>
    <row r="24" spans="1:7">
      <c r="A24" s="171" t="s">
        <v>77</v>
      </c>
      <c r="B24" s="37">
        <f>aantalw2001_steenkool</f>
        <v>56</v>
      </c>
      <c r="C24" s="166" t="s">
        <v>111</v>
      </c>
      <c r="D24" s="229"/>
      <c r="E24" s="15"/>
    </row>
    <row r="25" spans="1:7">
      <c r="A25" s="171" t="s">
        <v>78</v>
      </c>
      <c r="B25" s="37">
        <f>aantalw2001_stookolie</f>
        <v>2194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10900</v>
      </c>
      <c r="C28" s="36"/>
      <c r="D28" s="228"/>
    </row>
    <row r="29" spans="1:7" s="15" customFormat="1">
      <c r="A29" s="230" t="s">
        <v>741</v>
      </c>
      <c r="B29" s="37">
        <f>SUM(HH_hh_gas_aantal,HH_rest_gas_aantal)</f>
        <v>9299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9299</v>
      </c>
      <c r="C32" s="167">
        <f>IF(ISERROR(B32/SUM($B$32,$B$34,$B$35,$B$36,$B$38,$B$39)*100),0,B32/SUM($B$32,$B$34,$B$35,$B$36,$B$38,$B$39)*100)</f>
        <v>85.445189745474593</v>
      </c>
      <c r="D32" s="233"/>
      <c r="G32" s="15"/>
    </row>
    <row r="33" spans="1:7">
      <c r="A33" s="171" t="s">
        <v>72</v>
      </c>
      <c r="B33" s="34" t="s">
        <v>111</v>
      </c>
      <c r="C33" s="167"/>
      <c r="D33" s="233"/>
      <c r="G33" s="15"/>
    </row>
    <row r="34" spans="1:7">
      <c r="A34" s="171" t="s">
        <v>73</v>
      </c>
      <c r="B34" s="33">
        <f>IF((($B$28-$B$32-$B$39-$B$77-$B$38)*C20/100)&lt;0,0,($B$28-$B$32-$B$39-$B$77-$B$38)*C20/100)</f>
        <v>36.606473594548554</v>
      </c>
      <c r="C34" s="167">
        <f>IF(ISERROR(B34/SUM($B$32,$B$34,$B$35,$B$36,$B$38,$B$39)*100),0,B34/SUM($B$32,$B$34,$B$35,$B$36,$B$38,$B$39)*100)</f>
        <v>0.3363638113989576</v>
      </c>
      <c r="D34" s="233"/>
      <c r="G34" s="15"/>
    </row>
    <row r="35" spans="1:7">
      <c r="A35" s="171" t="s">
        <v>74</v>
      </c>
      <c r="B35" s="33">
        <f>IF((($B$28-$B$32-$B$39-$B$77-$B$38)*C21/100)&lt;0,0,($B$28-$B$32-$B$39-$B$77-$B$38)*C21/100)</f>
        <v>1230.8926746166951</v>
      </c>
      <c r="C35" s="167">
        <f>IF(ISERROR(B35/SUM($B$32,$B$34,$B$35,$B$36,$B$38,$B$39)*100),0,B35/SUM($B$32,$B$34,$B$35,$B$36,$B$38,$B$39)*100)</f>
        <v>11.310233158289948</v>
      </c>
      <c r="D35" s="233"/>
      <c r="G35" s="15"/>
    </row>
    <row r="36" spans="1:7">
      <c r="A36" s="171" t="s">
        <v>75</v>
      </c>
      <c r="B36" s="33">
        <f>IF((($B$28-$B$32-$B$39-$B$77-$B$38)*C22/100)&lt;0,0,($B$28-$B$32-$B$39-$B$77-$B$38)*C22/100)</f>
        <v>75.500851788756393</v>
      </c>
      <c r="C36" s="167">
        <f>IF(ISERROR(B36/SUM($B$32,$B$34,$B$35,$B$36,$B$38,$B$39)*100),0,B36/SUM($B$32,$B$34,$B$35,$B$36,$B$38,$B$39)*100)</f>
        <v>0.69375036101035004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241</v>
      </c>
      <c r="C39" s="167">
        <f>IF(ISERROR(B39/SUM($B$32,$B$34,$B$35,$B$36,$B$38,$B$39)*100),0,B39/SUM($B$32,$B$34,$B$35,$B$36,$B$38,$B$39)*100)</f>
        <v>2.2144629238261508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9299</v>
      </c>
      <c r="C44" s="34" t="s">
        <v>111</v>
      </c>
      <c r="D44" s="174"/>
    </row>
    <row r="45" spans="1:7">
      <c r="A45" s="171" t="s">
        <v>72</v>
      </c>
      <c r="B45" s="33" t="str">
        <f t="shared" si="0"/>
        <v>-</v>
      </c>
      <c r="C45" s="34" t="s">
        <v>111</v>
      </c>
      <c r="D45" s="174"/>
    </row>
    <row r="46" spans="1:7">
      <c r="A46" s="171" t="s">
        <v>73</v>
      </c>
      <c r="B46" s="33">
        <f t="shared" si="0"/>
        <v>36.606473594548554</v>
      </c>
      <c r="C46" s="34" t="s">
        <v>111</v>
      </c>
      <c r="D46" s="174"/>
    </row>
    <row r="47" spans="1:7">
      <c r="A47" s="171" t="s">
        <v>74</v>
      </c>
      <c r="B47" s="33">
        <f t="shared" si="0"/>
        <v>1230.8926746166951</v>
      </c>
      <c r="C47" s="34" t="s">
        <v>111</v>
      </c>
      <c r="D47" s="174"/>
    </row>
    <row r="48" spans="1:7">
      <c r="A48" s="171" t="s">
        <v>75</v>
      </c>
      <c r="B48" s="33">
        <f t="shared" si="0"/>
        <v>75.500851788756393</v>
      </c>
      <c r="C48" s="33">
        <f>B48*10</f>
        <v>755.00851788756393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29342.85</v>
      </c>
      <c r="C5" s="17">
        <f>IF(ISERROR('Eigen informatie GS &amp; warmtenet'!B58),0,'Eigen informatie GS &amp; warmtenet'!B58)</f>
        <v>0</v>
      </c>
      <c r="D5" s="30">
        <f>SUM(D6:D12)</f>
        <v>43270.679761289597</v>
      </c>
      <c r="E5" s="17">
        <f>SUM(E6:E12)</f>
        <v>322.68750007898393</v>
      </c>
      <c r="F5" s="17">
        <f>SUM(F6:F12)</f>
        <v>4317.8103126023771</v>
      </c>
      <c r="G5" s="18"/>
      <c r="H5" s="17"/>
      <c r="I5" s="17"/>
      <c r="J5" s="17">
        <f>SUM(J6:J12)</f>
        <v>0</v>
      </c>
      <c r="K5" s="17"/>
      <c r="L5" s="17"/>
      <c r="M5" s="17"/>
      <c r="N5" s="17">
        <f>SUM(N6:N12)</f>
        <v>1648.3742668525119</v>
      </c>
      <c r="O5" s="17">
        <f>B38*B39*B40</f>
        <v>0</v>
      </c>
      <c r="P5" s="17">
        <f>B46*B47*B48/1000-B46*B47*B48/1000/B49</f>
        <v>0</v>
      </c>
      <c r="R5" s="32"/>
    </row>
    <row r="6" spans="1:18">
      <c r="A6" s="32" t="s">
        <v>54</v>
      </c>
      <c r="B6" s="37">
        <f>B26</f>
        <v>5914.1210000000001</v>
      </c>
      <c r="C6" s="33"/>
      <c r="D6" s="37">
        <f>IF(ISERROR(TER_kantoor_gas_kWh/1000),0,TER_kantoor_gas_kWh/1000)*0.902</f>
        <v>12097.651821194644</v>
      </c>
      <c r="E6" s="33">
        <f>$C$26*'E Balans VL '!I12/100/3.6*1000000</f>
        <v>17.134076261587627</v>
      </c>
      <c r="F6" s="33">
        <f>$C$26*('E Balans VL '!L12+'E Balans VL '!N12)/100/3.6*1000000</f>
        <v>669.34819901204605</v>
      </c>
      <c r="G6" s="34"/>
      <c r="H6" s="33"/>
      <c r="I6" s="33"/>
      <c r="J6" s="33">
        <f>$C$26*('E Balans VL '!D12+'E Balans VL '!E12)/100/3.6*1000000</f>
        <v>0</v>
      </c>
      <c r="K6" s="33"/>
      <c r="L6" s="33"/>
      <c r="M6" s="33"/>
      <c r="N6" s="33">
        <f>$C$26*'E Balans VL '!Y12/100/3.6*1000000</f>
        <v>59.195993491080422</v>
      </c>
      <c r="O6" s="33"/>
      <c r="P6" s="33"/>
      <c r="R6" s="32"/>
    </row>
    <row r="7" spans="1:18">
      <c r="A7" s="32" t="s">
        <v>53</v>
      </c>
      <c r="B7" s="37">
        <f t="shared" ref="B7:B12" si="0">B27</f>
        <v>3505.0250000000001</v>
      </c>
      <c r="C7" s="33"/>
      <c r="D7" s="37">
        <f>IF(ISERROR(TER_horeca_gas_kWh/1000),0,TER_horeca_gas_kWh/1000)*0.902</f>
        <v>9902.177449716768</v>
      </c>
      <c r="E7" s="33">
        <f>$C$27*'E Balans VL '!I9/100/3.6*1000000</f>
        <v>147.13115665369421</v>
      </c>
      <c r="F7" s="33">
        <f>$C$27*('E Balans VL '!L9+'E Balans VL '!N9)/100/3.6*1000000</f>
        <v>753.12649855724158</v>
      </c>
      <c r="G7" s="34"/>
      <c r="H7" s="33"/>
      <c r="I7" s="33"/>
      <c r="J7" s="33">
        <f>$C$27*('E Balans VL '!D9+'E Balans VL '!E9)/100/3.6*1000000</f>
        <v>0</v>
      </c>
      <c r="K7" s="33"/>
      <c r="L7" s="33"/>
      <c r="M7" s="33"/>
      <c r="N7" s="33">
        <f>$C$27*'E Balans VL '!Y9/100/3.6*1000000</f>
        <v>0.90321428994438258</v>
      </c>
      <c r="O7" s="33"/>
      <c r="P7" s="33"/>
      <c r="R7" s="32"/>
    </row>
    <row r="8" spans="1:18">
      <c r="A8" s="6" t="s">
        <v>52</v>
      </c>
      <c r="B8" s="37">
        <f t="shared" si="0"/>
        <v>6833.2629999999999</v>
      </c>
      <c r="C8" s="33"/>
      <c r="D8" s="37">
        <f>IF(ISERROR(TER_handel_gas_kWh/1000),0,TER_handel_gas_kWh/1000)*0.902</f>
        <v>4697.6110436254476</v>
      </c>
      <c r="E8" s="33">
        <f>$C$28*'E Balans VL '!I13/100/3.6*1000000</f>
        <v>73.394931783128257</v>
      </c>
      <c r="F8" s="33">
        <f>$C$28*('E Balans VL '!L13+'E Balans VL '!N13)/100/3.6*1000000</f>
        <v>884.62232327260415</v>
      </c>
      <c r="G8" s="34"/>
      <c r="H8" s="33"/>
      <c r="I8" s="33"/>
      <c r="J8" s="33">
        <f>$C$28*('E Balans VL '!D13+'E Balans VL '!E13)/100/3.6*1000000</f>
        <v>0</v>
      </c>
      <c r="K8" s="33"/>
      <c r="L8" s="33"/>
      <c r="M8" s="33"/>
      <c r="N8" s="33">
        <f>$C$28*'E Balans VL '!Y13/100/3.6*1000000</f>
        <v>55.431802568382551</v>
      </c>
      <c r="O8" s="33"/>
      <c r="P8" s="33"/>
      <c r="R8" s="32"/>
    </row>
    <row r="9" spans="1:18">
      <c r="A9" s="32" t="s">
        <v>51</v>
      </c>
      <c r="B9" s="37">
        <f t="shared" si="0"/>
        <v>2697.4780000000001</v>
      </c>
      <c r="C9" s="33"/>
      <c r="D9" s="37">
        <f>IF(ISERROR(TER_gezond_gas_kWh/1000),0,TER_gezond_gas_kWh/1000)*0.902</f>
        <v>7094.6763009951901</v>
      </c>
      <c r="E9" s="33">
        <f>$C$29*'E Balans VL '!I10/100/3.6*1000000</f>
        <v>2.1473669562028985</v>
      </c>
      <c r="F9" s="33">
        <f>$C$29*('E Balans VL '!L10+'E Balans VL '!N10)/100/3.6*1000000</f>
        <v>327.91743296823063</v>
      </c>
      <c r="G9" s="34"/>
      <c r="H9" s="33"/>
      <c r="I9" s="33"/>
      <c r="J9" s="33">
        <f>$C$29*('E Balans VL '!D10+'E Balans VL '!E10)/100/3.6*1000000</f>
        <v>0</v>
      </c>
      <c r="K9" s="33"/>
      <c r="L9" s="33"/>
      <c r="M9" s="33"/>
      <c r="N9" s="33">
        <f>$C$29*'E Balans VL '!Y10/100/3.6*1000000</f>
        <v>21.789512634159042</v>
      </c>
      <c r="O9" s="33"/>
      <c r="P9" s="33"/>
      <c r="R9" s="32"/>
    </row>
    <row r="10" spans="1:18">
      <c r="A10" s="32" t="s">
        <v>50</v>
      </c>
      <c r="B10" s="37">
        <f t="shared" si="0"/>
        <v>1089.933</v>
      </c>
      <c r="C10" s="33"/>
      <c r="D10" s="37">
        <f>IF(ISERROR(TER_ander_gas_kWh/1000),0,TER_ander_gas_kWh/1000)*0.902</f>
        <v>2010.5027585605292</v>
      </c>
      <c r="E10" s="33">
        <f>$C$30*'E Balans VL '!I14/100/3.6*1000000</f>
        <v>3.735257648740181</v>
      </c>
      <c r="F10" s="33">
        <f>$C$30*('E Balans VL '!L14+'E Balans VL '!N14)/100/3.6*1000000</f>
        <v>243.44674254004698</v>
      </c>
      <c r="G10" s="34"/>
      <c r="H10" s="33"/>
      <c r="I10" s="33"/>
      <c r="J10" s="33">
        <f>$C$30*('E Balans VL '!D14+'E Balans VL '!E14)/100/3.6*1000000</f>
        <v>0</v>
      </c>
      <c r="K10" s="33"/>
      <c r="L10" s="33"/>
      <c r="M10" s="33"/>
      <c r="N10" s="33">
        <f>$C$30*'E Balans VL '!Y14/100/3.6*1000000</f>
        <v>767.75475938759064</v>
      </c>
      <c r="O10" s="33"/>
      <c r="P10" s="33"/>
      <c r="R10" s="32"/>
    </row>
    <row r="11" spans="1:18">
      <c r="A11" s="32" t="s">
        <v>55</v>
      </c>
      <c r="B11" s="37">
        <f t="shared" si="0"/>
        <v>594.66499999999996</v>
      </c>
      <c r="C11" s="33"/>
      <c r="D11" s="37">
        <f>IF(ISERROR(TER_onderwijs_gas_kWh/1000),0,TER_onderwijs_gas_kWh/1000)*0.902</f>
        <v>662.66877373792033</v>
      </c>
      <c r="E11" s="33">
        <f>$C$31*'E Balans VL '!I11/100/3.6*1000000</f>
        <v>0.41107360025935347</v>
      </c>
      <c r="F11" s="33">
        <f>$C$31*('E Balans VL '!L11+'E Balans VL '!N11)/100/3.6*1000000</f>
        <v>155.6660231538086</v>
      </c>
      <c r="G11" s="34"/>
      <c r="H11" s="33"/>
      <c r="I11" s="33"/>
      <c r="J11" s="33">
        <f>$C$31*('E Balans VL '!D11+'E Balans VL '!E11)/100/3.6*1000000</f>
        <v>0</v>
      </c>
      <c r="K11" s="33"/>
      <c r="L11" s="33"/>
      <c r="M11" s="33"/>
      <c r="N11" s="33">
        <f>$C$31*'E Balans VL '!Y11/100/3.6*1000000</f>
        <v>0.59193835788638827</v>
      </c>
      <c r="O11" s="33"/>
      <c r="P11" s="33"/>
      <c r="R11" s="32"/>
    </row>
    <row r="12" spans="1:18">
      <c r="A12" s="32" t="s">
        <v>260</v>
      </c>
      <c r="B12" s="37">
        <f t="shared" si="0"/>
        <v>8708.3649999999998</v>
      </c>
      <c r="C12" s="33"/>
      <c r="D12" s="37">
        <f>IF(ISERROR(TER_rest_gas_kWh/1000),0,TER_rest_gas_kWh/1000)*0.902</f>
        <v>6805.3916134591045</v>
      </c>
      <c r="E12" s="33">
        <f>$C$32*'E Balans VL '!I8/100/3.6*1000000</f>
        <v>78.733637175371427</v>
      </c>
      <c r="F12" s="33">
        <f>$C$32*('E Balans VL '!L8+'E Balans VL '!N8)/100/3.6*1000000</f>
        <v>1283.6830930983995</v>
      </c>
      <c r="G12" s="34"/>
      <c r="H12" s="33"/>
      <c r="I12" s="33"/>
      <c r="J12" s="33">
        <f>$C$32*('E Balans VL '!D8+'E Balans VL '!E8)/100/3.6*1000000</f>
        <v>0</v>
      </c>
      <c r="K12" s="33"/>
      <c r="L12" s="33"/>
      <c r="M12" s="33"/>
      <c r="N12" s="33">
        <f>$C$32*'E Balans VL '!Y8/100/3.6*1000000</f>
        <v>742.70704612346833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29342.85</v>
      </c>
      <c r="C16" s="21">
        <f t="shared" ca="1" si="1"/>
        <v>0</v>
      </c>
      <c r="D16" s="21">
        <f t="shared" ca="1" si="1"/>
        <v>43270.679761289597</v>
      </c>
      <c r="E16" s="21">
        <f t="shared" si="1"/>
        <v>322.68750007898393</v>
      </c>
      <c r="F16" s="21">
        <f t="shared" ca="1" si="1"/>
        <v>4317.8103126023771</v>
      </c>
      <c r="G16" s="21">
        <f t="shared" si="1"/>
        <v>0</v>
      </c>
      <c r="H16" s="21">
        <f t="shared" si="1"/>
        <v>0</v>
      </c>
      <c r="I16" s="21">
        <f t="shared" si="1"/>
        <v>0</v>
      </c>
      <c r="J16" s="21">
        <f t="shared" si="1"/>
        <v>0</v>
      </c>
      <c r="K16" s="21">
        <f t="shared" si="1"/>
        <v>0</v>
      </c>
      <c r="L16" s="21">
        <f t="shared" ca="1" si="1"/>
        <v>0</v>
      </c>
      <c r="M16" s="21">
        <f t="shared" si="1"/>
        <v>0</v>
      </c>
      <c r="N16" s="21">
        <f t="shared" ca="1" si="1"/>
        <v>1648.3742668525119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0.21402220263698976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6280.0213886467945</v>
      </c>
      <c r="C20" s="23">
        <f t="shared" ref="C20:P20" ca="1" si="2">C16*C18</f>
        <v>0</v>
      </c>
      <c r="D20" s="23">
        <f t="shared" ca="1" si="2"/>
        <v>8740.6773117804987</v>
      </c>
      <c r="E20" s="23">
        <f t="shared" si="2"/>
        <v>73.250062517929351</v>
      </c>
      <c r="F20" s="23">
        <f t="shared" ca="1" si="2"/>
        <v>1152.8553534648347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5914.1210000000001</v>
      </c>
      <c r="C26" s="39">
        <f>IF(ISERROR(B26*3.6/1000000/'E Balans VL '!Z12*100),0,B26*3.6/1000000/'E Balans VL '!Z12*100)</f>
        <v>0.12991050517355526</v>
      </c>
      <c r="D26" s="237" t="s">
        <v>692</v>
      </c>
      <c r="F26" s="6"/>
    </row>
    <row r="27" spans="1:18">
      <c r="A27" s="231" t="s">
        <v>53</v>
      </c>
      <c r="B27" s="33">
        <f>IF(ISERROR(TER_horeca_ele_kWh/1000),0,TER_horeca_ele_kWh/1000)</f>
        <v>3505.0250000000001</v>
      </c>
      <c r="C27" s="39">
        <f>IF(ISERROR(B27*3.6/1000000/'E Balans VL '!Z9*100),0,B27*3.6/1000000/'E Balans VL '!Z9*100)</f>
        <v>0.28166369725186141</v>
      </c>
      <c r="D27" s="237" t="s">
        <v>692</v>
      </c>
      <c r="F27" s="6"/>
    </row>
    <row r="28" spans="1:18">
      <c r="A28" s="171" t="s">
        <v>52</v>
      </c>
      <c r="B28" s="33">
        <f>IF(ISERROR(TER_handel_ele_kWh/1000),0,TER_handel_ele_kWh/1000)</f>
        <v>6833.2629999999999</v>
      </c>
      <c r="C28" s="39">
        <f>IF(ISERROR(B28*3.6/1000000/'E Balans VL '!Z13*100),0,B28*3.6/1000000/'E Balans VL '!Z13*100)</f>
        <v>0.20205481309223441</v>
      </c>
      <c r="D28" s="237" t="s">
        <v>692</v>
      </c>
      <c r="F28" s="6"/>
    </row>
    <row r="29" spans="1:18">
      <c r="A29" s="231" t="s">
        <v>51</v>
      </c>
      <c r="B29" s="33">
        <f>IF(ISERROR(TER_gezond_ele_kWh/1000),0,TER_gezond_ele_kWh/1000)</f>
        <v>2697.4780000000001</v>
      </c>
      <c r="C29" s="39">
        <f>IF(ISERROR(B29*3.6/1000000/'E Balans VL '!Z10*100),0,B29*3.6/1000000/'E Balans VL '!Z10*100)</f>
        <v>0.30393612785706331</v>
      </c>
      <c r="D29" s="237" t="s">
        <v>692</v>
      </c>
      <c r="F29" s="6"/>
    </row>
    <row r="30" spans="1:18">
      <c r="A30" s="231" t="s">
        <v>50</v>
      </c>
      <c r="B30" s="33">
        <f>IF(ISERROR(TER_ander_ele_kWh/1000),0,TER_ander_ele_kWh/1000)</f>
        <v>1089.933</v>
      </c>
      <c r="C30" s="39">
        <f>IF(ISERROR(B30*3.6/1000000/'E Balans VL '!Z14*100),0,B30*3.6/1000000/'E Balans VL '!Z14*100)</f>
        <v>8.2429769633695374E-2</v>
      </c>
      <c r="D30" s="237" t="s">
        <v>692</v>
      </c>
      <c r="F30" s="6"/>
    </row>
    <row r="31" spans="1:18">
      <c r="A31" s="231" t="s">
        <v>55</v>
      </c>
      <c r="B31" s="33">
        <f>IF(ISERROR(TER_onderwijs_ele_kWh/1000),0,TER_onderwijs_ele_kWh/1000)</f>
        <v>594.66499999999996</v>
      </c>
      <c r="C31" s="39">
        <f>IF(ISERROR(B31*3.6/1000000/'E Balans VL '!Z11*100),0,B31*3.6/1000000/'E Balans VL '!Z11*100)</f>
        <v>0.1234386494446604</v>
      </c>
      <c r="D31" s="237" t="s">
        <v>692</v>
      </c>
    </row>
    <row r="32" spans="1:18">
      <c r="A32" s="231" t="s">
        <v>260</v>
      </c>
      <c r="B32" s="33">
        <f>IF(ISERROR(TER_rest_ele_kWh/1000),0,TER_rest_ele_kWh/1000)</f>
        <v>8708.3649999999998</v>
      </c>
      <c r="C32" s="39">
        <f>IF(ISERROR(B32*3.6/1000000/'E Balans VL '!Z8*100),0,B32*3.6/1000000/'E Balans VL '!Z8*100)</f>
        <v>7.3362852167357634E-2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1838.45454</v>
      </c>
      <c r="C5" s="17">
        <f>IF(ISERROR('Eigen informatie GS &amp; warmtenet'!B59),0,'Eigen informatie GS &amp; warmtenet'!B59)</f>
        <v>0</v>
      </c>
      <c r="D5" s="30">
        <f>SUM(D6:D15)</f>
        <v>354991.72800248693</v>
      </c>
      <c r="E5" s="17">
        <f>SUM(E6:E15)</f>
        <v>258.28642218722797</v>
      </c>
      <c r="F5" s="17">
        <f>SUM(F6:F15)</f>
        <v>1838.0164051104334</v>
      </c>
      <c r="G5" s="18"/>
      <c r="H5" s="17"/>
      <c r="I5" s="17"/>
      <c r="J5" s="17">
        <f>SUM(J6:J15)</f>
        <v>14.408220753874458</v>
      </c>
      <c r="K5" s="17"/>
      <c r="L5" s="17"/>
      <c r="M5" s="17"/>
      <c r="N5" s="17">
        <f>SUM(N6:N15)</f>
        <v>640.83621470867172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73.72847999999999</v>
      </c>
      <c r="C8" s="33"/>
      <c r="D8" s="37">
        <f>IF( ISERROR(IND_metaal_Gas_kWH/1000),0,IND_metaal_Gas_kWH/1000)*0.902</f>
        <v>0</v>
      </c>
      <c r="E8" s="33">
        <f>C30*'E Balans VL '!I18/100/3.6*1000000</f>
        <v>1.8451658102482356</v>
      </c>
      <c r="F8" s="33">
        <f>C30*'E Balans VL '!L18/100/3.6*1000000+C30*'E Balans VL '!N18/100/3.6*1000000</f>
        <v>23.106872376320439</v>
      </c>
      <c r="G8" s="34"/>
      <c r="H8" s="33"/>
      <c r="I8" s="33"/>
      <c r="J8" s="40">
        <f>C30*'E Balans VL '!D18/100/3.6*1000000+C30*'E Balans VL '!E18/100/3.6*1000000</f>
        <v>0</v>
      </c>
      <c r="K8" s="33"/>
      <c r="L8" s="33"/>
      <c r="M8" s="33"/>
      <c r="N8" s="33">
        <f>C30*'E Balans VL '!Y18/100/3.6*1000000</f>
        <v>1.8522507596907591</v>
      </c>
      <c r="O8" s="33"/>
      <c r="P8" s="33"/>
      <c r="R8" s="32"/>
    </row>
    <row r="9" spans="1:18">
      <c r="A9" s="6" t="s">
        <v>33</v>
      </c>
      <c r="B9" s="37">
        <f t="shared" si="0"/>
        <v>878.94939999999997</v>
      </c>
      <c r="C9" s="33"/>
      <c r="D9" s="37">
        <f>IF( ISERROR(IND_andere_gas_kWh/1000),0,IND_andere_gas_kWh/1000)*0.902</f>
        <v>885.91273003546667</v>
      </c>
      <c r="E9" s="33">
        <f>C31*'E Balans VL '!I19/100/3.6*1000000</f>
        <v>241.67503484149444</v>
      </c>
      <c r="F9" s="33">
        <f>C31*'E Balans VL '!L19/100/3.6*1000000+C31*'E Balans VL '!N19/100/3.6*1000000</f>
        <v>692.76507537696693</v>
      </c>
      <c r="G9" s="34"/>
      <c r="H9" s="33"/>
      <c r="I9" s="33"/>
      <c r="J9" s="40">
        <f>C31*'E Balans VL '!D19/100/3.6*1000000+C31*'E Balans VL '!E19/100/3.6*1000000</f>
        <v>0</v>
      </c>
      <c r="K9" s="33"/>
      <c r="L9" s="33"/>
      <c r="M9" s="33"/>
      <c r="N9" s="33">
        <f>C31*'E Balans VL '!Y19/100/3.6*1000000</f>
        <v>284.53912116182784</v>
      </c>
      <c r="O9" s="33"/>
      <c r="P9" s="33"/>
      <c r="R9" s="32"/>
    </row>
    <row r="10" spans="1:18">
      <c r="A10" s="6" t="s">
        <v>41</v>
      </c>
      <c r="B10" s="37">
        <f t="shared" si="0"/>
        <v>572.88830000000007</v>
      </c>
      <c r="C10" s="33"/>
      <c r="D10" s="37">
        <f>IF( ISERROR(IND_voed_gas_kWh/1000),0,IND_voed_gas_kWh/1000)*0.902</f>
        <v>557.09999444416735</v>
      </c>
      <c r="E10" s="33">
        <f>C32*'E Balans VL '!I20/100/3.6*1000000</f>
        <v>5.8402806125346762</v>
      </c>
      <c r="F10" s="33">
        <f>C32*'E Balans VL '!L20/100/3.6*1000000+C32*'E Balans VL '!N20/100/3.6*1000000</f>
        <v>1082.1824156295611</v>
      </c>
      <c r="G10" s="34"/>
      <c r="H10" s="33"/>
      <c r="I10" s="33"/>
      <c r="J10" s="40">
        <f>C32*'E Balans VL '!D20/100/3.6*1000000+C32*'E Balans VL '!E20/100/3.6*1000000</f>
        <v>13.711091518004205</v>
      </c>
      <c r="K10" s="33"/>
      <c r="L10" s="33"/>
      <c r="M10" s="33"/>
      <c r="N10" s="33">
        <f>C32*'E Balans VL '!Y20/100/3.6*1000000</f>
        <v>301.97812274039768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46.252459999999999</v>
      </c>
      <c r="C13" s="33"/>
      <c r="D13" s="37">
        <f>IF( ISERROR(IND_papier_gas_kWh/1000),0,IND_papier_gas_kWh/1000)*0.902</f>
        <v>109.80624877820118</v>
      </c>
      <c r="E13" s="33">
        <f>C35*'E Balans VL '!I23/100/3.6*1000000</f>
        <v>9.5791966625874386E-2</v>
      </c>
      <c r="F13" s="33">
        <f>C35*'E Balans VL '!L23/100/3.6*1000000+C35*'E Balans VL '!N23/100/3.6*1000000</f>
        <v>0.91728543919313299</v>
      </c>
      <c r="G13" s="34"/>
      <c r="H13" s="33"/>
      <c r="I13" s="33"/>
      <c r="J13" s="40">
        <f>C35*'E Balans VL '!D23/100/3.6*1000000+C35*'E Balans VL '!E23/100/3.6*1000000</f>
        <v>0</v>
      </c>
      <c r="K13" s="33"/>
      <c r="L13" s="33"/>
      <c r="M13" s="33"/>
      <c r="N13" s="33">
        <f>C35*'E Balans VL '!Y23/100/3.6*1000000</f>
        <v>19.530002660843969</v>
      </c>
      <c r="O13" s="33"/>
      <c r="P13" s="33"/>
      <c r="R13" s="32"/>
    </row>
    <row r="14" spans="1:18">
      <c r="A14" s="6" t="s">
        <v>34</v>
      </c>
      <c r="B14" s="37">
        <f t="shared" si="0"/>
        <v>100.468</v>
      </c>
      <c r="C14" s="33"/>
      <c r="D14" s="37">
        <f>IF( ISERROR(IND_chemie_gas_kWh/1000),0,IND_chemie_gas_kWh/1000)*0.902</f>
        <v>352966.10477504862</v>
      </c>
      <c r="E14" s="33">
        <f>C36*'E Balans VL '!I24/100/3.6*1000000</f>
        <v>0.37667104323383249</v>
      </c>
      <c r="F14" s="33">
        <f>C36*'E Balans VL '!L24/100/3.6*1000000+C36*'E Balans VL '!N24/100/3.6*1000000</f>
        <v>1.1688399415821855</v>
      </c>
      <c r="G14" s="34"/>
      <c r="H14" s="33"/>
      <c r="I14" s="33"/>
      <c r="J14" s="40">
        <f>C36*'E Balans VL '!D24/100/3.6*1000000+C36*'E Balans VL '!E24/100/3.6*1000000</f>
        <v>0</v>
      </c>
      <c r="K14" s="33"/>
      <c r="L14" s="33"/>
      <c r="M14" s="33"/>
      <c r="N14" s="33">
        <f>C36*'E Balans VL '!Y24/100/3.6*1000000</f>
        <v>1.7164475634470122</v>
      </c>
      <c r="O14" s="33"/>
      <c r="P14" s="33"/>
      <c r="R14" s="32"/>
    </row>
    <row r="15" spans="1:18">
      <c r="A15" s="6" t="s">
        <v>270</v>
      </c>
      <c r="B15" s="37">
        <f t="shared" si="0"/>
        <v>166.1679</v>
      </c>
      <c r="C15" s="33"/>
      <c r="D15" s="37">
        <f>IF( ISERROR(IND_rest_gas_kWh/1000),0,IND_rest_gas_kWh/1000)*0.902</f>
        <v>472.80425418047435</v>
      </c>
      <c r="E15" s="33">
        <f>C37*'E Balans VL '!I15/100/3.6*1000000</f>
        <v>8.4534779130908895</v>
      </c>
      <c r="F15" s="33">
        <f>C37*'E Balans VL '!L15/100/3.6*1000000+C37*'E Balans VL '!N15/100/3.6*1000000</f>
        <v>37.875916346809561</v>
      </c>
      <c r="G15" s="34"/>
      <c r="H15" s="33"/>
      <c r="I15" s="33"/>
      <c r="J15" s="40">
        <f>C37*'E Balans VL '!D15/100/3.6*1000000+C37*'E Balans VL '!E15/100/3.6*1000000</f>
        <v>0.69712923587025377</v>
      </c>
      <c r="K15" s="33"/>
      <c r="L15" s="33"/>
      <c r="M15" s="33"/>
      <c r="N15" s="33">
        <f>C37*'E Balans VL '!Y15/100/3.6*1000000</f>
        <v>31.220269822464537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1838.45454</v>
      </c>
      <c r="C18" s="21">
        <f>C5+C16</f>
        <v>0</v>
      </c>
      <c r="D18" s="21">
        <f>MAX((D5+D16),0)</f>
        <v>354991.72800248693</v>
      </c>
      <c r="E18" s="21">
        <f>MAX((E5+E16),0)</f>
        <v>258.28642218722797</v>
      </c>
      <c r="F18" s="21">
        <f>MAX((F5+F16),0)</f>
        <v>1838.0164051104334</v>
      </c>
      <c r="G18" s="21"/>
      <c r="H18" s="21"/>
      <c r="I18" s="21"/>
      <c r="J18" s="21">
        <f>MAX((J5+J16),0)</f>
        <v>14.408220753874458</v>
      </c>
      <c r="K18" s="21"/>
      <c r="L18" s="21">
        <f>MAX((L5+L16),0)</f>
        <v>0</v>
      </c>
      <c r="M18" s="21"/>
      <c r="N18" s="21">
        <f>MAX((N5+N16),0)</f>
        <v>640.83621470867172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0.21402220263698976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393.47009009877377</v>
      </c>
      <c r="C22" s="23">
        <f ca="1">C18*C20</f>
        <v>0</v>
      </c>
      <c r="D22" s="23">
        <f>D18*D20</f>
        <v>71708.329056502364</v>
      </c>
      <c r="E22" s="23">
        <f>E18*E20</f>
        <v>58.631017836500753</v>
      </c>
      <c r="F22" s="23">
        <f>F18*F20</f>
        <v>490.75038016448576</v>
      </c>
      <c r="G22" s="23"/>
      <c r="H22" s="23"/>
      <c r="I22" s="23"/>
      <c r="J22" s="23">
        <f>J18*J20</f>
        <v>5.1005101468715575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73.72847999999999</v>
      </c>
      <c r="C30" s="39">
        <f>IF(ISERROR(B30*3.6/1000000/'E Balans VL '!Z18*100),0,B30*3.6/1000000/'E Balans VL '!Z18*100)</f>
        <v>1.0319530171260454E-2</v>
      </c>
      <c r="D30" s="237" t="s">
        <v>692</v>
      </c>
    </row>
    <row r="31" spans="1:18">
      <c r="A31" s="6" t="s">
        <v>33</v>
      </c>
      <c r="B31" s="37">
        <f>IF( ISERROR(IND_ander_ele_kWh/1000),0,IND_ander_ele_kWh/1000)</f>
        <v>878.94939999999997</v>
      </c>
      <c r="C31" s="39">
        <f>IF(ISERROR(B31*3.6/1000000/'E Balans VL '!Z19*100),0,B31*3.6/1000000/'E Balans VL '!Z19*100)</f>
        <v>3.8471472652149521E-2</v>
      </c>
      <c r="D31" s="237" t="s">
        <v>692</v>
      </c>
    </row>
    <row r="32" spans="1:18">
      <c r="A32" s="171" t="s">
        <v>41</v>
      </c>
      <c r="B32" s="37">
        <f>IF( ISERROR(IND_voed_ele_kWh/1000),0,IND_voed_ele_kWh/1000)</f>
        <v>572.88830000000007</v>
      </c>
      <c r="C32" s="39">
        <f>IF(ISERROR(B32*3.6/1000000/'E Balans VL '!Z20*100),0,B32*3.6/1000000/'E Balans VL '!Z20*100)</f>
        <v>0.14182811839795861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46.252459999999999</v>
      </c>
      <c r="C35" s="39">
        <f>IF(ISERROR(B35*3.6/1000000/'E Balans VL '!Z22*100),0,B35*3.6/1000000/'E Balans VL '!Z22*100)</f>
        <v>1.3124561149047732E-3</v>
      </c>
      <c r="D35" s="237" t="s">
        <v>692</v>
      </c>
    </row>
    <row r="36" spans="1:5">
      <c r="A36" s="171" t="s">
        <v>34</v>
      </c>
      <c r="B36" s="37">
        <f>IF( ISERROR(IND_chemie_ele_kWh/1000),0,IND_chemie_ele_kWh/1000)</f>
        <v>100.468</v>
      </c>
      <c r="C36" s="39">
        <f>IF(ISERROR(B36*3.6/1000000/'E Balans VL '!Z24*100),0,B36*3.6/1000000/'E Balans VL '!Z24*100)</f>
        <v>2.5617806519824264E-3</v>
      </c>
      <c r="D36" s="237" t="s">
        <v>692</v>
      </c>
    </row>
    <row r="37" spans="1:5">
      <c r="A37" s="171" t="s">
        <v>270</v>
      </c>
      <c r="B37" s="37">
        <f>IF( ISERROR(IND_rest_ele_kWh/1000),0,IND_rest_ele_kWh/1000)</f>
        <v>166.1679</v>
      </c>
      <c r="C37" s="39">
        <f>IF(ISERROR(B37*3.6/1000000/'E Balans VL '!Z15*100),0,B37*3.6/1000000/'E Balans VL '!Z15*100)</f>
        <v>1.232106529351653E-3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209.26979</v>
      </c>
      <c r="C5" s="17">
        <f>'Eigen informatie GS &amp; warmtenet'!B60</f>
        <v>0</v>
      </c>
      <c r="D5" s="30">
        <f>IF(ISERROR(SUM(LB_lb_gas_kWh,LB_rest_gas_kWh)/1000),0,SUM(LB_lb_gas_kWh,LB_rest_gas_kWh)/1000)*0.902</f>
        <v>53.685126032855088</v>
      </c>
      <c r="E5" s="17">
        <f>B17*'E Balans VL '!I25/3.6*1000000/100</f>
        <v>1.9383444452250311</v>
      </c>
      <c r="F5" s="17">
        <f>B17*('E Balans VL '!L25/3.6*1000000+'E Balans VL '!N25/3.6*1000000)/100</f>
        <v>530.9573230840839</v>
      </c>
      <c r="G5" s="18"/>
      <c r="H5" s="17"/>
      <c r="I5" s="17"/>
      <c r="J5" s="17">
        <f>('E Balans VL '!D25+'E Balans VL '!E25)/3.6*1000000*landbouw!B17/100</f>
        <v>32.083394264672656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209.26979</v>
      </c>
      <c r="C8" s="21">
        <f>C5+C6</f>
        <v>0</v>
      </c>
      <c r="D8" s="21">
        <f>MAX((D5+D6),0)</f>
        <v>53.685126032855088</v>
      </c>
      <c r="E8" s="21">
        <f>MAX((E5+E6),0)</f>
        <v>1.9383444452250311</v>
      </c>
      <c r="F8" s="21">
        <f>MAX((F5+F6),0)</f>
        <v>530.9573230840839</v>
      </c>
      <c r="G8" s="21"/>
      <c r="H8" s="21"/>
      <c r="I8" s="21"/>
      <c r="J8" s="21">
        <f>MAX((J5+J6),0)</f>
        <v>32.083394264672656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0.21402220263698976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44.788381401180295</v>
      </c>
      <c r="C12" s="23">
        <f ca="1">C8*C10</f>
        <v>0</v>
      </c>
      <c r="D12" s="23">
        <f>D8*D10</f>
        <v>10.844395458636729</v>
      </c>
      <c r="E12" s="23">
        <f>E8*E10</f>
        <v>0.44000418906608207</v>
      </c>
      <c r="F12" s="23">
        <f>F8*F10</f>
        <v>141.7656052634504</v>
      </c>
      <c r="G12" s="23"/>
      <c r="H12" s="23"/>
      <c r="I12" s="23"/>
      <c r="J12" s="23">
        <f>J8*J10</f>
        <v>11.35752156969412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2.9753726851471152E-2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35.700068183115391</v>
      </c>
      <c r="C26" s="247">
        <f>B26*'GWP N2O_CH4'!B5</f>
        <v>749.70143184542326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7.6908558554159612</v>
      </c>
      <c r="C27" s="247">
        <f>B27*'GWP N2O_CH4'!B5</f>
        <v>161.5079729637352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0.37482499033297367</v>
      </c>
      <c r="C28" s="247">
        <f>B28*'GWP N2O_CH4'!B4</f>
        <v>116.19574700322184</v>
      </c>
      <c r="D28" s="50"/>
    </row>
    <row r="29" spans="1:4">
      <c r="A29" s="41" t="s">
        <v>277</v>
      </c>
      <c r="B29" s="247">
        <f>B34*'ha_N2O bodem landbouw'!B4</f>
        <v>0.68183807620170589</v>
      </c>
      <c r="C29" s="247">
        <f>B29*'GWP N2O_CH4'!B4</f>
        <v>211.36980362252882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1.5292426833903459E-4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3.3271779683552415E-5</v>
      </c>
      <c r="C5" s="464" t="s">
        <v>211</v>
      </c>
      <c r="D5" s="449">
        <f>SUM(D6:D11)</f>
        <v>9.4020178866955912E-5</v>
      </c>
      <c r="E5" s="449">
        <f>SUM(E6:E11)</f>
        <v>5.924967033238721E-4</v>
      </c>
      <c r="F5" s="462" t="s">
        <v>211</v>
      </c>
      <c r="G5" s="449">
        <f>SUM(G6:G11)</f>
        <v>0.15228982364825924</v>
      </c>
      <c r="H5" s="449">
        <f>SUM(H6:H11)</f>
        <v>3.536557342279379E-2</v>
      </c>
      <c r="I5" s="464" t="s">
        <v>211</v>
      </c>
      <c r="J5" s="464" t="s">
        <v>211</v>
      </c>
      <c r="K5" s="464" t="s">
        <v>211</v>
      </c>
      <c r="L5" s="464" t="s">
        <v>211</v>
      </c>
      <c r="M5" s="449">
        <f>SUM(M6:M11)</f>
        <v>9.8979675197238444E-3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2.3677923892986147E-5</v>
      </c>
      <c r="C6" s="450"/>
      <c r="D6" s="893">
        <f>vkm_2011_GW_PW*SUMIFS(TableVerdeelsleutelVkm[CNG],TableVerdeelsleutelVkm[Voertuigtype],"Lichte voertuigen")*SUMIFS(TableECFTransport[EnergieConsumptieFactor (PJ per km)],TableECFTransport[Index],CONCATENATE($A6,"_CNG_CNG"))</f>
        <v>5.4769644795910381E-5</v>
      </c>
      <c r="E6" s="893">
        <f>vkm_2011_GW_PW*SUMIFS(TableVerdeelsleutelVkm[LPG],TableVerdeelsleutelVkm[Voertuigtype],"Lichte voertuigen")*SUMIFS(TableECFTransport[EnergieConsumptieFactor (PJ per km)],TableECFTransport[Index],CONCATENATE($A6,"_LPG_LPG"))</f>
        <v>3.5662685244891465E-4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7.4086590174549841E-2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2.0883478725076138E-2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4.9284542575300508E-3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2.4671598678465807E-2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8.4372386909317801E-6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1.4273918285169086E-3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9.59385579056627E-6</v>
      </c>
      <c r="C8" s="450"/>
      <c r="D8" s="452">
        <f>vkm_2011_NGW_PW*SUMIFS(TableVerdeelsleutelVkm[CNG],TableVerdeelsleutelVkm[Voertuigtype],"Lichte voertuigen")*SUMIFS(TableECFTransport[EnergieConsumptieFactor (PJ per km)],TableECFTransport[Index],CONCATENATE($A8,"_CNG_CNG"))</f>
        <v>3.9250534071045532E-5</v>
      </c>
      <c r="E8" s="452">
        <f>vkm_2011_NGW_PW*SUMIFS(TableVerdeelsleutelVkm[LPG],TableVerdeelsleutelVkm[Voertuigtype],"Lichte voertuigen")*SUMIFS(TableECFTransport[EnergieConsumptieFactor (PJ per km)],TableECFTransport[Index],CONCATENATE($A8,"_LPG_LPG"))</f>
        <v>2.358698508749575E-4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4.5805578531886548E-2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1.4471157397218293E-2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3.0951296604454729E-3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7.7260562633570369E-3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2.5000618084287608E-6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4.4699177323141227E-4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9.2421610232090039</v>
      </c>
      <c r="C14" s="21"/>
      <c r="D14" s="21">
        <f t="shared" ref="D14:M14" si="0">((D5)*10^9/3600)+D12</f>
        <v>26.116716351932201</v>
      </c>
      <c r="E14" s="21">
        <f t="shared" si="0"/>
        <v>164.58241758996445</v>
      </c>
      <c r="F14" s="21"/>
      <c r="G14" s="21">
        <f t="shared" si="0"/>
        <v>42302.728791183123</v>
      </c>
      <c r="H14" s="21">
        <f t="shared" si="0"/>
        <v>9823.7703952204974</v>
      </c>
      <c r="I14" s="21"/>
      <c r="J14" s="21"/>
      <c r="K14" s="21"/>
      <c r="L14" s="21"/>
      <c r="M14" s="21">
        <f t="shared" si="0"/>
        <v>2749.4354221455123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0.21402220263698976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1.978027659312926</v>
      </c>
      <c r="C18" s="23"/>
      <c r="D18" s="23">
        <f t="shared" ref="D18:M18" si="1">D14*D16</f>
        <v>5.2755767030903051</v>
      </c>
      <c r="E18" s="23">
        <f t="shared" si="1"/>
        <v>37.360208792921931</v>
      </c>
      <c r="F18" s="23"/>
      <c r="G18" s="23">
        <f t="shared" si="1"/>
        <v>11294.828587245895</v>
      </c>
      <c r="H18" s="23">
        <f t="shared" si="1"/>
        <v>2446.1188284099039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5.6046760885234779E-3</v>
      </c>
      <c r="C50" s="321">
        <f t="shared" ref="C50:P50" si="2">SUM(C51:C52)</f>
        <v>0</v>
      </c>
      <c r="D50" s="321">
        <f t="shared" si="2"/>
        <v>0</v>
      </c>
      <c r="E50" s="321">
        <f t="shared" si="2"/>
        <v>0</v>
      </c>
      <c r="F50" s="321">
        <f t="shared" si="2"/>
        <v>0</v>
      </c>
      <c r="G50" s="321">
        <f t="shared" si="2"/>
        <v>8.7133867541286623E-3</v>
      </c>
      <c r="H50" s="321">
        <f t="shared" si="2"/>
        <v>0</v>
      </c>
      <c r="I50" s="321">
        <f t="shared" si="2"/>
        <v>0</v>
      </c>
      <c r="J50" s="321">
        <f t="shared" si="2"/>
        <v>0</v>
      </c>
      <c r="K50" s="321">
        <f t="shared" si="2"/>
        <v>0</v>
      </c>
      <c r="L50" s="321">
        <f t="shared" si="2"/>
        <v>0</v>
      </c>
      <c r="M50" s="321">
        <f t="shared" si="2"/>
        <v>4.968990456934194E-4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8.7133867541286623E-3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4.968990456934194E-4</v>
      </c>
      <c r="N51" s="323"/>
      <c r="O51" s="323"/>
      <c r="P51" s="326"/>
    </row>
    <row r="52" spans="1:18">
      <c r="A52" s="4" t="s">
        <v>330</v>
      </c>
      <c r="B52" s="894">
        <f>vkm_2011_tram*SUMIFS(TableECFTransport[EnergieConsumptieFactor (PJ per km)],TableECFTransport[Index],"Tram_gemiddeld_Electric_Electric")</f>
        <v>5.6046760885234779E-3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1556.8544690342994</v>
      </c>
      <c r="C54" s="21">
        <f t="shared" ref="C54:P54" si="3">(C50)*10^9/3600</f>
        <v>0</v>
      </c>
      <c r="D54" s="21">
        <f t="shared" si="3"/>
        <v>0</v>
      </c>
      <c r="E54" s="21">
        <f t="shared" si="3"/>
        <v>0</v>
      </c>
      <c r="F54" s="21">
        <f t="shared" si="3"/>
        <v>0</v>
      </c>
      <c r="G54" s="21">
        <f t="shared" si="3"/>
        <v>2420.3852094801841</v>
      </c>
      <c r="H54" s="21">
        <f t="shared" si="3"/>
        <v>0</v>
      </c>
      <c r="I54" s="21">
        <f t="shared" si="3"/>
        <v>0</v>
      </c>
      <c r="J54" s="21">
        <f t="shared" si="3"/>
        <v>0</v>
      </c>
      <c r="K54" s="21">
        <f t="shared" si="3"/>
        <v>0</v>
      </c>
      <c r="L54" s="21">
        <f t="shared" si="3"/>
        <v>0</v>
      </c>
      <c r="M54" s="21">
        <f t="shared" si="3"/>
        <v>138.02751269261651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0.21402220263698976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333.20142264796192</v>
      </c>
      <c r="C58" s="23">
        <f t="shared" ref="C58:P58" ca="1" si="4">C54*C56</f>
        <v>0</v>
      </c>
      <c r="D58" s="23">
        <f t="shared" si="4"/>
        <v>0</v>
      </c>
      <c r="E58" s="23">
        <f t="shared" si="4"/>
        <v>0</v>
      </c>
      <c r="F58" s="23">
        <f t="shared" si="4"/>
        <v>0</v>
      </c>
      <c r="G58" s="23">
        <f t="shared" si="4"/>
        <v>646.2428509312092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30418.212</v>
      </c>
      <c r="D10" s="1025">
        <f ca="1">tertiair!C16</f>
        <v>0</v>
      </c>
      <c r="E10" s="1025">
        <f ca="1">tertiair!D16</f>
        <v>43270.679761289597</v>
      </c>
      <c r="F10" s="1025">
        <f>tertiair!E16</f>
        <v>322.68750007898393</v>
      </c>
      <c r="G10" s="1025">
        <f ca="1">tertiair!F16</f>
        <v>4317.8103126023771</v>
      </c>
      <c r="H10" s="1025">
        <f>tertiair!G16</f>
        <v>0</v>
      </c>
      <c r="I10" s="1025">
        <f>tertiair!H16</f>
        <v>0</v>
      </c>
      <c r="J10" s="1025">
        <f>tertiair!I16</f>
        <v>0</v>
      </c>
      <c r="K10" s="1025">
        <f>tertiair!J16</f>
        <v>0</v>
      </c>
      <c r="L10" s="1025">
        <f>tertiair!K16</f>
        <v>0</v>
      </c>
      <c r="M10" s="1025">
        <f ca="1">tertiair!L16</f>
        <v>0</v>
      </c>
      <c r="N10" s="1025">
        <f>tertiair!M16</f>
        <v>0</v>
      </c>
      <c r="O10" s="1025">
        <f ca="1">tertiair!N16</f>
        <v>1648.3742668525119</v>
      </c>
      <c r="P10" s="1025">
        <f>tertiair!O16</f>
        <v>0</v>
      </c>
      <c r="Q10" s="1026">
        <f>tertiair!P16</f>
        <v>0</v>
      </c>
      <c r="R10" s="701">
        <f ca="1">SUM(C10:Q10)</f>
        <v>79977.763840823463</v>
      </c>
      <c r="S10" s="67"/>
    </row>
    <row r="11" spans="1:19" s="474" customFormat="1">
      <c r="A11" s="810" t="s">
        <v>225</v>
      </c>
      <c r="B11" s="815"/>
      <c r="C11" s="1025">
        <f>huishoudens!B8</f>
        <v>36691.195057552075</v>
      </c>
      <c r="D11" s="1025">
        <f>huishoudens!C8</f>
        <v>0</v>
      </c>
      <c r="E11" s="1025">
        <f>huishoudens!D8</f>
        <v>117090.87761341331</v>
      </c>
      <c r="F11" s="1025">
        <f>huishoudens!E8</f>
        <v>546.18672298644867</v>
      </c>
      <c r="G11" s="1025">
        <f>huishoudens!F8</f>
        <v>5932.5731139991585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4272.020053333752</v>
      </c>
      <c r="P11" s="1025">
        <f>huishoudens!O8</f>
        <v>139.13666666666668</v>
      </c>
      <c r="Q11" s="1026">
        <f>huishoudens!P8</f>
        <v>324.13333333333333</v>
      </c>
      <c r="R11" s="701">
        <f>SUM(C11:Q11)</f>
        <v>164996.12256128475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1838.45454</v>
      </c>
      <c r="D13" s="1025">
        <f>industrie!C18</f>
        <v>0</v>
      </c>
      <c r="E13" s="1025">
        <f>industrie!D18</f>
        <v>354991.72800248693</v>
      </c>
      <c r="F13" s="1025">
        <f>industrie!E18</f>
        <v>258.28642218722797</v>
      </c>
      <c r="G13" s="1025">
        <f>industrie!F18</f>
        <v>1838.0164051104334</v>
      </c>
      <c r="H13" s="1025">
        <f>industrie!G18</f>
        <v>0</v>
      </c>
      <c r="I13" s="1025">
        <f>industrie!H18</f>
        <v>0</v>
      </c>
      <c r="J13" s="1025">
        <f>industrie!I18</f>
        <v>0</v>
      </c>
      <c r="K13" s="1025">
        <f>industrie!J18</f>
        <v>14.408220753874458</v>
      </c>
      <c r="L13" s="1025">
        <f>industrie!K18</f>
        <v>0</v>
      </c>
      <c r="M13" s="1025">
        <f>industrie!L18</f>
        <v>0</v>
      </c>
      <c r="N13" s="1025">
        <f>industrie!M18</f>
        <v>0</v>
      </c>
      <c r="O13" s="1025">
        <f>industrie!N18</f>
        <v>640.83621470867172</v>
      </c>
      <c r="P13" s="1025">
        <f>industrie!O18</f>
        <v>0</v>
      </c>
      <c r="Q13" s="1026">
        <f>industrie!P18</f>
        <v>0</v>
      </c>
      <c r="R13" s="701">
        <f>SUM(C13:Q13)</f>
        <v>359581.72980524716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68947.861597552081</v>
      </c>
      <c r="D16" s="733">
        <f t="shared" ref="D16:R16" ca="1" si="0">SUM(D9:D15)</f>
        <v>0</v>
      </c>
      <c r="E16" s="733">
        <f t="shared" ca="1" si="0"/>
        <v>515353.28537718987</v>
      </c>
      <c r="F16" s="733">
        <f t="shared" si="0"/>
        <v>1127.1606452526605</v>
      </c>
      <c r="G16" s="733">
        <f t="shared" ca="1" si="0"/>
        <v>12088.399831711969</v>
      </c>
      <c r="H16" s="733">
        <f t="shared" si="0"/>
        <v>0</v>
      </c>
      <c r="I16" s="733">
        <f t="shared" si="0"/>
        <v>0</v>
      </c>
      <c r="J16" s="733">
        <f t="shared" si="0"/>
        <v>0</v>
      </c>
      <c r="K16" s="733">
        <f t="shared" si="0"/>
        <v>14.408220753874458</v>
      </c>
      <c r="L16" s="733">
        <f t="shared" si="0"/>
        <v>0</v>
      </c>
      <c r="M16" s="733">
        <f t="shared" ca="1" si="0"/>
        <v>0</v>
      </c>
      <c r="N16" s="733">
        <f t="shared" si="0"/>
        <v>0</v>
      </c>
      <c r="O16" s="733">
        <f t="shared" ca="1" si="0"/>
        <v>6561.2305348949358</v>
      </c>
      <c r="P16" s="733">
        <f t="shared" si="0"/>
        <v>139.13666666666668</v>
      </c>
      <c r="Q16" s="733">
        <f t="shared" si="0"/>
        <v>324.13333333333333</v>
      </c>
      <c r="R16" s="733">
        <f t="shared" ca="1" si="0"/>
        <v>604555.6162073554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1556.8544690342994</v>
      </c>
      <c r="D19" s="1025">
        <f>transport!C54</f>
        <v>0</v>
      </c>
      <c r="E19" s="1025">
        <f>transport!D54</f>
        <v>0</v>
      </c>
      <c r="F19" s="1025">
        <f>transport!E54</f>
        <v>0</v>
      </c>
      <c r="G19" s="1025">
        <f>transport!F54</f>
        <v>0</v>
      </c>
      <c r="H19" s="1025">
        <f>transport!G54</f>
        <v>2420.3852094801841</v>
      </c>
      <c r="I19" s="1025">
        <f>transport!H54</f>
        <v>0</v>
      </c>
      <c r="J19" s="1025">
        <f>transport!I54</f>
        <v>0</v>
      </c>
      <c r="K19" s="1025">
        <f>transport!J54</f>
        <v>0</v>
      </c>
      <c r="L19" s="1025">
        <f>transport!K54</f>
        <v>0</v>
      </c>
      <c r="M19" s="1025">
        <f>transport!L54</f>
        <v>0</v>
      </c>
      <c r="N19" s="1025">
        <f>transport!M54</f>
        <v>138.02751269261651</v>
      </c>
      <c r="O19" s="1025">
        <f>transport!N54</f>
        <v>0</v>
      </c>
      <c r="P19" s="1025">
        <f>transport!O54</f>
        <v>0</v>
      </c>
      <c r="Q19" s="1026">
        <f>transport!P54</f>
        <v>0</v>
      </c>
      <c r="R19" s="701">
        <f>SUM(C19:Q19)</f>
        <v>4115.2671912071</v>
      </c>
      <c r="S19" s="67"/>
    </row>
    <row r="20" spans="1:19" s="474" customFormat="1">
      <c r="A20" s="810" t="s">
        <v>307</v>
      </c>
      <c r="B20" s="815"/>
      <c r="C20" s="1025">
        <f>transport!B14</f>
        <v>9.2421610232090039</v>
      </c>
      <c r="D20" s="1025">
        <f>transport!C14</f>
        <v>0</v>
      </c>
      <c r="E20" s="1025">
        <f>transport!D14</f>
        <v>26.116716351932201</v>
      </c>
      <c r="F20" s="1025">
        <f>transport!E14</f>
        <v>164.58241758996445</v>
      </c>
      <c r="G20" s="1025">
        <f>transport!F14</f>
        <v>0</v>
      </c>
      <c r="H20" s="1025">
        <f>transport!G14</f>
        <v>42302.728791183123</v>
      </c>
      <c r="I20" s="1025">
        <f>transport!H14</f>
        <v>9823.7703952204974</v>
      </c>
      <c r="J20" s="1025">
        <f>transport!I14</f>
        <v>0</v>
      </c>
      <c r="K20" s="1025">
        <f>transport!J14</f>
        <v>0</v>
      </c>
      <c r="L20" s="1025">
        <f>transport!K14</f>
        <v>0</v>
      </c>
      <c r="M20" s="1025">
        <f>transport!L14</f>
        <v>0</v>
      </c>
      <c r="N20" s="1025">
        <f>transport!M14</f>
        <v>2749.4354221455123</v>
      </c>
      <c r="O20" s="1025">
        <f>transport!N14</f>
        <v>0</v>
      </c>
      <c r="P20" s="1025">
        <f>transport!O14</f>
        <v>0</v>
      </c>
      <c r="Q20" s="1026">
        <f>transport!P14</f>
        <v>0</v>
      </c>
      <c r="R20" s="701">
        <f>SUM(C20:Q20)</f>
        <v>55075.875903514243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1566.0966300575085</v>
      </c>
      <c r="D22" s="813">
        <f t="shared" ref="D22:R22" si="1">SUM(D18:D21)</f>
        <v>0</v>
      </c>
      <c r="E22" s="813">
        <f t="shared" si="1"/>
        <v>26.116716351932201</v>
      </c>
      <c r="F22" s="813">
        <f t="shared" si="1"/>
        <v>164.58241758996445</v>
      </c>
      <c r="G22" s="813">
        <f t="shared" si="1"/>
        <v>0</v>
      </c>
      <c r="H22" s="813">
        <f t="shared" si="1"/>
        <v>44723.114000663307</v>
      </c>
      <c r="I22" s="813">
        <f t="shared" si="1"/>
        <v>9823.7703952204974</v>
      </c>
      <c r="J22" s="813">
        <f t="shared" si="1"/>
        <v>0</v>
      </c>
      <c r="K22" s="813">
        <f t="shared" si="1"/>
        <v>0</v>
      </c>
      <c r="L22" s="813">
        <f t="shared" si="1"/>
        <v>0</v>
      </c>
      <c r="M22" s="813">
        <f t="shared" si="1"/>
        <v>0</v>
      </c>
      <c r="N22" s="813">
        <f t="shared" si="1"/>
        <v>2887.4629348381291</v>
      </c>
      <c r="O22" s="813">
        <f t="shared" si="1"/>
        <v>0</v>
      </c>
      <c r="P22" s="813">
        <f t="shared" si="1"/>
        <v>0</v>
      </c>
      <c r="Q22" s="813">
        <f t="shared" si="1"/>
        <v>0</v>
      </c>
      <c r="R22" s="813">
        <f t="shared" si="1"/>
        <v>59191.143094721345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209.26979</v>
      </c>
      <c r="D24" s="1025">
        <f>+landbouw!C8</f>
        <v>0</v>
      </c>
      <c r="E24" s="1025">
        <f>+landbouw!D8</f>
        <v>53.685126032855088</v>
      </c>
      <c r="F24" s="1025">
        <f>+landbouw!E8</f>
        <v>1.9383444452250311</v>
      </c>
      <c r="G24" s="1025">
        <f>+landbouw!F8</f>
        <v>530.9573230840839</v>
      </c>
      <c r="H24" s="1025">
        <f>+landbouw!G8</f>
        <v>0</v>
      </c>
      <c r="I24" s="1025">
        <f>+landbouw!H8</f>
        <v>0</v>
      </c>
      <c r="J24" s="1025">
        <f>+landbouw!I8</f>
        <v>0</v>
      </c>
      <c r="K24" s="1025">
        <f>+landbouw!J8</f>
        <v>32.083394264672656</v>
      </c>
      <c r="L24" s="1025">
        <f>+landbouw!K8</f>
        <v>0</v>
      </c>
      <c r="M24" s="1025">
        <f>+landbouw!L8</f>
        <v>0</v>
      </c>
      <c r="N24" s="1025">
        <f>+landbouw!M8</f>
        <v>0</v>
      </c>
      <c r="O24" s="1025">
        <f>+landbouw!N8</f>
        <v>0</v>
      </c>
      <c r="P24" s="1025">
        <f>+landbouw!O8</f>
        <v>0</v>
      </c>
      <c r="Q24" s="1026">
        <f>+landbouw!P8</f>
        <v>0</v>
      </c>
      <c r="R24" s="701">
        <f>SUM(C24:Q24)</f>
        <v>827.93397782683667</v>
      </c>
      <c r="S24" s="67"/>
    </row>
    <row r="25" spans="1:19" s="474" customFormat="1" ht="15" thickBot="1">
      <c r="A25" s="832" t="s">
        <v>864</v>
      </c>
      <c r="B25" s="1028"/>
      <c r="C25" s="1029">
        <f>IF(Onbekend_ele_kWh="---",0,Onbekend_ele_kWh)/1000+IF(REST_rest_ele_kWh="---",0,REST_rest_ele_kWh)/1000</f>
        <v>2091.4540000000002</v>
      </c>
      <c r="D25" s="1029"/>
      <c r="E25" s="1029">
        <f>IF(onbekend_gas_kWh="---",0,onbekend_gas_kWh)/1000+IF(REST_rest_gas_kWh="---",0,REST_rest_gas_kWh)/1000</f>
        <v>5300.12569479988</v>
      </c>
      <c r="F25" s="1029"/>
      <c r="G25" s="1029"/>
      <c r="H25" s="1029"/>
      <c r="I25" s="1029"/>
      <c r="J25" s="1029"/>
      <c r="K25" s="1029"/>
      <c r="L25" s="1029"/>
      <c r="M25" s="1029"/>
      <c r="N25" s="1029"/>
      <c r="O25" s="1029"/>
      <c r="P25" s="1029"/>
      <c r="Q25" s="1030"/>
      <c r="R25" s="701">
        <f>SUM(C25:Q25)</f>
        <v>7391.5796947998806</v>
      </c>
      <c r="S25" s="67"/>
    </row>
    <row r="26" spans="1:19" s="474" customFormat="1" ht="15.75" thickBot="1">
      <c r="A26" s="706" t="s">
        <v>865</v>
      </c>
      <c r="B26" s="818"/>
      <c r="C26" s="813">
        <f>SUM(C24:C25)</f>
        <v>2300.72379</v>
      </c>
      <c r="D26" s="813">
        <f t="shared" ref="D26:R26" si="2">SUM(D24:D25)</f>
        <v>0</v>
      </c>
      <c r="E26" s="813">
        <f t="shared" si="2"/>
        <v>5353.8108208327349</v>
      </c>
      <c r="F26" s="813">
        <f t="shared" si="2"/>
        <v>1.9383444452250311</v>
      </c>
      <c r="G26" s="813">
        <f t="shared" si="2"/>
        <v>530.9573230840839</v>
      </c>
      <c r="H26" s="813">
        <f t="shared" si="2"/>
        <v>0</v>
      </c>
      <c r="I26" s="813">
        <f t="shared" si="2"/>
        <v>0</v>
      </c>
      <c r="J26" s="813">
        <f t="shared" si="2"/>
        <v>0</v>
      </c>
      <c r="K26" s="813">
        <f t="shared" si="2"/>
        <v>32.083394264672656</v>
      </c>
      <c r="L26" s="813">
        <f t="shared" si="2"/>
        <v>0</v>
      </c>
      <c r="M26" s="813">
        <f t="shared" si="2"/>
        <v>0</v>
      </c>
      <c r="N26" s="813">
        <f t="shared" si="2"/>
        <v>0</v>
      </c>
      <c r="O26" s="813">
        <f t="shared" si="2"/>
        <v>0</v>
      </c>
      <c r="P26" s="813">
        <f t="shared" si="2"/>
        <v>0</v>
      </c>
      <c r="Q26" s="813">
        <f t="shared" si="2"/>
        <v>0</v>
      </c>
      <c r="R26" s="813">
        <f t="shared" si="2"/>
        <v>8219.5136726267174</v>
      </c>
      <c r="S26" s="67"/>
    </row>
    <row r="27" spans="1:19" s="474" customFormat="1" ht="17.25" thickTop="1" thickBot="1">
      <c r="A27" s="707" t="s">
        <v>116</v>
      </c>
      <c r="B27" s="806"/>
      <c r="C27" s="708">
        <f ca="1">C22+C16+C26</f>
        <v>72814.682017609593</v>
      </c>
      <c r="D27" s="708">
        <f t="shared" ref="D27:R27" ca="1" si="3">D22+D16+D26</f>
        <v>0</v>
      </c>
      <c r="E27" s="708">
        <f t="shared" ca="1" si="3"/>
        <v>520733.21291437454</v>
      </c>
      <c r="F27" s="708">
        <f t="shared" si="3"/>
        <v>1293.6814072878501</v>
      </c>
      <c r="G27" s="708">
        <f t="shared" ca="1" si="3"/>
        <v>12619.357154796053</v>
      </c>
      <c r="H27" s="708">
        <f t="shared" si="3"/>
        <v>44723.114000663307</v>
      </c>
      <c r="I27" s="708">
        <f t="shared" si="3"/>
        <v>9823.7703952204974</v>
      </c>
      <c r="J27" s="708">
        <f t="shared" si="3"/>
        <v>0</v>
      </c>
      <c r="K27" s="708">
        <f t="shared" si="3"/>
        <v>46.491615018547115</v>
      </c>
      <c r="L27" s="708">
        <f t="shared" si="3"/>
        <v>0</v>
      </c>
      <c r="M27" s="708">
        <f t="shared" ca="1" si="3"/>
        <v>0</v>
      </c>
      <c r="N27" s="708">
        <f t="shared" si="3"/>
        <v>2887.4629348381291</v>
      </c>
      <c r="O27" s="708">
        <f t="shared" ca="1" si="3"/>
        <v>6561.2305348949358</v>
      </c>
      <c r="P27" s="708">
        <f t="shared" si="3"/>
        <v>139.13666666666668</v>
      </c>
      <c r="Q27" s="708">
        <f t="shared" si="3"/>
        <v>324.13333333333333</v>
      </c>
      <c r="R27" s="708">
        <f t="shared" ca="1" si="3"/>
        <v>671966.27297470346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6510.1727325189131</v>
      </c>
      <c r="D40" s="1025">
        <f ca="1">tertiair!C20</f>
        <v>0</v>
      </c>
      <c r="E40" s="1025">
        <f ca="1">tertiair!D20</f>
        <v>8740.6773117804987</v>
      </c>
      <c r="F40" s="1025">
        <f>tertiair!E20</f>
        <v>73.250062517929351</v>
      </c>
      <c r="G40" s="1025">
        <f ca="1">tertiair!F20</f>
        <v>1152.8553534648347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16476.955460282177</v>
      </c>
    </row>
    <row r="41" spans="1:18">
      <c r="A41" s="823" t="s">
        <v>225</v>
      </c>
      <c r="B41" s="830"/>
      <c r="C41" s="1025">
        <f ca="1">huishoudens!B12</f>
        <v>7852.7303836007277</v>
      </c>
      <c r="D41" s="1025">
        <f ca="1">huishoudens!C12</f>
        <v>0</v>
      </c>
      <c r="E41" s="1025">
        <f>huishoudens!D12</f>
        <v>23652.35727790949</v>
      </c>
      <c r="F41" s="1025">
        <f>huishoudens!E12</f>
        <v>123.98438611792385</v>
      </c>
      <c r="G41" s="1025">
        <f>huishoudens!F12</f>
        <v>1583.9970214377754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33213.069069065918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393.47009009877377</v>
      </c>
      <c r="D43" s="1025">
        <f ca="1">industrie!C22</f>
        <v>0</v>
      </c>
      <c r="E43" s="1025">
        <f>industrie!D22</f>
        <v>71708.329056502364</v>
      </c>
      <c r="F43" s="1025">
        <f>industrie!E22</f>
        <v>58.631017836500753</v>
      </c>
      <c r="G43" s="1025">
        <f>industrie!F22</f>
        <v>490.75038016448576</v>
      </c>
      <c r="H43" s="1025">
        <f>industrie!G22</f>
        <v>0</v>
      </c>
      <c r="I43" s="1025">
        <f>industrie!H22</f>
        <v>0</v>
      </c>
      <c r="J43" s="1025">
        <f>industrie!I22</f>
        <v>0</v>
      </c>
      <c r="K43" s="1025">
        <f>industrie!J22</f>
        <v>5.1005101468715575</v>
      </c>
      <c r="L43" s="1025">
        <f>industrie!K22</f>
        <v>0</v>
      </c>
      <c r="M43" s="1025">
        <f>industrie!L22</f>
        <v>0</v>
      </c>
      <c r="N43" s="1025">
        <f>industrie!M22</f>
        <v>0</v>
      </c>
      <c r="O43" s="1025">
        <f>industrie!N22</f>
        <v>0</v>
      </c>
      <c r="P43" s="1025">
        <f>industrie!O22</f>
        <v>0</v>
      </c>
      <c r="Q43" s="775">
        <f>industrie!P22</f>
        <v>0</v>
      </c>
      <c r="R43" s="850">
        <f t="shared" ca="1" si="4"/>
        <v>72656.281054749008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14756.373206218414</v>
      </c>
      <c r="D46" s="733">
        <f t="shared" ref="D46:Q46" ca="1" si="5">SUM(D39:D45)</f>
        <v>0</v>
      </c>
      <c r="E46" s="733">
        <f t="shared" ca="1" si="5"/>
        <v>104101.36364619236</v>
      </c>
      <c r="F46" s="733">
        <f t="shared" si="5"/>
        <v>255.86546647235394</v>
      </c>
      <c r="G46" s="733">
        <f t="shared" ca="1" si="5"/>
        <v>3227.6027550670956</v>
      </c>
      <c r="H46" s="733">
        <f t="shared" si="5"/>
        <v>0</v>
      </c>
      <c r="I46" s="733">
        <f t="shared" si="5"/>
        <v>0</v>
      </c>
      <c r="J46" s="733">
        <f t="shared" si="5"/>
        <v>0</v>
      </c>
      <c r="K46" s="733">
        <f t="shared" si="5"/>
        <v>5.1005101468715575</v>
      </c>
      <c r="L46" s="733">
        <f t="shared" si="5"/>
        <v>0</v>
      </c>
      <c r="M46" s="733">
        <f t="shared" ca="1" si="5"/>
        <v>0</v>
      </c>
      <c r="N46" s="733">
        <f t="shared" si="5"/>
        <v>0</v>
      </c>
      <c r="O46" s="733">
        <f t="shared" ca="1" si="5"/>
        <v>0</v>
      </c>
      <c r="P46" s="733">
        <f t="shared" si="5"/>
        <v>0</v>
      </c>
      <c r="Q46" s="733">
        <f t="shared" si="5"/>
        <v>0</v>
      </c>
      <c r="R46" s="733">
        <f ca="1">SUM(R39:R45)</f>
        <v>122346.30558409711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333.20142264796192</v>
      </c>
      <c r="D49" s="1025">
        <f ca="1">transport!C58</f>
        <v>0</v>
      </c>
      <c r="E49" s="1025">
        <f>transport!D58</f>
        <v>0</v>
      </c>
      <c r="F49" s="1025">
        <f>transport!E58</f>
        <v>0</v>
      </c>
      <c r="G49" s="1025">
        <f>transport!F58</f>
        <v>0</v>
      </c>
      <c r="H49" s="1025">
        <f>transport!G58</f>
        <v>646.2428509312092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979.44427357917107</v>
      </c>
    </row>
    <row r="50" spans="1:18">
      <c r="A50" s="826" t="s">
        <v>307</v>
      </c>
      <c r="B50" s="836"/>
      <c r="C50" s="704">
        <f ca="1">transport!B18</f>
        <v>1.978027659312926</v>
      </c>
      <c r="D50" s="704">
        <f>transport!C18</f>
        <v>0</v>
      </c>
      <c r="E50" s="704">
        <f>transport!D18</f>
        <v>5.2755767030903051</v>
      </c>
      <c r="F50" s="704">
        <f>transport!E18</f>
        <v>37.360208792921931</v>
      </c>
      <c r="G50" s="704">
        <f>transport!F18</f>
        <v>0</v>
      </c>
      <c r="H50" s="704">
        <f>transport!G18</f>
        <v>11294.828587245895</v>
      </c>
      <c r="I50" s="704">
        <f>transport!H18</f>
        <v>2446.1188284099039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13785.561228811124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335.17945030727486</v>
      </c>
      <c r="D52" s="733">
        <f t="shared" ref="D52:Q52" ca="1" si="6">SUM(D48:D51)</f>
        <v>0</v>
      </c>
      <c r="E52" s="733">
        <f t="shared" si="6"/>
        <v>5.2755767030903051</v>
      </c>
      <c r="F52" s="733">
        <f t="shared" si="6"/>
        <v>37.360208792921931</v>
      </c>
      <c r="G52" s="733">
        <f t="shared" si="6"/>
        <v>0</v>
      </c>
      <c r="H52" s="733">
        <f t="shared" si="6"/>
        <v>11941.071438177103</v>
      </c>
      <c r="I52" s="733">
        <f t="shared" si="6"/>
        <v>2446.1188284099039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14765.005502390295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44.788381401180295</v>
      </c>
      <c r="D54" s="704">
        <f ca="1">+landbouw!C12</f>
        <v>0</v>
      </c>
      <c r="E54" s="704">
        <f>+landbouw!D12</f>
        <v>10.844395458636729</v>
      </c>
      <c r="F54" s="704">
        <f>+landbouw!E12</f>
        <v>0.44000418906608207</v>
      </c>
      <c r="G54" s="704">
        <f>+landbouw!F12</f>
        <v>141.7656052634504</v>
      </c>
      <c r="H54" s="704">
        <f>+landbouw!G12</f>
        <v>0</v>
      </c>
      <c r="I54" s="704">
        <f>+landbouw!H12</f>
        <v>0</v>
      </c>
      <c r="J54" s="704">
        <f>+landbouw!I12</f>
        <v>0</v>
      </c>
      <c r="K54" s="704">
        <f>+landbouw!J12</f>
        <v>11.35752156969412</v>
      </c>
      <c r="L54" s="704">
        <f>+landbouw!K12</f>
        <v>0</v>
      </c>
      <c r="M54" s="704">
        <f>+landbouw!L12</f>
        <v>0</v>
      </c>
      <c r="N54" s="704">
        <f>+landbouw!M12</f>
        <v>0</v>
      </c>
      <c r="O54" s="704">
        <f>+landbouw!N12</f>
        <v>0</v>
      </c>
      <c r="P54" s="704">
        <f>+landbouw!O12</f>
        <v>0</v>
      </c>
      <c r="Q54" s="705">
        <f>+landbouw!P12</f>
        <v>0</v>
      </c>
      <c r="R54" s="732">
        <f ca="1">SUM(C54:Q54)</f>
        <v>209.19590788202763</v>
      </c>
    </row>
    <row r="55" spans="1:18" ht="15" thickBot="1">
      <c r="A55" s="826" t="s">
        <v>864</v>
      </c>
      <c r="B55" s="836"/>
      <c r="C55" s="704">
        <f ca="1">C25*'EF ele_warmte'!B12</f>
        <v>447.61759179394284</v>
      </c>
      <c r="D55" s="704"/>
      <c r="E55" s="704">
        <f>E25*EF_CO2_aardgas</f>
        <v>1070.6253903495758</v>
      </c>
      <c r="F55" s="704"/>
      <c r="G55" s="704"/>
      <c r="H55" s="704"/>
      <c r="I55" s="704"/>
      <c r="J55" s="704"/>
      <c r="K55" s="704"/>
      <c r="L55" s="704"/>
      <c r="M55" s="704"/>
      <c r="N55" s="704"/>
      <c r="O55" s="704"/>
      <c r="P55" s="704"/>
      <c r="Q55" s="705"/>
      <c r="R55" s="732">
        <f ca="1">SUM(C55:Q55)</f>
        <v>1518.2429821435187</v>
      </c>
    </row>
    <row r="56" spans="1:18" ht="15.75" thickBot="1">
      <c r="A56" s="824" t="s">
        <v>865</v>
      </c>
      <c r="B56" s="837"/>
      <c r="C56" s="733">
        <f ca="1">SUM(C54:C55)</f>
        <v>492.40597319512312</v>
      </c>
      <c r="D56" s="733">
        <f t="shared" ref="D56:Q56" ca="1" si="7">SUM(D54:D55)</f>
        <v>0</v>
      </c>
      <c r="E56" s="733">
        <f t="shared" si="7"/>
        <v>1081.4697858082125</v>
      </c>
      <c r="F56" s="733">
        <f t="shared" si="7"/>
        <v>0.44000418906608207</v>
      </c>
      <c r="G56" s="733">
        <f t="shared" si="7"/>
        <v>141.7656052634504</v>
      </c>
      <c r="H56" s="733">
        <f t="shared" si="7"/>
        <v>0</v>
      </c>
      <c r="I56" s="733">
        <f t="shared" si="7"/>
        <v>0</v>
      </c>
      <c r="J56" s="733">
        <f t="shared" si="7"/>
        <v>0</v>
      </c>
      <c r="K56" s="733">
        <f t="shared" si="7"/>
        <v>11.35752156969412</v>
      </c>
      <c r="L56" s="733">
        <f t="shared" si="7"/>
        <v>0</v>
      </c>
      <c r="M56" s="733">
        <f t="shared" si="7"/>
        <v>0</v>
      </c>
      <c r="N56" s="733">
        <f t="shared" si="7"/>
        <v>0</v>
      </c>
      <c r="O56" s="733">
        <f t="shared" si="7"/>
        <v>0</v>
      </c>
      <c r="P56" s="733">
        <f t="shared" si="7"/>
        <v>0</v>
      </c>
      <c r="Q56" s="734">
        <f t="shared" si="7"/>
        <v>0</v>
      </c>
      <c r="R56" s="735">
        <f ca="1">SUM(R54:R55)</f>
        <v>1727.4388900255462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15583.958629720812</v>
      </c>
      <c r="D61" s="741">
        <f t="shared" ref="D61:Q61" ca="1" si="8">D46+D52+D56</f>
        <v>0</v>
      </c>
      <c r="E61" s="741">
        <f t="shared" ca="1" si="8"/>
        <v>105188.10900870366</v>
      </c>
      <c r="F61" s="741">
        <f t="shared" si="8"/>
        <v>293.66567945434196</v>
      </c>
      <c r="G61" s="741">
        <f t="shared" ca="1" si="8"/>
        <v>3369.3683603305458</v>
      </c>
      <c r="H61" s="741">
        <f t="shared" si="8"/>
        <v>11941.071438177103</v>
      </c>
      <c r="I61" s="741">
        <f t="shared" si="8"/>
        <v>2446.1188284099039</v>
      </c>
      <c r="J61" s="741">
        <f t="shared" si="8"/>
        <v>0</v>
      </c>
      <c r="K61" s="741">
        <f t="shared" si="8"/>
        <v>16.458031716565678</v>
      </c>
      <c r="L61" s="741">
        <f t="shared" si="8"/>
        <v>0</v>
      </c>
      <c r="M61" s="741">
        <f t="shared" ca="1" si="8"/>
        <v>0</v>
      </c>
      <c r="N61" s="741">
        <f t="shared" si="8"/>
        <v>0</v>
      </c>
      <c r="O61" s="741">
        <f t="shared" ca="1" si="8"/>
        <v>0</v>
      </c>
      <c r="P61" s="741">
        <f t="shared" si="8"/>
        <v>0</v>
      </c>
      <c r="Q61" s="741">
        <f t="shared" si="8"/>
        <v>0</v>
      </c>
      <c r="R61" s="741">
        <f ca="1">R46+R52+R56</f>
        <v>138838.74997651295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0.21402220263698971</v>
      </c>
      <c r="D63" s="782">
        <f t="shared" ca="1" si="9"/>
        <v>0</v>
      </c>
      <c r="E63" s="1036">
        <f t="shared" ca="1" si="9"/>
        <v>0.20200000000000001</v>
      </c>
      <c r="F63" s="782">
        <f t="shared" si="9"/>
        <v>0.22699999999999998</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2299.0321093706184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2299.0321093706184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2299.0321093706184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2299.0321093706184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36691.195057552075</v>
      </c>
      <c r="C4" s="478">
        <f>huishoudens!C8</f>
        <v>0</v>
      </c>
      <c r="D4" s="478">
        <f>huishoudens!D8</f>
        <v>117090.87761341331</v>
      </c>
      <c r="E4" s="478">
        <f>huishoudens!E8</f>
        <v>546.18672298644867</v>
      </c>
      <c r="F4" s="478">
        <f>huishoudens!F8</f>
        <v>5932.5731139991585</v>
      </c>
      <c r="G4" s="478">
        <f>huishoudens!G8</f>
        <v>0</v>
      </c>
      <c r="H4" s="478">
        <f>huishoudens!H8</f>
        <v>0</v>
      </c>
      <c r="I4" s="478">
        <f>huishoudens!I8</f>
        <v>0</v>
      </c>
      <c r="J4" s="478">
        <f>huishoudens!J8</f>
        <v>0</v>
      </c>
      <c r="K4" s="478">
        <f>huishoudens!K8</f>
        <v>0</v>
      </c>
      <c r="L4" s="478">
        <f>huishoudens!L8</f>
        <v>0</v>
      </c>
      <c r="M4" s="478">
        <f>huishoudens!M8</f>
        <v>0</v>
      </c>
      <c r="N4" s="478">
        <f>huishoudens!N8</f>
        <v>4272.020053333752</v>
      </c>
      <c r="O4" s="478">
        <f>huishoudens!O8</f>
        <v>139.13666666666668</v>
      </c>
      <c r="P4" s="479">
        <f>huishoudens!P8</f>
        <v>324.13333333333333</v>
      </c>
      <c r="Q4" s="480">
        <f>SUM(B4:P4)</f>
        <v>164996.12256128475</v>
      </c>
    </row>
    <row r="5" spans="1:17">
      <c r="A5" s="477" t="s">
        <v>156</v>
      </c>
      <c r="B5" s="478">
        <f ca="1">tertiair!B16</f>
        <v>29342.85</v>
      </c>
      <c r="C5" s="478">
        <f ca="1">tertiair!C16</f>
        <v>0</v>
      </c>
      <c r="D5" s="478">
        <f ca="1">tertiair!D16</f>
        <v>43270.679761289597</v>
      </c>
      <c r="E5" s="478">
        <f>tertiair!E16</f>
        <v>322.68750007898393</v>
      </c>
      <c r="F5" s="478">
        <f ca="1">tertiair!F16</f>
        <v>4317.8103126023771</v>
      </c>
      <c r="G5" s="478">
        <f>tertiair!G16</f>
        <v>0</v>
      </c>
      <c r="H5" s="478">
        <f>tertiair!H16</f>
        <v>0</v>
      </c>
      <c r="I5" s="478">
        <f>tertiair!I16</f>
        <v>0</v>
      </c>
      <c r="J5" s="478">
        <f>tertiair!J16</f>
        <v>0</v>
      </c>
      <c r="K5" s="478">
        <f>tertiair!K16</f>
        <v>0</v>
      </c>
      <c r="L5" s="478">
        <f ca="1">tertiair!L16</f>
        <v>0</v>
      </c>
      <c r="M5" s="478">
        <f>tertiair!M16</f>
        <v>0</v>
      </c>
      <c r="N5" s="478">
        <f ca="1">tertiair!N16</f>
        <v>1648.3742668525119</v>
      </c>
      <c r="O5" s="478">
        <f>tertiair!O16</f>
        <v>0</v>
      </c>
      <c r="P5" s="479">
        <f>tertiair!P16</f>
        <v>0</v>
      </c>
      <c r="Q5" s="477">
        <f t="shared" ref="Q5:Q14" ca="1" si="0">SUM(B5:P5)</f>
        <v>78902.40184082347</v>
      </c>
    </row>
    <row r="6" spans="1:17">
      <c r="A6" s="477" t="s">
        <v>194</v>
      </c>
      <c r="B6" s="478">
        <f>'openbare verlichting'!B8</f>
        <v>1075.3620000000001</v>
      </c>
      <c r="C6" s="478"/>
      <c r="D6" s="478"/>
      <c r="E6" s="478"/>
      <c r="F6" s="478"/>
      <c r="G6" s="478"/>
      <c r="H6" s="478"/>
      <c r="I6" s="478"/>
      <c r="J6" s="478"/>
      <c r="K6" s="478"/>
      <c r="L6" s="478"/>
      <c r="M6" s="478"/>
      <c r="N6" s="478"/>
      <c r="O6" s="478"/>
      <c r="P6" s="479"/>
      <c r="Q6" s="477">
        <f t="shared" si="0"/>
        <v>1075.3620000000001</v>
      </c>
    </row>
    <row r="7" spans="1:17">
      <c r="A7" s="477" t="s">
        <v>112</v>
      </c>
      <c r="B7" s="478">
        <f>landbouw!B8</f>
        <v>209.26979</v>
      </c>
      <c r="C7" s="478">
        <f>landbouw!C8</f>
        <v>0</v>
      </c>
      <c r="D7" s="478">
        <f>landbouw!D8</f>
        <v>53.685126032855088</v>
      </c>
      <c r="E7" s="478">
        <f>landbouw!E8</f>
        <v>1.9383444452250311</v>
      </c>
      <c r="F7" s="478">
        <f>landbouw!F8</f>
        <v>530.9573230840839</v>
      </c>
      <c r="G7" s="478">
        <f>landbouw!G8</f>
        <v>0</v>
      </c>
      <c r="H7" s="478">
        <f>landbouw!H8</f>
        <v>0</v>
      </c>
      <c r="I7" s="478">
        <f>landbouw!I8</f>
        <v>0</v>
      </c>
      <c r="J7" s="478">
        <f>landbouw!J8</f>
        <v>32.083394264672656</v>
      </c>
      <c r="K7" s="478">
        <f>landbouw!K8</f>
        <v>0</v>
      </c>
      <c r="L7" s="478">
        <f>landbouw!L8</f>
        <v>0</v>
      </c>
      <c r="M7" s="478">
        <f>landbouw!M8</f>
        <v>0</v>
      </c>
      <c r="N7" s="478">
        <f>landbouw!N8</f>
        <v>0</v>
      </c>
      <c r="O7" s="478">
        <f>landbouw!O8</f>
        <v>0</v>
      </c>
      <c r="P7" s="479">
        <f>landbouw!P8</f>
        <v>0</v>
      </c>
      <c r="Q7" s="477">
        <f t="shared" si="0"/>
        <v>827.93397782683667</v>
      </c>
    </row>
    <row r="8" spans="1:17">
      <c r="A8" s="477" t="s">
        <v>650</v>
      </c>
      <c r="B8" s="478">
        <f>industrie!B18</f>
        <v>1838.45454</v>
      </c>
      <c r="C8" s="478">
        <f>industrie!C18</f>
        <v>0</v>
      </c>
      <c r="D8" s="478">
        <f>industrie!D18</f>
        <v>354991.72800248693</v>
      </c>
      <c r="E8" s="478">
        <f>industrie!E18</f>
        <v>258.28642218722797</v>
      </c>
      <c r="F8" s="478">
        <f>industrie!F18</f>
        <v>1838.0164051104334</v>
      </c>
      <c r="G8" s="478">
        <f>industrie!G18</f>
        <v>0</v>
      </c>
      <c r="H8" s="478">
        <f>industrie!H18</f>
        <v>0</v>
      </c>
      <c r="I8" s="478">
        <f>industrie!I18</f>
        <v>0</v>
      </c>
      <c r="J8" s="478">
        <f>industrie!J18</f>
        <v>14.408220753874458</v>
      </c>
      <c r="K8" s="478">
        <f>industrie!K18</f>
        <v>0</v>
      </c>
      <c r="L8" s="478">
        <f>industrie!L18</f>
        <v>0</v>
      </c>
      <c r="M8" s="478">
        <f>industrie!M18</f>
        <v>0</v>
      </c>
      <c r="N8" s="478">
        <f>industrie!N18</f>
        <v>640.83621470867172</v>
      </c>
      <c r="O8" s="478">
        <f>industrie!O18</f>
        <v>0</v>
      </c>
      <c r="P8" s="479">
        <f>industrie!P18</f>
        <v>0</v>
      </c>
      <c r="Q8" s="477">
        <f t="shared" si="0"/>
        <v>359581.72980524716</v>
      </c>
    </row>
    <row r="9" spans="1:17" s="483" customFormat="1">
      <c r="A9" s="481" t="s">
        <v>571</v>
      </c>
      <c r="B9" s="482">
        <f>transport!B14</f>
        <v>9.2421610232090039</v>
      </c>
      <c r="C9" s="482">
        <f>transport!C14</f>
        <v>0</v>
      </c>
      <c r="D9" s="482">
        <f>transport!D14</f>
        <v>26.116716351932201</v>
      </c>
      <c r="E9" s="482">
        <f>transport!E14</f>
        <v>164.58241758996445</v>
      </c>
      <c r="F9" s="482">
        <f>transport!F14</f>
        <v>0</v>
      </c>
      <c r="G9" s="482">
        <f>transport!G14</f>
        <v>42302.728791183123</v>
      </c>
      <c r="H9" s="482">
        <f>transport!H14</f>
        <v>9823.7703952204974</v>
      </c>
      <c r="I9" s="482">
        <f>transport!I14</f>
        <v>0</v>
      </c>
      <c r="J9" s="482">
        <f>transport!J14</f>
        <v>0</v>
      </c>
      <c r="K9" s="482">
        <f>transport!K14</f>
        <v>0</v>
      </c>
      <c r="L9" s="482">
        <f>transport!L14</f>
        <v>0</v>
      </c>
      <c r="M9" s="482">
        <f>transport!M14</f>
        <v>2749.4354221455123</v>
      </c>
      <c r="N9" s="482">
        <f>transport!N14</f>
        <v>0</v>
      </c>
      <c r="O9" s="482">
        <f>transport!O14</f>
        <v>0</v>
      </c>
      <c r="P9" s="482">
        <f>transport!P14</f>
        <v>0</v>
      </c>
      <c r="Q9" s="481">
        <f>SUM(B9:P9)</f>
        <v>55075.875903514243</v>
      </c>
    </row>
    <row r="10" spans="1:17">
      <c r="A10" s="477" t="s">
        <v>561</v>
      </c>
      <c r="B10" s="478">
        <f>transport!B54</f>
        <v>1556.8544690342994</v>
      </c>
      <c r="C10" s="478">
        <f>transport!C54</f>
        <v>0</v>
      </c>
      <c r="D10" s="478">
        <f>transport!D54</f>
        <v>0</v>
      </c>
      <c r="E10" s="478">
        <f>transport!E54</f>
        <v>0</v>
      </c>
      <c r="F10" s="478">
        <f>transport!F54</f>
        <v>0</v>
      </c>
      <c r="G10" s="478">
        <f>transport!G54</f>
        <v>2420.3852094801841</v>
      </c>
      <c r="H10" s="478">
        <f>transport!H54</f>
        <v>0</v>
      </c>
      <c r="I10" s="478">
        <f>transport!I54</f>
        <v>0</v>
      </c>
      <c r="J10" s="478">
        <f>transport!J54</f>
        <v>0</v>
      </c>
      <c r="K10" s="478">
        <f>transport!K54</f>
        <v>0</v>
      </c>
      <c r="L10" s="478">
        <f>transport!L54</f>
        <v>0</v>
      </c>
      <c r="M10" s="478">
        <f>transport!M54</f>
        <v>138.02751269261651</v>
      </c>
      <c r="N10" s="478">
        <f>transport!N54</f>
        <v>0</v>
      </c>
      <c r="O10" s="478">
        <f>transport!O54</f>
        <v>0</v>
      </c>
      <c r="P10" s="479">
        <f>transport!P54</f>
        <v>0</v>
      </c>
      <c r="Q10" s="477">
        <f t="shared" si="0"/>
        <v>4115.2671912071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2091.4540000000002</v>
      </c>
      <c r="C14" s="485"/>
      <c r="D14" s="485">
        <f>'SEAP template'!E25</f>
        <v>5300.12569479988</v>
      </c>
      <c r="E14" s="485"/>
      <c r="F14" s="485"/>
      <c r="G14" s="485"/>
      <c r="H14" s="485"/>
      <c r="I14" s="485"/>
      <c r="J14" s="485"/>
      <c r="K14" s="485"/>
      <c r="L14" s="485"/>
      <c r="M14" s="485"/>
      <c r="N14" s="485"/>
      <c r="O14" s="485"/>
      <c r="P14" s="486"/>
      <c r="Q14" s="477">
        <f t="shared" si="0"/>
        <v>7391.5796947998806</v>
      </c>
    </row>
    <row r="15" spans="1:17" s="487" customFormat="1">
      <c r="A15" s="1051" t="s">
        <v>565</v>
      </c>
      <c r="B15" s="991">
        <f ca="1">SUM(B4:B14)</f>
        <v>72814.682017609593</v>
      </c>
      <c r="C15" s="991">
        <f t="shared" ref="C15:Q15" ca="1" si="1">SUM(C4:C14)</f>
        <v>0</v>
      </c>
      <c r="D15" s="991">
        <f t="shared" ca="1" si="1"/>
        <v>520733.21291437448</v>
      </c>
      <c r="E15" s="991">
        <f t="shared" si="1"/>
        <v>1293.6814072878501</v>
      </c>
      <c r="F15" s="991">
        <f t="shared" ca="1" si="1"/>
        <v>12619.357154796053</v>
      </c>
      <c r="G15" s="991">
        <f t="shared" si="1"/>
        <v>44723.114000663307</v>
      </c>
      <c r="H15" s="991">
        <f t="shared" si="1"/>
        <v>9823.7703952204974</v>
      </c>
      <c r="I15" s="991">
        <f t="shared" si="1"/>
        <v>0</v>
      </c>
      <c r="J15" s="991">
        <f t="shared" si="1"/>
        <v>46.491615018547115</v>
      </c>
      <c r="K15" s="991">
        <f t="shared" si="1"/>
        <v>0</v>
      </c>
      <c r="L15" s="991">
        <f t="shared" ca="1" si="1"/>
        <v>0</v>
      </c>
      <c r="M15" s="991">
        <f t="shared" si="1"/>
        <v>2887.4629348381291</v>
      </c>
      <c r="N15" s="991">
        <f t="shared" ca="1" si="1"/>
        <v>6561.2305348949358</v>
      </c>
      <c r="O15" s="991">
        <f t="shared" si="1"/>
        <v>139.13666666666668</v>
      </c>
      <c r="P15" s="991">
        <f t="shared" si="1"/>
        <v>324.13333333333333</v>
      </c>
      <c r="Q15" s="991">
        <f t="shared" ca="1" si="1"/>
        <v>671966.27297470346</v>
      </c>
    </row>
    <row r="17" spans="1:17">
      <c r="A17" s="488" t="s">
        <v>566</v>
      </c>
      <c r="B17" s="787">
        <f ca="1">huishoudens!B10</f>
        <v>0.21402220263698976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7852.7303836007277</v>
      </c>
      <c r="C22" s="478">
        <f t="shared" ref="C22:C32" ca="1" si="3">C4*$C$17</f>
        <v>0</v>
      </c>
      <c r="D22" s="478">
        <f t="shared" ref="D22:D32" si="4">D4*$D$17</f>
        <v>23652.35727790949</v>
      </c>
      <c r="E22" s="478">
        <f t="shared" ref="E22:E32" si="5">E4*$E$17</f>
        <v>123.98438611792385</v>
      </c>
      <c r="F22" s="478">
        <f t="shared" ref="F22:F32" si="6">F4*$F$17</f>
        <v>1583.9970214377754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33213.069069065918</v>
      </c>
    </row>
    <row r="23" spans="1:17">
      <c r="A23" s="477" t="s">
        <v>156</v>
      </c>
      <c r="B23" s="478">
        <f t="shared" ca="1" si="2"/>
        <v>6280.0213886467945</v>
      </c>
      <c r="C23" s="478">
        <f t="shared" ca="1" si="3"/>
        <v>0</v>
      </c>
      <c r="D23" s="478">
        <f t="shared" ca="1" si="4"/>
        <v>8740.6773117804987</v>
      </c>
      <c r="E23" s="478">
        <f t="shared" si="5"/>
        <v>73.250062517929351</v>
      </c>
      <c r="F23" s="478">
        <f t="shared" ca="1" si="6"/>
        <v>1152.8553534648347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16246.804116410056</v>
      </c>
    </row>
    <row r="24" spans="1:17">
      <c r="A24" s="477" t="s">
        <v>194</v>
      </c>
      <c r="B24" s="478">
        <f t="shared" ca="1" si="2"/>
        <v>230.15134387211859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230.15134387211859</v>
      </c>
    </row>
    <row r="25" spans="1:17">
      <c r="A25" s="477" t="s">
        <v>112</v>
      </c>
      <c r="B25" s="478">
        <f t="shared" ca="1" si="2"/>
        <v>44.788381401180295</v>
      </c>
      <c r="C25" s="478">
        <f t="shared" ca="1" si="3"/>
        <v>0</v>
      </c>
      <c r="D25" s="478">
        <f t="shared" si="4"/>
        <v>10.844395458636729</v>
      </c>
      <c r="E25" s="478">
        <f t="shared" si="5"/>
        <v>0.44000418906608207</v>
      </c>
      <c r="F25" s="478">
        <f t="shared" si="6"/>
        <v>141.7656052634504</v>
      </c>
      <c r="G25" s="478">
        <f t="shared" si="7"/>
        <v>0</v>
      </c>
      <c r="H25" s="478">
        <f t="shared" si="8"/>
        <v>0</v>
      </c>
      <c r="I25" s="478">
        <f t="shared" si="9"/>
        <v>0</v>
      </c>
      <c r="J25" s="478">
        <f t="shared" si="10"/>
        <v>11.35752156969412</v>
      </c>
      <c r="K25" s="478">
        <f t="shared" si="11"/>
        <v>0</v>
      </c>
      <c r="L25" s="478">
        <f t="shared" si="12"/>
        <v>0</v>
      </c>
      <c r="M25" s="478">
        <f t="shared" si="13"/>
        <v>0</v>
      </c>
      <c r="N25" s="478">
        <f t="shared" si="14"/>
        <v>0</v>
      </c>
      <c r="O25" s="478">
        <f t="shared" si="15"/>
        <v>0</v>
      </c>
      <c r="P25" s="479">
        <f t="shared" si="16"/>
        <v>0</v>
      </c>
      <c r="Q25" s="477">
        <f t="shared" ca="1" si="17"/>
        <v>209.19590788202763</v>
      </c>
    </row>
    <row r="26" spans="1:17">
      <c r="A26" s="477" t="s">
        <v>650</v>
      </c>
      <c r="B26" s="478">
        <f t="shared" ca="1" si="2"/>
        <v>393.47009009877377</v>
      </c>
      <c r="C26" s="478">
        <f t="shared" ca="1" si="3"/>
        <v>0</v>
      </c>
      <c r="D26" s="478">
        <f t="shared" si="4"/>
        <v>71708.329056502364</v>
      </c>
      <c r="E26" s="478">
        <f t="shared" si="5"/>
        <v>58.631017836500753</v>
      </c>
      <c r="F26" s="478">
        <f t="shared" si="6"/>
        <v>490.75038016448576</v>
      </c>
      <c r="G26" s="478">
        <f t="shared" si="7"/>
        <v>0</v>
      </c>
      <c r="H26" s="478">
        <f t="shared" si="8"/>
        <v>0</v>
      </c>
      <c r="I26" s="478">
        <f t="shared" si="9"/>
        <v>0</v>
      </c>
      <c r="J26" s="478">
        <f t="shared" si="10"/>
        <v>5.1005101468715575</v>
      </c>
      <c r="K26" s="478">
        <f t="shared" si="11"/>
        <v>0</v>
      </c>
      <c r="L26" s="478">
        <f t="shared" si="12"/>
        <v>0</v>
      </c>
      <c r="M26" s="478">
        <f t="shared" si="13"/>
        <v>0</v>
      </c>
      <c r="N26" s="478">
        <f t="shared" si="14"/>
        <v>0</v>
      </c>
      <c r="O26" s="478">
        <f t="shared" si="15"/>
        <v>0</v>
      </c>
      <c r="P26" s="479">
        <f t="shared" si="16"/>
        <v>0</v>
      </c>
      <c r="Q26" s="477">
        <f t="shared" ca="1" si="17"/>
        <v>72656.281054749008</v>
      </c>
    </row>
    <row r="27" spans="1:17" s="483" customFormat="1">
      <c r="A27" s="481" t="s">
        <v>571</v>
      </c>
      <c r="B27" s="781">
        <f t="shared" ca="1" si="2"/>
        <v>1.978027659312926</v>
      </c>
      <c r="C27" s="482">
        <f t="shared" ca="1" si="3"/>
        <v>0</v>
      </c>
      <c r="D27" s="482">
        <f t="shared" si="4"/>
        <v>5.2755767030903051</v>
      </c>
      <c r="E27" s="482">
        <f t="shared" si="5"/>
        <v>37.360208792921931</v>
      </c>
      <c r="F27" s="482">
        <f t="shared" si="6"/>
        <v>0</v>
      </c>
      <c r="G27" s="482">
        <f t="shared" si="7"/>
        <v>11294.828587245895</v>
      </c>
      <c r="H27" s="482">
        <f t="shared" si="8"/>
        <v>2446.1188284099039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13785.561228811124</v>
      </c>
    </row>
    <row r="28" spans="1:17">
      <c r="A28" s="477" t="s">
        <v>561</v>
      </c>
      <c r="B28" s="478">
        <f t="shared" ca="1" si="2"/>
        <v>333.20142264796192</v>
      </c>
      <c r="C28" s="478">
        <f t="shared" ca="1" si="3"/>
        <v>0</v>
      </c>
      <c r="D28" s="478">
        <f t="shared" si="4"/>
        <v>0</v>
      </c>
      <c r="E28" s="478">
        <f t="shared" si="5"/>
        <v>0</v>
      </c>
      <c r="F28" s="478">
        <f t="shared" si="6"/>
        <v>0</v>
      </c>
      <c r="G28" s="478">
        <f t="shared" si="7"/>
        <v>646.2428509312092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979.44427357917107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447.61759179394284</v>
      </c>
      <c r="C32" s="478">
        <f t="shared" ca="1" si="3"/>
        <v>0</v>
      </c>
      <c r="D32" s="478">
        <f t="shared" si="4"/>
        <v>1070.6253903495758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1518.2429821435187</v>
      </c>
    </row>
    <row r="33" spans="1:17" s="487" customFormat="1">
      <c r="A33" s="1051" t="s">
        <v>565</v>
      </c>
      <c r="B33" s="991">
        <f ca="1">SUM(B22:B32)</f>
        <v>15583.958629720815</v>
      </c>
      <c r="C33" s="991">
        <f t="shared" ref="C33:Q33" ca="1" si="18">SUM(C22:C32)</f>
        <v>0</v>
      </c>
      <c r="D33" s="991">
        <f t="shared" ca="1" si="18"/>
        <v>105188.10900870366</v>
      </c>
      <c r="E33" s="991">
        <f t="shared" si="18"/>
        <v>293.66567945434196</v>
      </c>
      <c r="F33" s="991">
        <f t="shared" ca="1" si="18"/>
        <v>3369.3683603305458</v>
      </c>
      <c r="G33" s="991">
        <f t="shared" si="18"/>
        <v>11941.071438177103</v>
      </c>
      <c r="H33" s="991">
        <f t="shared" si="18"/>
        <v>2446.1188284099039</v>
      </c>
      <c r="I33" s="991">
        <f t="shared" si="18"/>
        <v>0</v>
      </c>
      <c r="J33" s="991">
        <f t="shared" si="18"/>
        <v>16.458031716565678</v>
      </c>
      <c r="K33" s="991">
        <f t="shared" si="18"/>
        <v>0</v>
      </c>
      <c r="L33" s="991">
        <f t="shared" ca="1" si="18"/>
        <v>0</v>
      </c>
      <c r="M33" s="991">
        <f t="shared" si="18"/>
        <v>0</v>
      </c>
      <c r="N33" s="991">
        <f t="shared" ca="1" si="18"/>
        <v>0</v>
      </c>
      <c r="O33" s="991">
        <f t="shared" si="18"/>
        <v>0</v>
      </c>
      <c r="P33" s="991">
        <f t="shared" si="18"/>
        <v>0</v>
      </c>
      <c r="Q33" s="991">
        <f t="shared" ca="1" si="18"/>
        <v>138838.74997651292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2299.0321093706184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2299.0321093706184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0.21402220263698976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0.21402220263698976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2019-08-12T08:06:26Z</dcterms:modified>
</cp:coreProperties>
</file>