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Q9" i="48"/>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<sst xmlns="http://schemas.openxmlformats.org/spreadsheetml/2006/main" count="2419" uniqueCount="907">
  <si>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</si>
  <si>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</si>
  <si>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</si>
  <si>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</si>
  <si>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</si>
  <si>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</si>
  <si>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</si>
  <si>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</si>
  <si>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</si>
  <si>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</si>
  <si>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</si>
  <si>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</si>
  <si>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</si>
  <si>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</si>
  <si>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</si>
  <si>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</si>
  <si>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</si>
  <si>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</si>
  <si>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</si>
  <si>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</si>
  <si>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</si>
  <si>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</si>
  <si>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</si>
  <si>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</si>
  <si>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</si>
  <si>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</si>
  <si>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</si>
  <si>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</si>
  <si>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</si>
  <si>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</si>
  <si>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</si>
  <si>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</si>
  <si>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</si>
  <si>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</si>
  <si>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</si>
  <si>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</si>
  <si>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</si>
  <si>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</si>
  <si>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</si>
  <si>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</si>
  <si>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</si>
  <si>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</si>
  <si>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</si>
  <si>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</si>
  <si>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</si>
  <si>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</si>
  <si>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</si>
  <si>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</si>
  <si>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</si>
  <si>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</si>
  <si>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</si>
  <si>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</si>
  <si>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</si>
  <si>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</si>
  <si>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</si>
  <si>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</si>
  <si>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</si>
  <si>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</si>
  <si>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</si>
  <si>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</si>
  <si>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</si>
  <si>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</si>
  <si>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</si>
  <si>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</si>
  <si>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</si>
  <si>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</si>
  <si>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</si>
  <si>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</si>
  <si>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</si>
  <si>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</si>
  <si>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</si>
  <si>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</si>
  <si>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</si>
  <si>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</si>
  <si>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</si>
  <si>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</si>
  <si>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</si>
  <si>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</si>
  <si>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</si>
  <si>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</si>
  <si>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</si>
  <si>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</si>
  <si>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</si>
  <si>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</si>
  <si>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</si>
  <si>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</si>
  <si>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</si>
  <si>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</si>
  <si>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</si>
  <si>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</si>
  <si>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</si>
  <si>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</si>
  <si>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</si>
  <si>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</si>
  <si>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</si>
  <si>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</si>
  <si>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</si>
  <si>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</si>
  <si>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</si>
  <si>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</si>
  <si>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</si>
  <si>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</si>
  <si>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</si>
  <si>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</si>
  <si>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</si>
  <si>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</si>
  <si>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</si>
  <si>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</si>
  <si>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</si>
  <si>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</si>
  <si>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</si>
  <si>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</si>
  <si>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</si>
  <si>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</si>
  <si>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</si>
  <si>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</si>
  <si>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</si>
  <si>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</si>
  <si>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</si>
  <si>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</si>
  <si>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</si>
  <si>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</si>
  <si>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</si>
  <si>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</si>
  <si>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</si>
  <si>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</si>
  <si>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</si>
  <si>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</si>
  <si>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</si>
  <si>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</si>
  <si>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</si>
  <si>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</si>
  <si>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</si>
  <si>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</si>
  <si>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</si>
  <si>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</si>
  <si>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</si>
  <si>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</si>
  <si>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</si>
  <si>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</si>
  <si>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</si>
  <si>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</si>
  <si>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</si>
  <si>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</si>
  <si>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</si>
  <si>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</si>
  <si>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</si>
  <si>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</si>
  <si>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</si>
  <si>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</si>
  <si>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</si>
  <si>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</si>
  <si>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</si>
  <si>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</si>
  <si>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</si>
  <si>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</si>
  <si>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</si>
  <si>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</si>
  <si>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</si>
  <si>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</si>
  <si>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</si>
  <si>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</si>
  <si>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</si>
  <si>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</si>
  <si>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</si>
  <si>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</si>
  <si>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</si>
  <si>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</si>
  <si>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</si>
  <si>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</si>
  <si>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</si>
  <si>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</si>
  <si>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</si>
  <si>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</si>
  <si>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</si>
  <si>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</si>
  <si>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</si>
  <si>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</si>
  <si>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</si>
  <si>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</si>
  <si>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</si>
  <si>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</si>
  <si>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</si>
  <si>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</si>
  <si>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</si>
  <si>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</si>
  <si>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</si>
  <si>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</si>
  <si>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</si>
  <si>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</si>
  <si>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</si>
  <si>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</si>
  <si>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</si>
  <si>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</si>
  <si>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</si>
  <si>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</si>
  <si>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</si>
  <si>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</si>
  <si>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</si>
  <si>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</si>
  <si>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</si>
  <si>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</si>
  <si>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</si>
  <si>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</si>
  <si>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</si>
  <si>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</si>
  <si>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</si>
  <si>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</si>
  <si>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</si>
  <si>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</si>
  <si>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</si>
  <si>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</si>
  <si>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</si>
  <si>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</si>
  <si>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</si>
  <si>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</si>
  <si>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</si>
  <si>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</si>
  <si>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</si>
  <si>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</si>
  <si>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</si>
  <si>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</si>
  <si>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</si>
  <si>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</si>
  <si>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</si>
  <si>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</si>
  <si>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</si>
  <si>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</si>
  <si>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</si>
  <si>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</si>
  <si>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</si>
  <si>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</si>
  <si>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</si>
  <si>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</si>
  <si>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</si>
  <si>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</si>
  <si>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</si>
  <si>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</si>
  <si>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</si>
  <si>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</si>
  <si>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</si>
  <si>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</si>
  <si>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</si>
  <si>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</si>
  <si>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</si>
  <si>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</si>
  <si>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</si>
  <si>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</si>
  <si>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</si>
  <si>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</si>
  <si>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</si>
  <si>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</si>
  <si>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</si>
  <si>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</si>
  <si>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</si>
  <si>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</si>
  <si>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</si>
  <si>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</si>
  <si>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</si>
  <si>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</si>
  <si>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</si>
  <si>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</si>
  <si>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</si>
  <si>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</si>
  <si>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</si>
  <si>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</si>
  <si>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</si>
  <si>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</si>
  <si>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</si>
  <si>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</si>
  <si>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</si>
  <si>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</si>
  <si>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</si>
  <si>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</si>
  <si>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</si>
  <si>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</si>
  <si>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</si>
  <si>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</si>
  <si>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</si>
  <si>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</si>
  <si>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</si>
  <si>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</si>
  <si>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</si>
  <si>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</si>
  <si>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</si>
  <si>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</si>
  <si>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</si>
  <si>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</si>
  <si>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</si>
  <si>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</si>
  <si>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</si>
  <si>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</si>
  <si>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</si>
  <si>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</si>
  <si>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</si>
  <si>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</si>
  <si>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</si>
  <si>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</si>
  <si>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</si>
  <si>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</si>
  <si>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</si>
  <si>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</si>
  <si>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</si>
  <si>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</si>
  <si>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</si>
  <si>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</si>
  <si>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</si>
  <si>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</si>
  <si>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</si>
  <si>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</si>
  <si>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</si>
  <si>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</si>
  <si>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</si>
  <si>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</si>
  <si>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</si>
  <si>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</si>
  <si>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</si>
  <si>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</si>
  <si>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</si>
  <si>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</si>
  <si>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</si>
  <si>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</si>
  <si>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</si>
  <si>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</si>
  <si>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</si>
  <si>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</si>
  <si>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</si>
  <si>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</si>
  <si>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</si>
  <si>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</si>
  <si>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</si>
  <si>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</si>
  <si>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</si>
  <si>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</si>
  <si>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</si>
  <si>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</si>
  <si>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</si>
  <si>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</si>
  <si>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</si>
  <si>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</si>
  <si>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</si>
  <si>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</si>
  <si>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</si>
  <si>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</si>
  <si>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</si>
  <si>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</si>
  <si>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</si>
  <si>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</si>
  <si>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</si>
  <si>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</si>
  <si>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</si>
  <si>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</si>
  <si>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</si>
  <si>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</si>
  <si>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</si>
  <si>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</si>
  <si>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</si>
  <si>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</si>
  <si>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</si>
  <si>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</si>
  <si>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</si>
  <si>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</si>
  <si>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</si>
  <si>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</si>
  <si>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</si>
  <si>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</si>
  <si>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</si>
  <si>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</si>
  <si>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</si>
  <si>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</si>
  <si>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</si>
  <si>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</si>
  <si>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</si>
  <si>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</si>
  <si>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</si>
  <si>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</si>
  <si>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</si>
  <si>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</si>
  <si>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</si>
  <si>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</si>
  <si>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</si>
  <si>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</si>
  <si>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</si>
  <si>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</si>
  <si>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</si>
  <si>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</si>
  <si>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</si>
  <si>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</si>
  <si>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</si>
  <si>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</si>
  <si>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</si>
  <si>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</si>
  <si>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</si>
  <si>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</si>
  <si>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</si>
  <si>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</si>
  <si>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</si>
  <si>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</si>
  <si>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</si>
  <si>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</si>
  <si>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</si>
  <si>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</si>
  <si>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</si>
  <si>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</si>
  <si>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</si>
  <si>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</si>
  <si>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</si>
  <si>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</si>
  <si>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</si>
  <si>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</si>
  <si>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</si>
  <si>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</si>
  <si>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</si>
  <si>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</si>
  <si>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</si>
  <si>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</si>
  <si>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</si>
  <si>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</si>
  <si>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</si>
  <si>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</si>
  <si>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</si>
  <si>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</si>
  <si>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</si>
  <si>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</si>
  <si>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</si>
  <si>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</si>
  <si>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</si>
  <si>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</si>
  <si>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</si>
  <si>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</si>
  <si>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</si>
  <si>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</si>
  <si>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</si>
  <si>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</si>
  <si>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</si>
  <si>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</si>
  <si>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</si>
  <si>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</si>
  <si>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</si>
  <si>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</si>
  <si>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</si>
  <si>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</si>
  <si>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</si>
  <si>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</si>
  <si>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</si>
  <si>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</si>
  <si>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</si>
  <si>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</si>
  <si>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</si>
  <si>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</si>
  <si>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</si>
  <si>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</si>
  <si>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</si>
  <si>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</si>
  <si>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</si>
  <si>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</si>
  <si>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</si>
  <si>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</si>
  <si>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</si>
  <si>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</si>
  <si>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</si>
  <si>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</si>
  <si>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</si>
  <si>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</si>
  <si>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</si>
  <si>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</si>
  <si>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</si>
  <si>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</si>
  <si>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</si>
  <si>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</si>
  <si>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</si>
  <si>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</si>
  <si>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</si>
  <si>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</si>
  <si>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</si>
  <si>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</si>
  <si>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</si>
  <si>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</si>
  <si>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</si>
  <si>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</si>
  <si>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</si>
  <si>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</si>
  <si>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</si>
  <si>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</si>
  <si>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</si>
  <si>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</si>
  <si>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</si>
  <si>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</si>
  <si>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</si>
  <si>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</si>
  <si>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</si>
  <si>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</si>
  <si>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</si>
  <si>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</si>
  <si>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</si>
  <si>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</si>
  <si>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</si>
  <si>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</si>
  <si>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</si>
  <si>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</si>
  <si>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</si>
  <si>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</si>
  <si>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</si>
  <si>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</si>
  <si>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</si>
  <si>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</si>
  <si>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</si>
  <si>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</si>
  <si>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</si>
  <si>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</si>
  <si>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</si>
  <si>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</si>
  <si>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</si>
  <si>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</si>
  <si>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</si>
  <si>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</si>
  <si>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</si>
  <si>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</si>
  <si>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</si>
  <si>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</si>
  <si>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</si>
  <si>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</si>
  <si>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</si>
  <si>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</si>
  <si>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</si>
  <si>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</si>
  <si>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</si>
  <si>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</si>
  <si>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</si>
  <si>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</si>
  <si>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</si>
  <si>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</si>
  <si>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</si>
  <si>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</si>
  <si>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</si>
  <si>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</si>
  <si>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</si>
  <si>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</si>
  <si>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</si>
  <si>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</si>
  <si>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</si>
  <si>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</si>
  <si>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</si>
  <si>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</si>
  <si>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</si>
  <si>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</si>
  <si>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</si>
  <si>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</si>
  <si>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</si>
  <si>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</si>
  <si>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</si>
  <si>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</si>
  <si>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</si>
  <si>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</si>
  <si>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</si>
  <si>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</si>
  <si>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</si>
  <si>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</si>
  <si>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</si>
  <si>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</si>
  <si>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</si>
  <si>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</si>
  <si>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</si>
  <si>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</si>
  <si>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</si>
  <si>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</si>
  <si>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</si>
  <si>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</si>
  <si>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</si>
  <si>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</si>
  <si>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</si>
  <si>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</si>
  <si>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</si>
  <si>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</si>
  <si>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</si>
  <si>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</si>
  <si>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</si>
  <si>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</si>
  <si>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</si>
  <si>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</si>
  <si>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</si>
  <si>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</si>
  <si>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</si>
  <si>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</si>
  <si>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</si>
  <si>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</si>
  <si>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</si>
  <si>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</si>
  <si>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</si>
  <si>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</si>
  <si>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</si>
  <si>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</si>
  <si>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</si>
  <si>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</si>
  <si>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</si>
  <si>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</si>
  <si>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</si>
  <si>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</si>
  <si>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</si>
  <si>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</si>
  <si>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</si>
  <si>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</si>
  <si>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</si>
  <si>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</si>
  <si>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</si>
  <si>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</si>
  <si>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</si>
  <si>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</si>
  <si>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</si>
  <si>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</si>
  <si>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</si>
  <si>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</si>
  <si>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</si>
  <si>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</si>
  <si>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</si>
  <si>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</si>
  <si>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</si>
  <si>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</si>
  <si>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</si>
  <si>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</si>
  <si>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</si>
  <si>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</si>
  <si>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</si>
  <si>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</si>
  <si>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</si>
  <si>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</si>
  <si>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</si>
  <si>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</si>
  <si>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</si>
  <si>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</si>
  <si>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</si>
  <si>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</si>
  <si>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</si>
  <si>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</si>
  <si>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</si>
  <si>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</si>
  <si>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</si>
  <si>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</si>
  <si>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</si>
  <si>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</si>
  <si>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</si>
  <si>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</si>
  <si>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</si>
  <si>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</si>
  <si>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</si>
  <si>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</si>
  <si>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</si>
  <si>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</si>
  <si>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</si>
  <si>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</si>
  <si>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</si>
  <si>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</si>
  <si>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</si>
  <si>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</si>
  <si>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</si>
  <si>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</si>
  <si>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</si>
  <si>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</si>
  <si>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</si>
  <si>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</si>
  <si>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</si>
  <si>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</si>
  <si>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</si>
  <si>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</si>
  <si>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</si>
  <si>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</si>
  <si>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</si>
  <si>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</si>
  <si>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</si>
  <si>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</si>
  <si>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</si>
  <si>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</si>
  <si>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</si>
  <si>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</si>
  <si>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</si>
  <si>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</si>
  <si>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</si>
  <si>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</si>
  <si>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</si>
  <si>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</si>
  <si>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</si>
  <si>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</si>
  <si>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</si>
  <si>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</si>
  <si>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</si>
  <si>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</si>
  <si>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</si>
  <si>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</si>
  <si>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</si>
  <si>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</si>
  <si>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</si>
  <si>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</si>
  <si>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</si>
  <si>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</si>
  <si>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</si>
  <si>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</si>
  <si>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</si>
  <si>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</si>
  <si>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</si>
  <si>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</si>
  <si>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</si>
  <si>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</si>
  <si>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</si>
  <si>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</si>
  <si>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</si>
  <si>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</si>
  <si>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</si>
  <si>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</si>
  <si>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</si>
  <si>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</si>
  <si>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</si>
  <si>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</si>
  <si>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</si>
  <si>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</si>
  <si>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</si>
  <si>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</si>
  <si>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</si>
  <si>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</si>
  <si>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</si>
  <si>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</si>
  <si>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</si>
  <si>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</si>
  <si>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</si>
  <si>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</si>
  <si>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</si>
  <si>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</si>
  <si>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</si>
  <si>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</si>
  <si>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</si>
  <si>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</si>
  <si>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</si>
  <si>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</si>
  <si>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</si>
  <si>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</si>
  <si>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</si>
  <si>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</si>
  <si>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</si>
  <si>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</si>
  <si>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</si>
  <si>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</si>
  <si>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</si>
  <si>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</si>
  <si>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</si>
  <si>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</si>
  <si>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</si>
  <si>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</si>
  <si>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</si>
  <si>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</si>
  <si>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</si>
  <si>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</si>
  <si>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</si>
  <si>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</si>
  <si>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</si>
  <si>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</si>
  <si>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</si>
  <si>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</si>
  <si>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</si>
  <si>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</si>
  <si>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</si>
  <si>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</si>
  <si>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</si>
  <si>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</si>
  <si>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</si>
  <si>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</si>
  <si>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</si>
  <si>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</si>
  <si>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</si>
  <si>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</si>
  <si>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</si>
  <si>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</si>
  <si>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</si>
  <si>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</si>
  <si>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</si>
  <si>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</si>
  <si>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</si>
  <si>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</si>
  <si>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</si>
  <si>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</si>
  <si>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</si>
  <si>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</si>
  <si>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</si>
  <si>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</si>
  <si>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</si>
  <si>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</si>
  <si>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</si>
  <si>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</si>
  <si>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</si>
  <si>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</si>
  <si>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</si>
  <si>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</si>
  <si>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</si>
  <si>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</si>
  <si>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</si>
  <si>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</si>
  <si>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</si>
  <si>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</si>
  <si>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</si>
  <si>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</si>
  <si>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</si>
  <si>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</si>
  <si>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</si>
  <si>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</si>
  <si>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</si>
  <si>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</si>
  <si>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</si>
  <si>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</si>
  <si>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</si>
  <si>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</si>
  <si>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</si>
  <si>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</si>
  <si>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</si>
  <si>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</si>
  <si>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</si>
  <si>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</si>
  <si>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</si>
  <si>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</si>
  <si>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</si>
  <si>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</si>
  <si>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</si>
  <si>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</si>
  <si>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</si>
  <si>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</si>
  <si>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</si>
  <si>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</si>
  <si>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</si>
  <si>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</si>
  <si>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</si>
  <si>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</si>
  <si>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</si>
  <si>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</si>
  <si>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</si>
  <si>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</si>
  <si>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</si>
  <si>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</si>
  <si>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</si>
  <si>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</si>
  <si>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</si>
  <si>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</si>
  <si>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</si>
  <si>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</si>
  <si>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</si>
  <si>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</si>
  <si>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</si>
  <si>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</si>
  <si>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</si>
  <si>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</si>
  <si>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</si>
  <si>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</si>
  <si>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</si>
  <si>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</si>
  <si>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</si>
  <si>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</si>
  <si>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</si>
  <si>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</si>
  <si>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</si>
  <si>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</si>
  <si>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</si>
  <si>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</si>
  <si>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</si>
  <si>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</si>
  <si>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</si>
  <si>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</si>
  <si>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</si>
  <si>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</si>
  <si>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</si>
  <si>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</si>
  <si>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</si>
  <si>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</si>
  <si>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</si>
  <si>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</si>
  <si>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</si>
  <si>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</si>
  <si>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</si>
  <si>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</si>
  <si>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</si>
  <si>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</si>
  <si>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</si>
  <si>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</si>
  <si>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</si>
  <si>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</si>
  <si>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</si>
  <si>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</si>
  <si>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</si>
  <si>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</si>
  <si>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</si>
  <si>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</si>
  <si>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</si>
  <si>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</si>
  <si>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</si>
  <si>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</si>
  <si>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</si>
  <si>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</si>
  <si>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</si>
  <si>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</si>
  <si>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</si>
  <si>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</si>
  <si>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</si>
  <si>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</si>
  <si>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</si>
  <si>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11023</t>
  </si>
  <si>
    <t>KAPELLEN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</si>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</sst>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213549.92652686729</c:v>
                </c:pt>
                <c:pt idx="1">
                  <c:v>76460.633960153646</c:v>
                </c:pt>
                <c:pt idx="2">
                  <c:v>1744.1569999999999</c:v>
                </c:pt>
                <c:pt idx="3">
                  <c:v>923.12282009017906</c:v>
                </c:pt>
                <c:pt idx="4">
                  <c:v>21537.728665568826</c:v>
                </c:pt>
                <c:pt idx="5">
                  <c:v>73074.393213818272</c:v>
                </c:pt>
                <c:pt idx="6">
                  <c:v>2406.5502160954616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213549.92652686729</c:v>
                </c:pt>
                <c:pt idx="1">
                  <c:v>76460.633960153646</c:v>
                </c:pt>
                <c:pt idx="2">
                  <c:v>1744.1569999999999</c:v>
                </c:pt>
                <c:pt idx="3">
                  <c:v>923.12282009017906</c:v>
                </c:pt>
                <c:pt idx="4">
                  <c:v>21537.728665568826</c:v>
                </c:pt>
                <c:pt idx="5">
                  <c:v>73074.393213818272</c:v>
                </c:pt>
                <c:pt idx="6">
                  <c:v>2406.5502160954616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40975.865705200762</c:v>
                </c:pt>
                <c:pt idx="2">
                  <c:v>15357.793651025982</c:v>
                </c:pt>
                <c:pt idx="3">
                  <c:v>365.57521040778562</c:v>
                </c:pt>
                <c:pt idx="4">
                  <c:v>218.07562740578484</c:v>
                </c:pt>
                <c:pt idx="5">
                  <c:v>4378.148956097496</c:v>
                </c:pt>
                <c:pt idx="6">
                  <c:v>18295.385517312225</c:v>
                </c:pt>
                <c:pt idx="7">
                  <c:v>607.88310622448751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54688"/>
      </c:barChart>
      <c:catAx>
        <c:axId val="182311936"/>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40975.865705200762</c:v>
                </c:pt>
                <c:pt idx="2">
                  <c:v>15357.793651025982</c:v>
                </c:pt>
                <c:pt idx="3">
                  <c:v>365.57521040778562</c:v>
                </c:pt>
                <c:pt idx="4">
                  <c:v>218.07562740578484</c:v>
                </c:pt>
                <c:pt idx="5">
                  <c:v>4378.148956097496</c:v>
                </c:pt>
                <c:pt idx="6">
                  <c:v>18295.385517312225</c:v>
                </c:pt>
                <c:pt idx="7">
                  <c:v>607.88310622448751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11023</v>
      </c>
      <c r="B6" s="416"/>
      <c r="C6" s="417"/>
    </row>
    <row r="7" spans="1:7" s="414" customFormat="1" ht="15.75" customHeight="1">
      <c r="A7" s="418" t="str">
        <f>txtMunicipality</f>
        <v>KAPELLEN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0.2095999445048729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0.2095999445048729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10919</v>
      </c>
      <c r="C9" s="342">
        <v>11293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469</v>
      </c>
    </row>
    <row r="15" spans="1:6">
      <c r="A15" s="348" t="s">
        <v>184</v>
      </c>
      <c r="B15" s="334">
        <v>3</v>
      </c>
    </row>
    <row r="16" spans="1:6">
      <c r="A16" s="348" t="s">
        <v>6</v>
      </c>
      <c r="B16" s="334">
        <v>98</v>
      </c>
    </row>
    <row r="17" spans="1:6">
      <c r="A17" s="348" t="s">
        <v>7</v>
      </c>
      <c r="B17" s="334">
        <v>112</v>
      </c>
    </row>
    <row r="18" spans="1:6">
      <c r="A18" s="348" t="s">
        <v>8</v>
      </c>
      <c r="B18" s="334">
        <v>163</v>
      </c>
    </row>
    <row r="19" spans="1:6">
      <c r="A19" s="348" t="s">
        <v>9</v>
      </c>
      <c r="B19" s="334">
        <v>233</v>
      </c>
    </row>
    <row r="20" spans="1:6">
      <c r="A20" s="348" t="s">
        <v>10</v>
      </c>
      <c r="B20" s="334">
        <v>103</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47</v>
      </c>
    </row>
    <row r="27" spans="1:6">
      <c r="A27" s="348" t="s">
        <v>17</v>
      </c>
      <c r="B27" s="334">
        <v>2</v>
      </c>
    </row>
    <row r="28" spans="1:6" s="356" customFormat="1">
      <c r="A28" s="355" t="s">
        <v>18</v>
      </c>
      <c r="B28" s="355">
        <v>40</v>
      </c>
    </row>
    <row r="29" spans="1:6">
      <c r="A29" s="355" t="s">
        <v>901</v>
      </c>
      <c r="B29" s="355">
        <v>149</v>
      </c>
      <c r="C29" s="356"/>
      <c r="D29" s="356"/>
      <c r="E29" s="356"/>
      <c r="F29" s="356"/>
    </row>
    <row r="30" spans="1:6">
      <c r="A30" s="341" t="s">
        <v>902</v>
      </c>
      <c r="B30" s="341">
        <v>48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10996</v>
      </c>
    </row>
    <row r="39" spans="1:6">
      <c r="A39" s="348" t="s">
        <v>30</v>
      </c>
      <c r="B39" s="348" t="s">
        <v>31</v>
      </c>
      <c r="C39" s="334">
        <v>8531</v>
      </c>
      <c r="D39" s="334">
        <v>160058642.994398</v>
      </c>
      <c r="E39" s="334">
        <v>10951</v>
      </c>
      <c r="F39" s="334">
        <v>52271446</v>
      </c>
    </row>
    <row r="40" spans="1:6">
      <c r="A40" s="348" t="s">
        <v>30</v>
      </c>
      <c r="B40" s="348" t="s">
        <v>29</v>
      </c>
      <c r="C40" s="334">
        <v>0</v>
      </c>
      <c r="D40" s="334">
        <v>0</v>
      </c>
      <c r="E40" s="334">
        <v>0</v>
      </c>
      <c r="F40" s="334">
        <v>0</v>
      </c>
    </row>
    <row r="41" spans="1:6">
      <c r="A41" s="348" t="s">
        <v>32</v>
      </c>
      <c r="B41" s="348" t="s">
        <v>33</v>
      </c>
      <c r="C41" s="334">
        <v>110</v>
      </c>
      <c r="D41" s="334">
        <v>3666659.6287633502</v>
      </c>
      <c r="E41" s="334">
        <v>188</v>
      </c>
      <c r="F41" s="334">
        <v>4732087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258903</v>
      </c>
    </row>
    <row r="45" spans="1:6">
      <c r="A45" s="348" t="s">
        <v>32</v>
      </c>
      <c r="B45" s="348" t="s">
        <v>37</v>
      </c>
      <c r="C45" s="334">
        <v>0</v>
      </c>
      <c r="D45" s="334">
        <v>0</v>
      </c>
      <c r="E45" s="334">
        <v>3</v>
      </c>
      <c r="F45" s="334">
        <v>31918</v>
      </c>
    </row>
    <row r="46" spans="1:6">
      <c r="A46" s="348" t="s">
        <v>32</v>
      </c>
      <c r="B46" s="348" t="s">
        <v>38</v>
      </c>
      <c r="C46" s="334">
        <v>0</v>
      </c>
      <c r="D46" s="334">
        <v>0</v>
      </c>
      <c r="E46" s="334">
        <v>0</v>
      </c>
      <c r="F46" s="334">
        <v>0</v>
      </c>
    </row>
    <row r="47" spans="1:6">
      <c r="A47" s="348" t="s">
        <v>32</v>
      </c>
      <c r="B47" s="348" t="s">
        <v>39</v>
      </c>
      <c r="C47" s="334">
        <v>5</v>
      </c>
      <c r="D47" s="334">
        <v>173435.255079575</v>
      </c>
      <c r="E47" s="334">
        <v>6</v>
      </c>
      <c r="F47" s="334">
        <v>54875.44</v>
      </c>
    </row>
    <row r="48" spans="1:6">
      <c r="A48" s="348" t="s">
        <v>32</v>
      </c>
      <c r="B48" s="348" t="s">
        <v>29</v>
      </c>
      <c r="C48" s="334">
        <v>34</v>
      </c>
      <c r="D48" s="334">
        <v>1458982.28342061</v>
      </c>
      <c r="E48" s="334">
        <v>19</v>
      </c>
      <c r="F48" s="334">
        <v>395512.7</v>
      </c>
    </row>
    <row r="49" spans="1:6">
      <c r="A49" s="348" t="s">
        <v>32</v>
      </c>
      <c r="B49" s="348" t="s">
        <v>40</v>
      </c>
      <c r="C49" s="334">
        <v>0</v>
      </c>
      <c r="D49" s="334">
        <v>0</v>
      </c>
      <c r="E49" s="334">
        <v>3</v>
      </c>
      <c r="F49" s="334">
        <v>63754</v>
      </c>
    </row>
    <row r="50" spans="1:6">
      <c r="A50" s="348" t="s">
        <v>32</v>
      </c>
      <c r="B50" s="348" t="s">
        <v>41</v>
      </c>
      <c r="C50" s="334">
        <v>14</v>
      </c>
      <c r="D50" s="334">
        <v>876452.43186944094</v>
      </c>
      <c r="E50" s="334">
        <v>17</v>
      </c>
      <c r="F50" s="334">
        <v>1031266</v>
      </c>
    </row>
    <row r="51" spans="1:6">
      <c r="A51" s="348" t="s">
        <v>42</v>
      </c>
      <c r="B51" s="348" t="s">
        <v>43</v>
      </c>
      <c r="C51" s="334">
        <v>6</v>
      </c>
      <c r="D51" s="334">
        <v>209928.677200048</v>
      </c>
      <c r="E51" s="334">
        <v>15</v>
      </c>
      <c r="F51" s="334">
        <v>127974</v>
      </c>
    </row>
    <row r="52" spans="1:6">
      <c r="A52" s="348" t="s">
        <v>42</v>
      </c>
      <c r="B52" s="348" t="s">
        <v>29</v>
      </c>
      <c r="C52" s="334">
        <v>3</v>
      </c>
      <c r="D52" s="334">
        <v>152264.335060032</v>
      </c>
      <c r="E52" s="334">
        <v>3</v>
      </c>
      <c r="F52" s="334">
        <v>33232.15</v>
      </c>
    </row>
    <row r="53" spans="1:6">
      <c r="A53" s="348" t="s">
        <v>44</v>
      </c>
      <c r="B53" s="348" t="s">
        <v>45</v>
      </c>
      <c r="C53" s="334">
        <v>234</v>
      </c>
      <c r="D53" s="334">
        <v>7258982.3822994996</v>
      </c>
      <c r="E53" s="334">
        <v>104</v>
      </c>
      <c r="F53" s="334">
        <v>578734.1</v>
      </c>
    </row>
    <row r="54" spans="1:6">
      <c r="A54" s="348" t="s">
        <v>46</v>
      </c>
      <c r="B54" s="348" t="s">
        <v>47</v>
      </c>
      <c r="C54" s="334">
        <v>0</v>
      </c>
      <c r="D54" s="334">
        <v>0</v>
      </c>
      <c r="E54" s="334">
        <v>35</v>
      </c>
      <c r="F54" s="334">
        <v>1744157</v>
      </c>
    </row>
    <row r="55" spans="1:6">
      <c r="A55" s="348" t="s">
        <v>46</v>
      </c>
      <c r="B55" s="348" t="s">
        <v>29</v>
      </c>
      <c r="C55" s="334">
        <v>0</v>
      </c>
      <c r="D55" s="334">
        <v>0</v>
      </c>
      <c r="E55" s="334">
        <v>0</v>
      </c>
      <c r="F55" s="334">
        <v>0</v>
      </c>
    </row>
    <row r="56" spans="1:6">
      <c r="A56" s="348" t="s">
        <v>48</v>
      </c>
      <c r="B56" s="348" t="s">
        <v>29</v>
      </c>
      <c r="C56" s="334">
        <v>0</v>
      </c>
      <c r="D56" s="334">
        <v>0</v>
      </c>
      <c r="E56" s="334">
        <v>255</v>
      </c>
      <c r="F56" s="334">
        <v>2066339</v>
      </c>
    </row>
    <row r="57" spans="1:6">
      <c r="A57" s="348" t="s">
        <v>49</v>
      </c>
      <c r="B57" s="348" t="s">
        <v>50</v>
      </c>
      <c r="C57" s="334">
        <v>70</v>
      </c>
      <c r="D57" s="334">
        <v>2837423.8976744502</v>
      </c>
      <c r="E57" s="334">
        <v>206</v>
      </c>
      <c r="F57" s="334">
        <v>3452098.5</v>
      </c>
    </row>
    <row r="58" spans="1:6">
      <c r="A58" s="348" t="s">
        <v>49</v>
      </c>
      <c r="B58" s="348" t="s">
        <v>51</v>
      </c>
      <c r="C58" s="334">
        <v>47</v>
      </c>
      <c r="D58" s="334">
        <v>7118616.0406581797</v>
      </c>
      <c r="E58" s="334">
        <v>54</v>
      </c>
      <c r="F58" s="334">
        <v>1361052.7</v>
      </c>
    </row>
    <row r="59" spans="1:6">
      <c r="A59" s="348" t="s">
        <v>49</v>
      </c>
      <c r="B59" s="348" t="s">
        <v>52</v>
      </c>
      <c r="C59" s="334">
        <v>201</v>
      </c>
      <c r="D59" s="334">
        <v>8529747.9978176802</v>
      </c>
      <c r="E59" s="334">
        <v>340</v>
      </c>
      <c r="F59" s="334">
        <v>9585339</v>
      </c>
    </row>
    <row r="60" spans="1:6">
      <c r="A60" s="348" t="s">
        <v>49</v>
      </c>
      <c r="B60" s="348" t="s">
        <v>53</v>
      </c>
      <c r="C60" s="334">
        <v>71</v>
      </c>
      <c r="D60" s="334">
        <v>3856884.99959285</v>
      </c>
      <c r="E60" s="334">
        <v>81</v>
      </c>
      <c r="F60" s="334">
        <v>2180078.1</v>
      </c>
    </row>
    <row r="61" spans="1:6">
      <c r="A61" s="348" t="s">
        <v>49</v>
      </c>
      <c r="B61" s="348" t="s">
        <v>54</v>
      </c>
      <c r="C61" s="334">
        <v>360</v>
      </c>
      <c r="D61" s="334">
        <v>16308417.769294599</v>
      </c>
      <c r="E61" s="334">
        <v>608</v>
      </c>
      <c r="F61" s="334">
        <v>8724919</v>
      </c>
    </row>
    <row r="62" spans="1:6">
      <c r="A62" s="348" t="s">
        <v>49</v>
      </c>
      <c r="B62" s="348" t="s">
        <v>55</v>
      </c>
      <c r="C62" s="334">
        <v>15</v>
      </c>
      <c r="D62" s="334">
        <v>1652318.99525944</v>
      </c>
      <c r="E62" s="334">
        <v>17</v>
      </c>
      <c r="F62" s="334">
        <v>703253.61</v>
      </c>
    </row>
    <row r="63" spans="1:6">
      <c r="A63" s="348" t="s">
        <v>49</v>
      </c>
      <c r="B63" s="348" t="s">
        <v>29</v>
      </c>
      <c r="C63" s="334">
        <v>105</v>
      </c>
      <c r="D63" s="334">
        <v>5549018.8837548103</v>
      </c>
      <c r="E63" s="334">
        <v>93</v>
      </c>
      <c r="F63" s="334">
        <v>1912726</v>
      </c>
    </row>
    <row r="64" spans="1:6">
      <c r="A64" s="348" t="s">
        <v>56</v>
      </c>
      <c r="B64" s="348" t="s">
        <v>57</v>
      </c>
      <c r="C64" s="334">
        <v>0</v>
      </c>
      <c r="D64" s="334">
        <v>0</v>
      </c>
      <c r="E64" s="334">
        <v>0</v>
      </c>
      <c r="F64" s="334">
        <v>0</v>
      </c>
    </row>
    <row r="65" spans="1:6">
      <c r="A65" s="348" t="s">
        <v>56</v>
      </c>
      <c r="B65" s="348" t="s">
        <v>29</v>
      </c>
      <c r="C65" s="334">
        <v>6</v>
      </c>
      <c r="D65" s="334">
        <v>158193.82102998701</v>
      </c>
      <c r="E65" s="334">
        <v>7</v>
      </c>
      <c r="F65" s="334">
        <v>86239.89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126272.203659451</v>
      </c>
      <c r="E68" s="334">
        <v>7</v>
      </c>
      <c r="F68" s="334">
        <v>59363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66473038</v>
      </c>
      <c r="E73" s="476">
        <v>68017410.126027763</v>
      </c>
    </row>
    <row r="74" spans="1:6">
      <c r="A74" s="348" t="s">
        <v>64</v>
      </c>
      <c r="B74" s="348" t="s">
        <v>714</v>
      </c>
      <c r="C74" s="1311" t="s">
        <v>716</v>
      </c>
      <c r="D74" s="476">
        <v>4390514.1634808928</v>
      </c>
      <c r="E74" s="476">
        <v>4483633.6787822777</v>
      </c>
    </row>
    <row r="75" spans="1:6">
      <c r="A75" s="348" t="s">
        <v>65</v>
      </c>
      <c r="B75" s="348" t="s">
        <v>713</v>
      </c>
      <c r="C75" s="1311" t="s">
        <v>717</v>
      </c>
      <c r="D75" s="476">
        <v>22167014</v>
      </c>
      <c r="E75" s="476">
        <v>22764403.384457838</v>
      </c>
    </row>
    <row r="76" spans="1:6">
      <c r="A76" s="348" t="s">
        <v>65</v>
      </c>
      <c r="B76" s="348" t="s">
        <v>714</v>
      </c>
      <c r="C76" s="1311" t="s">
        <v>718</v>
      </c>
      <c r="D76" s="476">
        <v>649580.16348089254</v>
      </c>
      <c r="E76" s="476">
        <v>664490.15282629128</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643087.67303821503</v>
      </c>
      <c r="C83" s="476">
        <v>635801.43600766174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3179.8638408524857</v>
      </c>
    </row>
    <row r="92" spans="1:6">
      <c r="A92" s="341" t="s">
        <v>69</v>
      </c>
      <c r="B92" s="342">
        <v>1694.9070582625545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6500</v>
      </c>
    </row>
    <row r="98" spans="1:6">
      <c r="A98" s="348" t="s">
        <v>72</v>
      </c>
      <c r="B98" s="334">
        <v>5</v>
      </c>
    </row>
    <row r="99" spans="1:6">
      <c r="A99" s="348" t="s">
        <v>73</v>
      </c>
      <c r="B99" s="334">
        <v>26</v>
      </c>
    </row>
    <row r="100" spans="1:6">
      <c r="A100" s="348" t="s">
        <v>74</v>
      </c>
      <c r="B100" s="334">
        <v>965</v>
      </c>
    </row>
    <row r="101" spans="1:6">
      <c r="A101" s="348" t="s">
        <v>75</v>
      </c>
      <c r="B101" s="334">
        <v>98</v>
      </c>
    </row>
    <row r="102" spans="1:6">
      <c r="A102" s="348" t="s">
        <v>76</v>
      </c>
      <c r="B102" s="334">
        <v>124</v>
      </c>
    </row>
    <row r="103" spans="1:6">
      <c r="A103" s="348" t="s">
        <v>77</v>
      </c>
      <c r="B103" s="334">
        <v>129</v>
      </c>
    </row>
    <row r="104" spans="1:6">
      <c r="A104" s="348" t="s">
        <v>78</v>
      </c>
      <c r="B104" s="334">
        <v>1907</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16</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2</v>
      </c>
    </row>
    <row r="131" spans="1:6">
      <c r="A131" s="348" t="s">
        <v>296</v>
      </c>
      <c r="B131" s="334">
        <v>3</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94501.677572089175</v>
      </c>
      <c r="C3" s="43" t="s">
        <v>170</v>
      </c>
      <c r="D3" s="43"/>
      <c r="E3" s="154"/>
      <c r="F3" s="43"/>
      <c r="G3" s="43"/>
      <c r="H3" s="43"/>
      <c r="I3" s="43"/>
      <c r="J3" s="43"/>
      <c r="K3" s="96"/>
    </row>
    <row r="4" spans="1:11">
      <c r="A4" s="384" t="s">
        <v>171</v>
      </c>
      <c r="B4" s="49">
        <f>IF(ISERROR('SEAP template'!B78+'SEAP template'!C78),0,'SEAP template'!B78+'SEAP template'!C78)</f>
        <v>4874.7708991150403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0.2095999445048729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1744.1569999999999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1744.1569999999999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0.2095999445048729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365.57521040778562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52271.446000000004</v>
      </c>
      <c r="C5" s="17">
        <f>IF(ISERROR('Eigen informatie GS &amp; warmtenet'!B57),0,'Eigen informatie GS &amp; warmtenet'!B57)</f>
        <v>0</v>
      </c>
      <c r="D5" s="30">
        <f>(SUM(HH_hh_gas_kWh,HH_rest_gas_kWh)/1000)*0.902</f>
        <v>144372.89598094698</v>
      </c>
      <c r="E5" s="17">
        <f>B46*B57</f>
        <v>836.78084442410511</v>
      </c>
      <c r="F5" s="17">
        <f>B51*B62</f>
        <v>0</v>
      </c>
      <c r="G5" s="18"/>
      <c r="H5" s="17"/>
      <c r="I5" s="17"/>
      <c r="J5" s="17">
        <f>B50*B61+C50*C61</f>
        <v>0</v>
      </c>
      <c r="K5" s="17"/>
      <c r="L5" s="17"/>
      <c r="M5" s="17"/>
      <c r="N5" s="17">
        <f>B48*B59+C48*C59</f>
        <v>11960.866527310396</v>
      </c>
      <c r="O5" s="17">
        <f>B69*B70*B71</f>
        <v>184.47333333333336</v>
      </c>
      <c r="P5" s="17">
        <f>B77*B78*B79/1000-B77*B78*B79/1000/B80</f>
        <v>743.6</v>
      </c>
    </row>
    <row r="6" spans="1:16">
      <c r="A6" s="16" t="s">
        <v>631</v>
      </c>
      <c r="B6" s="789">
        <f>kWh_PV_kleiner_dan_10kW</f>
        <v>3179.8638408524857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55451.309840852489</v>
      </c>
      <c r="C8" s="21">
        <f>C5</f>
        <v>0</v>
      </c>
      <c r="D8" s="21">
        <f>D5</f>
        <v>144372.89598094698</v>
      </c>
      <c r="E8" s="21">
        <f>E5</f>
        <v>836.78084442410511</v>
      </c>
      <c r="F8" s="21">
        <f>F5</f>
        <v>0</v>
      </c>
      <c r="G8" s="21"/>
      <c r="H8" s="21"/>
      <c r="I8" s="21"/>
      <c r="J8" s="21">
        <f>J5</f>
        <v>0</v>
      </c>
      <c r="K8" s="21"/>
      <c r="L8" s="21">
        <f>L5</f>
        <v>0</v>
      </c>
      <c r="M8" s="21">
        <f>M5</f>
        <v>0</v>
      </c>
      <c r="N8" s="21">
        <f>N5</f>
        <v>11960.866527310396</v>
      </c>
      <c r="O8" s="21">
        <f>O5</f>
        <v>184.47333333333336</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0.2095999445048729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11622.591465365194</v>
      </c>
      <c r="C12" s="23">
        <f ca="1">C10*C8</f>
        <v>0</v>
      </c>
      <c r="D12" s="23">
        <f>D8*D10</f>
        <v>29163.324988151293</v>
      </c>
      <c r="E12" s="23">
        <f>E10*E8</f>
        <v>189.94925168427187</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6500</v>
      </c>
      <c r="C18" s="166" t="s">
        <v>111</v>
      </c>
      <c r="D18" s="228"/>
      <c r="E18" s="15"/>
    </row>
    <row r="19" spans="1:7">
      <c r="A19" s="171" t="s">
        <v>72</v>
      </c>
      <c r="B19" s="37">
        <f>aantalw2001_ander</f>
        <v>5</v>
      </c>
      <c r="C19" s="166" t="s">
        <v>111</v>
      </c>
      <c r="D19" s="229"/>
      <c r="E19" s="15"/>
    </row>
    <row r="20" spans="1:7">
      <c r="A20" s="171" t="s">
        <v>73</v>
      </c>
      <c r="B20" s="37">
        <f>aantalw2001_propaan</f>
        <v>26</v>
      </c>
      <c r="C20" s="167">
        <f>IF(ISERROR(B20/SUM($B$20,$B$21,$B$22)*100),0,B20/SUM($B$20,$B$21,$B$22)*100)</f>
        <v>2.3875114784205693</v>
      </c>
      <c r="D20" s="229"/>
      <c r="E20" s="15"/>
    </row>
    <row r="21" spans="1:7">
      <c r="A21" s="171" t="s">
        <v>74</v>
      </c>
      <c r="B21" s="37">
        <f>aantalw2001_elektriciteit</f>
        <v>965</v>
      </c>
      <c r="C21" s="167">
        <f>IF(ISERROR(B21/SUM($B$20,$B$21,$B$22)*100),0,B21/SUM($B$20,$B$21,$B$22)*100)</f>
        <v>88.613406795224975</v>
      </c>
      <c r="D21" s="229"/>
      <c r="E21" s="15"/>
    </row>
    <row r="22" spans="1:7">
      <c r="A22" s="171" t="s">
        <v>75</v>
      </c>
      <c r="B22" s="37">
        <f>aantalw2001_hout</f>
        <v>98</v>
      </c>
      <c r="C22" s="167">
        <f>IF(ISERROR(B22/SUM($B$20,$B$21,$B$22)*100),0,B22/SUM($B$20,$B$21,$B$22)*100)</f>
        <v>8.9990817263544542</v>
      </c>
      <c r="D22" s="229"/>
      <c r="E22" s="15"/>
    </row>
    <row r="23" spans="1:7">
      <c r="A23" s="171" t="s">
        <v>76</v>
      </c>
      <c r="B23" s="37">
        <f>aantalw2001_niet_gespec</f>
        <v>124</v>
      </c>
      <c r="C23" s="166" t="s">
        <v>111</v>
      </c>
      <c r="D23" s="228"/>
      <c r="E23" s="15"/>
    </row>
    <row r="24" spans="1:7">
      <c r="A24" s="171" t="s">
        <v>77</v>
      </c>
      <c r="B24" s="37">
        <f>aantalw2001_steenkool</f>
        <v>129</v>
      </c>
      <c r="C24" s="166" t="s">
        <v>111</v>
      </c>
      <c r="D24" s="229"/>
      <c r="E24" s="15"/>
    </row>
    <row r="25" spans="1:7">
      <c r="A25" s="171" t="s">
        <v>78</v>
      </c>
      <c r="B25" s="37">
        <f>aantalw2001_stookolie</f>
        <v>1907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10919</v>
      </c>
      <c r="C28" s="36"/>
      <c r="D28" s="228"/>
    </row>
    <row r="29" spans="1:7" s="15" customFormat="1">
      <c r="A29" s="230" t="s">
        <v>741</v>
      </c>
      <c r="B29" s="37">
        <f>SUM(HH_hh_gas_aantal,HH_rest_gas_aantal)</f>
        <v>8531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8531</v>
      </c>
      <c r="C32" s="167">
        <f>IF(ISERROR(B32/SUM($B$32,$B$34,$B$35,$B$36,$B$38,$B$39)*100),0,B32/SUM($B$32,$B$34,$B$35,$B$36,$B$38,$B$39)*100)</f>
        <v>78.40992647058826</v>
      </c>
      <c r="D32" s="233"/>
      <c r="G32" s="15"/>
    </row>
    <row r="33" spans="1:7">
      <c r="A33" s="171" t="s">
        <v>72</v>
      </c>
      <c r="B33" s="34" t="s">
        <v>111</v>
      </c>
      <c r="C33" s="167"/>
      <c r="D33" s="233"/>
      <c r="G33" s="15"/>
    </row>
    <row r="34" spans="1:7">
      <c r="A34" s="171" t="s">
        <v>73</v>
      </c>
      <c r="B34" s="33">
        <f>IF((($B$28-$B$32-$B$39-$B$77-$B$38)*C20/100)&lt;0,0,($B$28-$B$32-$B$39-$B$77-$B$38)*C20/100)</f>
        <v>56.082644628099168</v>
      </c>
      <c r="C34" s="167">
        <f>IF(ISERROR(B34/SUM($B$32,$B$34,$B$35,$B$36,$B$38,$B$39)*100),0,B34/SUM($B$32,$B$34,$B$35,$B$36,$B$38,$B$39)*100)</f>
        <v>0.51546548371414691</v>
      </c>
      <c r="D34" s="233"/>
      <c r="G34" s="15"/>
    </row>
    <row r="35" spans="1:7">
      <c r="A35" s="171" t="s">
        <v>74</v>
      </c>
      <c r="B35" s="33">
        <f>IF((($B$28-$B$32-$B$39-$B$77-$B$38)*C21/100)&lt;0,0,($B$28-$B$32-$B$39-$B$77-$B$38)*C21/100)</f>
        <v>2081.5289256198348</v>
      </c>
      <c r="C35" s="167">
        <f>IF(ISERROR(B35/SUM($B$32,$B$34,$B$35,$B$36,$B$38,$B$39)*100),0,B35/SUM($B$32,$B$34,$B$35,$B$36,$B$38,$B$39)*100)</f>
        <v>19.131699684005838</v>
      </c>
      <c r="D35" s="233"/>
      <c r="G35" s="15"/>
    </row>
    <row r="36" spans="1:7">
      <c r="A36" s="171" t="s">
        <v>75</v>
      </c>
      <c r="B36" s="33">
        <f>IF((($B$28-$B$32-$B$39-$B$77-$B$38)*C22/100)&lt;0,0,($B$28-$B$32-$B$39-$B$77-$B$38)*C22/100)</f>
        <v>211.38842975206612</v>
      </c>
      <c r="C36" s="167">
        <f>IF(ISERROR(B36/SUM($B$32,$B$34,$B$35,$B$36,$B$38,$B$39)*100),0,B36/SUM($B$32,$B$34,$B$35,$B$36,$B$38,$B$39)*100)</f>
        <v>1.9429083616917846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8531</v>
      </c>
      <c r="C44" s="34" t="s">
        <v>111</v>
      </c>
      <c r="D44" s="174"/>
    </row>
    <row r="45" spans="1:7">
      <c r="A45" s="171" t="s">
        <v>72</v>
      </c>
      <c r="B45" s="33" t="str">
        <f t="shared" si="0"/>
        <v>-</v>
      </c>
      <c r="C45" s="34" t="s">
        <v>111</v>
      </c>
      <c r="D45" s="174"/>
    </row>
    <row r="46" spans="1:7">
      <c r="A46" s="171" t="s">
        <v>73</v>
      </c>
      <c r="B46" s="33">
        <f t="shared" si="0"/>
        <v>56.082644628099168</v>
      </c>
      <c r="C46" s="34" t="s">
        <v>111</v>
      </c>
      <c r="D46" s="174"/>
    </row>
    <row r="47" spans="1:7">
      <c r="A47" s="171" t="s">
        <v>74</v>
      </c>
      <c r="B47" s="33">
        <f t="shared" si="0"/>
        <v>2081.5289256198348</v>
      </c>
      <c r="C47" s="34" t="s">
        <v>111</v>
      </c>
      <c r="D47" s="174"/>
    </row>
    <row r="48" spans="1:7">
      <c r="A48" s="171" t="s">
        <v>75</v>
      </c>
      <c r="B48" s="33">
        <f t="shared" si="0"/>
        <v>211.38842975206612</v>
      </c>
      <c r="C48" s="33">
        <f>B48*10</f>
        <v>2113.8842975206612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27919.466909999999</v>
      </c>
      <c r="C5" s="17">
        <f>IF(ISERROR('Eigen informatie GS &amp; warmtenet'!B58),0,'Eigen informatie GS &amp; warmtenet'!B58)</f>
        <v>0</v>
      </c>
      <c r="D5" s="30">
        <f>SUM(D6:D12)</f>
        <v>41358.890582814907</v>
      </c>
      <c r="E5" s="17">
        <f>SUM(E6:E12)</f>
        <v>250.43886637657755</v>
      </c>
      <c r="F5" s="17">
        <f>SUM(F6:F12)</f>
        <v>4099.3611074466389</v>
      </c>
      <c r="G5" s="18"/>
      <c r="H5" s="17"/>
      <c r="I5" s="17"/>
      <c r="J5" s="17">
        <f>SUM(J6:J12)</f>
        <v>0</v>
      </c>
      <c r="K5" s="17"/>
      <c r="L5" s="17"/>
      <c r="M5" s="17"/>
      <c r="N5" s="17">
        <f>SUM(N6:N12)</f>
        <v>2772.1498268488722</v>
      </c>
      <c r="O5" s="17">
        <f>B38*B39*B40</f>
        <v>3.1266666666666669</v>
      </c>
      <c r="P5" s="17">
        <f>B46*B47*B48/1000-B46*B47*B48/1000/B49</f>
        <v>57.2</v>
      </c>
      <c r="R5" s="32"/>
    </row>
    <row r="6" spans="1:18">
      <c r="A6" s="32" t="s">
        <v>54</v>
      </c>
      <c r="B6" s="37">
        <f>B26</f>
        <v>8724.9189999999999</v>
      </c>
      <c r="C6" s="33"/>
      <c r="D6" s="37">
        <f>IF(ISERROR(TER_kantoor_gas_kWh/1000),0,TER_kantoor_gas_kWh/1000)*0.902</f>
        <v>14710.192827903729</v>
      </c>
      <c r="E6" s="33">
        <f>$C$26*'E Balans VL '!I12/100/3.6*1000000</f>
        <v>25.277370470129849</v>
      </c>
      <c r="F6" s="33">
        <f>$C$26*('E Balans VL '!L12+'E Balans VL '!N12)/100/3.6*1000000</f>
        <v>987.46860593078497</v>
      </c>
      <c r="G6" s="34"/>
      <c r="H6" s="33"/>
      <c r="I6" s="33"/>
      <c r="J6" s="33">
        <f>$C$26*('E Balans VL '!D12+'E Balans VL '!E12)/100/3.6*1000000</f>
        <v>0</v>
      </c>
      <c r="K6" s="33"/>
      <c r="L6" s="33"/>
      <c r="M6" s="33"/>
      <c r="N6" s="33">
        <f>$C$26*'E Balans VL '!Y12/100/3.6*1000000</f>
        <v>87.330010382642456</v>
      </c>
      <c r="O6" s="33"/>
      <c r="P6" s="33"/>
      <c r="R6" s="32"/>
    </row>
    <row r="7" spans="1:18">
      <c r="A7" s="32" t="s">
        <v>53</v>
      </c>
      <c r="B7" s="37">
        <f t="shared" ref="B7:B12" si="0">B27</f>
        <v>2180.0781000000002</v>
      </c>
      <c r="C7" s="33"/>
      <c r="D7" s="37">
        <f>IF(ISERROR(TER_horeca_gas_kWh/1000),0,TER_horeca_gas_kWh/1000)*0.902</f>
        <v>3478.9102696327509</v>
      </c>
      <c r="E7" s="33">
        <f>$C$27*'E Balans VL '!I9/100/3.6*1000000</f>
        <v>91.513587620170455</v>
      </c>
      <c r="F7" s="33">
        <f>$C$27*('E Balans VL '!L9+'E Balans VL '!N9)/100/3.6*1000000</f>
        <v>468.43448649705044</v>
      </c>
      <c r="G7" s="34"/>
      <c r="H7" s="33"/>
      <c r="I7" s="33"/>
      <c r="J7" s="33">
        <f>$C$27*('E Balans VL '!D9+'E Balans VL '!E9)/100/3.6*1000000</f>
        <v>0</v>
      </c>
      <c r="K7" s="33"/>
      <c r="L7" s="33"/>
      <c r="M7" s="33"/>
      <c r="N7" s="33">
        <f>$C$27*'E Balans VL '!Y9/100/3.6*1000000</f>
        <v>0.56178706089537134</v>
      </c>
      <c r="O7" s="33"/>
      <c r="P7" s="33"/>
      <c r="R7" s="32"/>
    </row>
    <row r="8" spans="1:18">
      <c r="A8" s="6" t="s">
        <v>52</v>
      </c>
      <c r="B8" s="37">
        <f t="shared" si="0"/>
        <v>9585.3389999999999</v>
      </c>
      <c r="C8" s="33"/>
      <c r="D8" s="37">
        <f>IF(ISERROR(TER_handel_gas_kWh/1000),0,TER_handel_gas_kWh/1000)*0.902</f>
        <v>7693.8326940315474</v>
      </c>
      <c r="E8" s="33">
        <f>$C$28*'E Balans VL '!I13/100/3.6*1000000</f>
        <v>102.95451851087228</v>
      </c>
      <c r="F8" s="33">
        <f>$C$28*('E Balans VL '!L13+'E Balans VL '!N13)/100/3.6*1000000</f>
        <v>1240.9012876477166</v>
      </c>
      <c r="G8" s="34"/>
      <c r="H8" s="33"/>
      <c r="I8" s="33"/>
      <c r="J8" s="33">
        <f>$C$28*('E Balans VL '!D13+'E Balans VL '!E13)/100/3.6*1000000</f>
        <v>0</v>
      </c>
      <c r="K8" s="33"/>
      <c r="L8" s="33"/>
      <c r="M8" s="33"/>
      <c r="N8" s="33">
        <f>$C$28*'E Balans VL '!Y13/100/3.6*1000000</f>
        <v>77.756793350265824</v>
      </c>
      <c r="O8" s="33"/>
      <c r="P8" s="33"/>
      <c r="R8" s="32"/>
    </row>
    <row r="9" spans="1:18">
      <c r="A9" s="32" t="s">
        <v>51</v>
      </c>
      <c r="B9" s="37">
        <f t="shared" si="0"/>
        <v>1361.0527</v>
      </c>
      <c r="C9" s="33"/>
      <c r="D9" s="37">
        <f>IF(ISERROR(TER_gezond_gas_kWh/1000),0,TER_gezond_gas_kWh/1000)*0.902</f>
        <v>6420.9916686736779</v>
      </c>
      <c r="E9" s="33">
        <f>$C$29*'E Balans VL '!I10/100/3.6*1000000</f>
        <v>1.0834859797302283</v>
      </c>
      <c r="F9" s="33">
        <f>$C$29*('E Balans VL '!L10+'E Balans VL '!N10)/100/3.6*1000000</f>
        <v>165.45562466810824</v>
      </c>
      <c r="G9" s="34"/>
      <c r="H9" s="33"/>
      <c r="I9" s="33"/>
      <c r="J9" s="33">
        <f>$C$29*('E Balans VL '!D10+'E Balans VL '!E10)/100/3.6*1000000</f>
        <v>0</v>
      </c>
      <c r="K9" s="33"/>
      <c r="L9" s="33"/>
      <c r="M9" s="33"/>
      <c r="N9" s="33">
        <f>$C$29*'E Balans VL '!Y10/100/3.6*1000000</f>
        <v>10.994223123379051</v>
      </c>
      <c r="O9" s="33"/>
      <c r="P9" s="33"/>
      <c r="R9" s="32"/>
    </row>
    <row r="10" spans="1:18">
      <c r="A10" s="32" t="s">
        <v>50</v>
      </c>
      <c r="B10" s="37">
        <f t="shared" si="0"/>
        <v>3452.0985000000001</v>
      </c>
      <c r="C10" s="33"/>
      <c r="D10" s="37">
        <f>IF(ISERROR(TER_ander_gas_kWh/1000),0,TER_ander_gas_kWh/1000)*0.902</f>
        <v>2559.356355702354</v>
      </c>
      <c r="E10" s="33">
        <f>$C$30*'E Balans VL '!I14/100/3.6*1000000</f>
        <v>11.830522909508669</v>
      </c>
      <c r="F10" s="33">
        <f>$C$30*('E Balans VL '!L14+'E Balans VL '!N14)/100/3.6*1000000</f>
        <v>771.05852814107175</v>
      </c>
      <c r="G10" s="34"/>
      <c r="H10" s="33"/>
      <c r="I10" s="33"/>
      <c r="J10" s="33">
        <f>$C$30*('E Balans VL '!D14+'E Balans VL '!E14)/100/3.6*1000000</f>
        <v>0</v>
      </c>
      <c r="K10" s="33"/>
      <c r="L10" s="33"/>
      <c r="M10" s="33"/>
      <c r="N10" s="33">
        <f>$C$30*'E Balans VL '!Y14/100/3.6*1000000</f>
        <v>2431.6770418454744</v>
      </c>
      <c r="O10" s="33"/>
      <c r="P10" s="33"/>
      <c r="R10" s="32"/>
    </row>
    <row r="11" spans="1:18">
      <c r="A11" s="32" t="s">
        <v>55</v>
      </c>
      <c r="B11" s="37">
        <f t="shared" si="0"/>
        <v>703.25360999999998</v>
      </c>
      <c r="C11" s="33"/>
      <c r="D11" s="37">
        <f>IF(ISERROR(TER_onderwijs_gas_kWh/1000),0,TER_onderwijs_gas_kWh/1000)*0.902</f>
        <v>1490.391733724015</v>
      </c>
      <c r="E11" s="33">
        <f>$C$31*'E Balans VL '!I11/100/3.6*1000000</f>
        <v>0.48613756208636333</v>
      </c>
      <c r="F11" s="33">
        <f>$C$31*('E Balans VL '!L11+'E Balans VL '!N11)/100/3.6*1000000</f>
        <v>184.09136696671149</v>
      </c>
      <c r="G11" s="34"/>
      <c r="H11" s="33"/>
      <c r="I11" s="33"/>
      <c r="J11" s="33">
        <f>$C$31*('E Balans VL '!D11+'E Balans VL '!E11)/100/3.6*1000000</f>
        <v>0</v>
      </c>
      <c r="K11" s="33"/>
      <c r="L11" s="33"/>
      <c r="M11" s="33"/>
      <c r="N11" s="33">
        <f>$C$31*'E Balans VL '!Y11/100/3.6*1000000</f>
        <v>0.70002907028507566</v>
      </c>
      <c r="O11" s="33"/>
      <c r="P11" s="33"/>
      <c r="R11" s="32"/>
    </row>
    <row r="12" spans="1:18">
      <c r="A12" s="32" t="s">
        <v>260</v>
      </c>
      <c r="B12" s="37">
        <f t="shared" si="0"/>
        <v>1912.7260000000001</v>
      </c>
      <c r="C12" s="33"/>
      <c r="D12" s="37">
        <f>IF(ISERROR(TER_rest_gas_kWh/1000),0,TER_rest_gas_kWh/1000)*0.902</f>
        <v>5005.2150331468392</v>
      </c>
      <c r="E12" s="33">
        <f>$C$32*'E Balans VL '!I8/100/3.6*1000000</f>
        <v>17.293243324079722</v>
      </c>
      <c r="F12" s="33">
        <f>$C$32*('E Balans VL '!L8+'E Balans VL '!N8)/100/3.6*1000000</f>
        <v>281.95120759519489</v>
      </c>
      <c r="G12" s="34"/>
      <c r="H12" s="33"/>
      <c r="I12" s="33"/>
      <c r="J12" s="33">
        <f>$C$32*('E Balans VL '!D8+'E Balans VL '!E8)/100/3.6*1000000</f>
        <v>0</v>
      </c>
      <c r="K12" s="33"/>
      <c r="L12" s="33"/>
      <c r="M12" s="33"/>
      <c r="N12" s="33">
        <f>$C$32*'E Balans VL '!Y8/100/3.6*1000000</f>
        <v>163.12994201593031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27919.466909999999</v>
      </c>
      <c r="C16" s="21">
        <f t="shared" ca="1" si="1"/>
        <v>0</v>
      </c>
      <c r="D16" s="21">
        <f t="shared" ca="1" si="1"/>
        <v>41358.890582814907</v>
      </c>
      <c r="E16" s="21">
        <f t="shared" si="1"/>
        <v>250.43886637657755</v>
      </c>
      <c r="F16" s="21">
        <f t="shared" ca="1" si="1"/>
        <v>4099.3611074466389</v>
      </c>
      <c r="G16" s="21">
        <f t="shared" si="1"/>
        <v>0</v>
      </c>
      <c r="H16" s="21">
        <f t="shared" si="1"/>
        <v>0</v>
      </c>
      <c r="I16" s="21">
        <f t="shared" si="1"/>
        <v>0</v>
      </c>
      <c r="J16" s="21">
        <f t="shared" si="1"/>
        <v>0</v>
      </c>
      <c r="K16" s="21">
        <f t="shared" si="1"/>
        <v>0</v>
      </c>
      <c r="L16" s="21">
        <f t="shared" ca="1" si="1"/>
        <v>0</v>
      </c>
      <c r="M16" s="21">
        <f t="shared" si="1"/>
        <v>0</v>
      </c>
      <c r="N16" s="21">
        <f t="shared" ca="1" si="1"/>
        <v>2772.1498268488722</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0.2095999445048729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5851.9187149416348</v>
      </c>
      <c r="C20" s="23">
        <f t="shared" ref="C20:P20" ca="1" si="2">C16*C18</f>
        <v>0</v>
      </c>
      <c r="D20" s="23">
        <f t="shared" ca="1" si="2"/>
        <v>8354.4958977286115</v>
      </c>
      <c r="E20" s="23">
        <f t="shared" si="2"/>
        <v>56.849622667483104</v>
      </c>
      <c r="F20" s="23">
        <f t="shared" ca="1" si="2"/>
        <v>1094.5294156882526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8724.9189999999999</v>
      </c>
      <c r="C26" s="39">
        <f>IF(ISERROR(B26*3.6/1000000/'E Balans VL '!Z12*100),0,B26*3.6/1000000/'E Balans VL '!Z12*100)</f>
        <v>0.19165293285144999</v>
      </c>
      <c r="D26" s="237" t="s">
        <v>692</v>
      </c>
      <c r="F26" s="6"/>
    </row>
    <row r="27" spans="1:18">
      <c r="A27" s="231" t="s">
        <v>53</v>
      </c>
      <c r="B27" s="33">
        <f>IF(ISERROR(TER_horeca_ele_kWh/1000),0,TER_horeca_ele_kWh/1000)</f>
        <v>2180.0781000000002</v>
      </c>
      <c r="C27" s="39">
        <f>IF(ISERROR(B27*3.6/1000000/'E Balans VL '!Z9*100),0,B27*3.6/1000000/'E Balans VL '!Z9*100)</f>
        <v>0.17519100661017062</v>
      </c>
      <c r="D27" s="237" t="s">
        <v>692</v>
      </c>
      <c r="F27" s="6"/>
    </row>
    <row r="28" spans="1:18">
      <c r="A28" s="171" t="s">
        <v>52</v>
      </c>
      <c r="B28" s="33">
        <f>IF(ISERROR(TER_handel_ele_kWh/1000),0,TER_handel_ele_kWh/1000)</f>
        <v>9585.3389999999999</v>
      </c>
      <c r="C28" s="39">
        <f>IF(ISERROR(B28*3.6/1000000/'E Balans VL '!Z13*100),0,B28*3.6/1000000/'E Balans VL '!Z13*100)</f>
        <v>0.28343177777157191</v>
      </c>
      <c r="D28" s="237" t="s">
        <v>692</v>
      </c>
      <c r="F28" s="6"/>
    </row>
    <row r="29" spans="1:18">
      <c r="A29" s="231" t="s">
        <v>51</v>
      </c>
      <c r="B29" s="33">
        <f>IF(ISERROR(TER_gezond_ele_kWh/1000),0,TER_gezond_ele_kWh/1000)</f>
        <v>1361.0527</v>
      </c>
      <c r="C29" s="39">
        <f>IF(ISERROR(B29*3.6/1000000/'E Balans VL '!Z10*100),0,B29*3.6/1000000/'E Balans VL '!Z10*100)</f>
        <v>0.15335550000682163</v>
      </c>
      <c r="D29" s="237" t="s">
        <v>692</v>
      </c>
      <c r="F29" s="6"/>
    </row>
    <row r="30" spans="1:18">
      <c r="A30" s="231" t="s">
        <v>50</v>
      </c>
      <c r="B30" s="33">
        <f>IF(ISERROR(TER_ander_ele_kWh/1000),0,TER_ander_ele_kWh/1000)</f>
        <v>3452.0985000000001</v>
      </c>
      <c r="C30" s="39">
        <f>IF(ISERROR(B30*3.6/1000000/'E Balans VL '!Z14*100),0,B30*3.6/1000000/'E Balans VL '!Z14*100)</f>
        <v>0.26107630845916718</v>
      </c>
      <c r="D30" s="237" t="s">
        <v>692</v>
      </c>
      <c r="F30" s="6"/>
    </row>
    <row r="31" spans="1:18">
      <c r="A31" s="231" t="s">
        <v>55</v>
      </c>
      <c r="B31" s="33">
        <f>IF(ISERROR(TER_onderwijs_ele_kWh/1000),0,TER_onderwijs_ele_kWh/1000)</f>
        <v>703.25360999999998</v>
      </c>
      <c r="C31" s="39">
        <f>IF(ISERROR(B31*3.6/1000000/'E Balans VL '!Z11*100),0,B31*3.6/1000000/'E Balans VL '!Z11*100)</f>
        <v>0.14597912410429728</v>
      </c>
      <c r="D31" s="237" t="s">
        <v>692</v>
      </c>
    </row>
    <row r="32" spans="1:18">
      <c r="A32" s="231" t="s">
        <v>260</v>
      </c>
      <c r="B32" s="33">
        <f>IF(ISERROR(TER_rest_ele_kWh/1000),0,TER_rest_ele_kWh/1000)</f>
        <v>1912.7260000000001</v>
      </c>
      <c r="C32" s="39">
        <f>IF(ISERROR(B32*3.6/1000000/'E Balans VL '!Z8*100),0,B32*3.6/1000000/'E Balans VL '!Z8*100)</f>
        <v>1.6113591331399328E-2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6568.3161400000008</v>
      </c>
      <c r="C5" s="17">
        <f>IF(ISERROR('Eigen informatie GS &amp; warmtenet'!B59),0,'Eigen informatie GS &amp; warmtenet'!B59)</f>
        <v>0</v>
      </c>
      <c r="D5" s="30">
        <f>SUM(D6:D15)</f>
        <v>5570.3276984179447</v>
      </c>
      <c r="E5" s="17">
        <f>SUM(E6:E15)</f>
        <v>1338.6227193248274</v>
      </c>
      <c r="F5" s="17">
        <f>SUM(F6:F15)</f>
        <v>5853.9898175149092</v>
      </c>
      <c r="G5" s="18"/>
      <c r="H5" s="17"/>
      <c r="I5" s="17"/>
      <c r="J5" s="17">
        <f>SUM(J6:J15)</f>
        <v>26.38820344461347</v>
      </c>
      <c r="K5" s="17"/>
      <c r="L5" s="17"/>
      <c r="M5" s="17"/>
      <c r="N5" s="17">
        <f>SUM(N6:N15)</f>
        <v>2180.0840868665287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258.90300000000002</v>
      </c>
      <c r="C8" s="33"/>
      <c r="D8" s="37">
        <f>IF( ISERROR(IND_metaal_Gas_kWH/1000),0,IND_metaal_Gas_kWH/1000)*0.902</f>
        <v>0</v>
      </c>
      <c r="E8" s="33">
        <f>C30*'E Balans VL '!I18/100/3.6*1000000</f>
        <v>6.4794359489128075</v>
      </c>
      <c r="F8" s="33">
        <f>C30*'E Balans VL '!L18/100/3.6*1000000+C30*'E Balans VL '!N18/100/3.6*1000000</f>
        <v>81.141488049753505</v>
      </c>
      <c r="G8" s="34"/>
      <c r="H8" s="33"/>
      <c r="I8" s="33"/>
      <c r="J8" s="40">
        <f>C30*'E Balans VL '!D18/100/3.6*1000000+C30*'E Balans VL '!E18/100/3.6*1000000</f>
        <v>0</v>
      </c>
      <c r="K8" s="33"/>
      <c r="L8" s="33"/>
      <c r="M8" s="33"/>
      <c r="N8" s="33">
        <f>C30*'E Balans VL '!Y18/100/3.6*1000000</f>
        <v>6.5043152718761679</v>
      </c>
      <c r="O8" s="33"/>
      <c r="P8" s="33"/>
      <c r="R8" s="32"/>
    </row>
    <row r="9" spans="1:18">
      <c r="A9" s="6" t="s">
        <v>33</v>
      </c>
      <c r="B9" s="37">
        <f t="shared" si="0"/>
        <v>4732.0870000000004</v>
      </c>
      <c r="C9" s="33"/>
      <c r="D9" s="37">
        <f>IF( ISERROR(IND_andere_gas_kWh/1000),0,IND_andere_gas_kWh/1000)*0.902</f>
        <v>3307.326985144542</v>
      </c>
      <c r="E9" s="33">
        <f>C31*'E Balans VL '!I19/100/3.6*1000000</f>
        <v>1301.1298381886184</v>
      </c>
      <c r="F9" s="33">
        <f>C31*'E Balans VL '!L19/100/3.6*1000000+C31*'E Balans VL '!N19/100/3.6*1000000</f>
        <v>3729.7079982594746</v>
      </c>
      <c r="G9" s="34"/>
      <c r="H9" s="33"/>
      <c r="I9" s="33"/>
      <c r="J9" s="40">
        <f>C31*'E Balans VL '!D19/100/3.6*1000000+C31*'E Balans VL '!E19/100/3.6*1000000</f>
        <v>0</v>
      </c>
      <c r="K9" s="33"/>
      <c r="L9" s="33"/>
      <c r="M9" s="33"/>
      <c r="N9" s="33">
        <f>C31*'E Balans VL '!Y19/100/3.6*1000000</f>
        <v>1531.9014680951041</v>
      </c>
      <c r="O9" s="33"/>
      <c r="P9" s="33"/>
      <c r="R9" s="32"/>
    </row>
    <row r="10" spans="1:18">
      <c r="A10" s="6" t="s">
        <v>41</v>
      </c>
      <c r="B10" s="37">
        <f t="shared" si="0"/>
        <v>1031.2660000000001</v>
      </c>
      <c r="C10" s="33"/>
      <c r="D10" s="37">
        <f>IF( ISERROR(IND_voed_gas_kWh/1000),0,IND_voed_gas_kWh/1000)*0.902</f>
        <v>790.56009354623575</v>
      </c>
      <c r="E10" s="33">
        <f>C32*'E Balans VL '!I20/100/3.6*1000000</f>
        <v>10.513188742318851</v>
      </c>
      <c r="F10" s="33">
        <f>C32*'E Balans VL '!L20/100/3.6*1000000+C32*'E Balans VL '!N20/100/3.6*1000000</f>
        <v>1948.0550240537896</v>
      </c>
      <c r="G10" s="34"/>
      <c r="H10" s="33"/>
      <c r="I10" s="33"/>
      <c r="J10" s="40">
        <f>C32*'E Balans VL '!D20/100/3.6*1000000+C32*'E Balans VL '!E20/100/3.6*1000000</f>
        <v>24.681569697628877</v>
      </c>
      <c r="K10" s="33"/>
      <c r="L10" s="33"/>
      <c r="M10" s="33"/>
      <c r="N10" s="33">
        <f>C32*'E Balans VL '!Y20/100/3.6*1000000</f>
        <v>543.59596927708048</v>
      </c>
      <c r="O10" s="33"/>
      <c r="P10" s="33"/>
      <c r="R10" s="32"/>
    </row>
    <row r="11" spans="1:18">
      <c r="A11" s="6" t="s">
        <v>40</v>
      </c>
      <c r="B11" s="37">
        <f t="shared" si="0"/>
        <v>63.753999999999998</v>
      </c>
      <c r="C11" s="33"/>
      <c r="D11" s="37">
        <f>IF( ISERROR(IND_textiel_gas_kWh/1000),0,IND_textiel_gas_kWh/1000)*0.902</f>
        <v>0</v>
      </c>
      <c r="E11" s="33">
        <f>C33*'E Balans VL '!I21/100/3.6*1000000</f>
        <v>0.16897928957265052</v>
      </c>
      <c r="F11" s="33">
        <f>C33*'E Balans VL '!L21/100/3.6*1000000+C33*'E Balans VL '!N21/100/3.6*1000000</f>
        <v>2.8473194071481513</v>
      </c>
      <c r="G11" s="34"/>
      <c r="H11" s="33"/>
      <c r="I11" s="33"/>
      <c r="J11" s="40">
        <f>C33*'E Balans VL '!D21/100/3.6*1000000+C33*'E Balans VL '!E21/100/3.6*1000000</f>
        <v>0</v>
      </c>
      <c r="K11" s="33"/>
      <c r="L11" s="33"/>
      <c r="M11" s="33"/>
      <c r="N11" s="33">
        <f>C33*'E Balans VL '!Y21/100/3.6*1000000</f>
        <v>0.60083587595607657</v>
      </c>
      <c r="O11" s="33"/>
      <c r="P11" s="33"/>
      <c r="R11" s="32"/>
    </row>
    <row r="12" spans="1:18">
      <c r="A12" s="6" t="s">
        <v>37</v>
      </c>
      <c r="B12" s="37">
        <f t="shared" si="0"/>
        <v>31.917999999999999</v>
      </c>
      <c r="C12" s="33"/>
      <c r="D12" s="37">
        <f>IF( ISERROR(IND_min_gas_kWh/1000),0,IND_min_gas_kWh/1000)*0.902</f>
        <v>0</v>
      </c>
      <c r="E12" s="33">
        <f>C34*'E Balans VL '!I22/100/3.6*1000000</f>
        <v>9.6665183799088644E-2</v>
      </c>
      <c r="F12" s="33">
        <f>C34*'E Balans VL '!L22/100/3.6*1000000+C34*'E Balans VL '!N22/100/3.6*1000000</f>
        <v>0.99746494105699934</v>
      </c>
      <c r="G12" s="34"/>
      <c r="H12" s="33"/>
      <c r="I12" s="33"/>
      <c r="J12" s="40">
        <f>C34*'E Balans VL '!D22/100/3.6*1000000+C34*'E Balans VL '!E22/100/3.6*1000000</f>
        <v>4.73273085691054E-2</v>
      </c>
      <c r="K12" s="33"/>
      <c r="L12" s="33"/>
      <c r="M12" s="33"/>
      <c r="N12" s="33">
        <f>C34*'E Balans VL '!Y22/100/3.6*1000000</f>
        <v>0</v>
      </c>
      <c r="O12" s="33"/>
      <c r="P12" s="33"/>
      <c r="R12" s="32"/>
    </row>
    <row r="13" spans="1:18">
      <c r="A13" s="6" t="s">
        <v>39</v>
      </c>
      <c r="B13" s="37">
        <f t="shared" si="0"/>
        <v>54.875440000000005</v>
      </c>
      <c r="C13" s="33"/>
      <c r="D13" s="37">
        <f>IF( ISERROR(IND_papier_gas_kWh/1000),0,IND_papier_gas_kWh/1000)*0.902</f>
        <v>156.43860008177666</v>
      </c>
      <c r="E13" s="33">
        <f>C35*'E Balans VL '!I23/100/3.6*1000000</f>
        <v>0.11365074024300917</v>
      </c>
      <c r="F13" s="33">
        <f>C35*'E Balans VL '!L23/100/3.6*1000000+C35*'E Balans VL '!N23/100/3.6*1000000</f>
        <v>1.0882976187929554</v>
      </c>
      <c r="G13" s="34"/>
      <c r="H13" s="33"/>
      <c r="I13" s="33"/>
      <c r="J13" s="40">
        <f>C35*'E Balans VL '!D23/100/3.6*1000000+C35*'E Balans VL '!E23/100/3.6*1000000</f>
        <v>0</v>
      </c>
      <c r="K13" s="33"/>
      <c r="L13" s="33"/>
      <c r="M13" s="33"/>
      <c r="N13" s="33">
        <f>C35*'E Balans VL '!Y23/100/3.6*1000000</f>
        <v>23.17103758837872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395.5127</v>
      </c>
      <c r="C15" s="33"/>
      <c r="D15" s="37">
        <f>IF( ISERROR(IND_rest_gas_kWh/1000),0,IND_rest_gas_kWh/1000)*0.902</f>
        <v>1316.0020196453902</v>
      </c>
      <c r="E15" s="33">
        <f>C37*'E Balans VL '!I15/100/3.6*1000000</f>
        <v>20.120961231362642</v>
      </c>
      <c r="F15" s="33">
        <f>C37*'E Balans VL '!L15/100/3.6*1000000+C37*'E Balans VL '!N15/100/3.6*1000000</f>
        <v>90.152225184893041</v>
      </c>
      <c r="G15" s="34"/>
      <c r="H15" s="33"/>
      <c r="I15" s="33"/>
      <c r="J15" s="40">
        <f>C37*'E Balans VL '!D15/100/3.6*1000000+C37*'E Balans VL '!E15/100/3.6*1000000</f>
        <v>1.6593064384154881</v>
      </c>
      <c r="K15" s="33"/>
      <c r="L15" s="33"/>
      <c r="M15" s="33"/>
      <c r="N15" s="33">
        <f>C37*'E Balans VL '!Y15/100/3.6*1000000</f>
        <v>74.31046075813363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6568.3161400000008</v>
      </c>
      <c r="C18" s="21">
        <f>C5+C16</f>
        <v>0</v>
      </c>
      <c r="D18" s="21">
        <f>MAX((D5+D16),0)</f>
        <v>5570.3276984179447</v>
      </c>
      <c r="E18" s="21">
        <f>MAX((E5+E16),0)</f>
        <v>1338.6227193248274</v>
      </c>
      <c r="F18" s="21">
        <f>MAX((F5+F16),0)</f>
        <v>5853.9898175149092</v>
      </c>
      <c r="G18" s="21"/>
      <c r="H18" s="21"/>
      <c r="I18" s="21"/>
      <c r="J18" s="21">
        <f>MAX((J5+J16),0)</f>
        <v>26.38820344461347</v>
      </c>
      <c r="K18" s="21"/>
      <c r="L18" s="21">
        <f>MAX((L5+L16),0)</f>
        <v>0</v>
      </c>
      <c r="M18" s="21"/>
      <c r="N18" s="21">
        <f>MAX((N5+N16),0)</f>
        <v>2180.0840868665287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0.2095999445048729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1376.7186984344612</v>
      </c>
      <c r="C22" s="23">
        <f ca="1">C18*C20</f>
        <v>0</v>
      </c>
      <c r="D22" s="23">
        <f>D18*D20</f>
        <v>1125.206195080425</v>
      </c>
      <c r="E22" s="23">
        <f>E18*E20</f>
        <v>303.8673572867358</v>
      </c>
      <c r="F22" s="23">
        <f>F18*F20</f>
        <v>1563.0152812764809</v>
      </c>
      <c r="G22" s="23"/>
      <c r="H22" s="23"/>
      <c r="I22" s="23"/>
      <c r="J22" s="23">
        <f>J18*J20</f>
        <v>9.3414240193931679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258.90300000000002</v>
      </c>
      <c r="C30" s="39">
        <f>IF(ISERROR(B30*3.6/1000000/'E Balans VL '!Z18*100),0,B30*3.6/1000000/'E Balans VL '!Z18*100)</f>
        <v>3.6237791962208436E-2</v>
      </c>
      <c r="D30" s="237" t="s">
        <v>692</v>
      </c>
    </row>
    <row r="31" spans="1:18">
      <c r="A31" s="6" t="s">
        <v>33</v>
      </c>
      <c r="B31" s="37">
        <f>IF( ISERROR(IND_ander_ele_kWh/1000),0,IND_ander_ele_kWh/1000)</f>
        <v>4732.0870000000004</v>
      </c>
      <c r="C31" s="39">
        <f>IF(ISERROR(B31*3.6/1000000/'E Balans VL '!Z19*100),0,B31*3.6/1000000/'E Balans VL '!Z19*100)</f>
        <v>0.20712268033642472</v>
      </c>
      <c r="D31" s="237" t="s">
        <v>692</v>
      </c>
    </row>
    <row r="32" spans="1:18">
      <c r="A32" s="171" t="s">
        <v>41</v>
      </c>
      <c r="B32" s="37">
        <f>IF( ISERROR(IND_voed_ele_kWh/1000),0,IND_voed_ele_kWh/1000)</f>
        <v>1031.2660000000001</v>
      </c>
      <c r="C32" s="39">
        <f>IF(ISERROR(B32*3.6/1000000/'E Balans VL '!Z20*100),0,B32*3.6/1000000/'E Balans VL '!Z20*100)</f>
        <v>0.25530721494537273</v>
      </c>
      <c r="D32" s="237" t="s">
        <v>692</v>
      </c>
    </row>
    <row r="33" spans="1:5">
      <c r="A33" s="171" t="s">
        <v>40</v>
      </c>
      <c r="B33" s="37">
        <f>IF( ISERROR(IND_textiel_ele_kWh/1000),0,IND_textiel_ele_kWh/1000)</f>
        <v>63.753999999999998</v>
      </c>
      <c r="C33" s="39">
        <f>IF(ISERROR(B33*3.6/1000000/'E Balans VL '!Z21*100),0,B33*3.6/1000000/'E Balans VL '!Z21*100)</f>
        <v>7.1839527629434354E-3</v>
      </c>
      <c r="D33" s="237" t="s">
        <v>692</v>
      </c>
    </row>
    <row r="34" spans="1:5">
      <c r="A34" s="171" t="s">
        <v>37</v>
      </c>
      <c r="B34" s="37">
        <f>IF( ISERROR(IND_min_ele_kWh/1000),0,IND_min_ele_kWh/1000)</f>
        <v>31.917999999999999</v>
      </c>
      <c r="C34" s="39">
        <f>IF(ISERROR(B34*3.6/1000000/'E Balans VL '!Z22*100),0,B34*3.6/1000000/'E Balans VL '!Z22*100)</f>
        <v>9.0570262155851915E-4</v>
      </c>
      <c r="D34" s="237" t="s">
        <v>692</v>
      </c>
    </row>
    <row r="35" spans="1:5">
      <c r="A35" s="171" t="s">
        <v>39</v>
      </c>
      <c r="B35" s="37">
        <f>IF( ISERROR(IND_papier_ele_kWh/1000),0,IND_papier_ele_kWh/1000)</f>
        <v>54.875440000000005</v>
      </c>
      <c r="C35" s="39">
        <f>IF(ISERROR(B35*3.6/1000000/'E Balans VL '!Z22*100),0,B35*3.6/1000000/'E Balans VL '!Z22*100)</f>
        <v>1.5571411074370961E-3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395.5127</v>
      </c>
      <c r="C37" s="39">
        <f>IF(ISERROR(B37*3.6/1000000/'E Balans VL '!Z15*100),0,B37*3.6/1000000/'E Balans VL '!Z15*100)</f>
        <v>2.9326589558603174E-3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161.20615000000001</v>
      </c>
      <c r="C5" s="17">
        <f>'Eigen informatie GS &amp; warmtenet'!B60</f>
        <v>0</v>
      </c>
      <c r="D5" s="30">
        <f>IF(ISERROR(SUM(LB_lb_gas_kWh,LB_rest_gas_kWh)/1000),0,SUM(LB_lb_gas_kWh,LB_rest_gas_kWh)/1000)*0.902</f>
        <v>326.69809705859211</v>
      </c>
      <c r="E5" s="17">
        <f>B17*'E Balans VL '!I25/3.6*1000000/100</f>
        <v>1.4931588806421281</v>
      </c>
      <c r="F5" s="17">
        <f>B17*('E Balans VL '!L25/3.6*1000000+'E Balans VL '!N25/3.6*1000000)/100</f>
        <v>409.0107122900601</v>
      </c>
      <c r="G5" s="18"/>
      <c r="H5" s="17"/>
      <c r="I5" s="17"/>
      <c r="J5" s="17">
        <f>('E Balans VL '!D25+'E Balans VL '!E25)/3.6*1000000*landbouw!B17/100</f>
        <v>24.714701860884748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161.20615000000001</v>
      </c>
      <c r="C8" s="21">
        <f>C5+C6</f>
        <v>0</v>
      </c>
      <c r="D8" s="21">
        <f>MAX((D5+D6),0)</f>
        <v>326.69809705859211</v>
      </c>
      <c r="E8" s="21">
        <f>MAX((E5+E6),0)</f>
        <v>1.4931588806421281</v>
      </c>
      <c r="F8" s="21">
        <f>MAX((F5+F6),0)</f>
        <v>409.0107122900601</v>
      </c>
      <c r="G8" s="21"/>
      <c r="H8" s="21"/>
      <c r="I8" s="21"/>
      <c r="J8" s="21">
        <f>MAX((J5+J6),0)</f>
        <v>24.714701860884748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0.2095999445048729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33.788800093844216</v>
      </c>
      <c r="C12" s="23">
        <f ca="1">C8*C10</f>
        <v>0</v>
      </c>
      <c r="D12" s="23">
        <f>D8*D10</f>
        <v>65.993015605835609</v>
      </c>
      <c r="E12" s="23">
        <f>E8*E10</f>
        <v>0.33894706590576307</v>
      </c>
      <c r="F12" s="23">
        <f>F8*F10</f>
        <v>109.20586018144606</v>
      </c>
      <c r="G12" s="23"/>
      <c r="H12" s="23"/>
      <c r="I12" s="23"/>
      <c r="J12" s="23">
        <f>J8*J10</f>
        <v>8.7490044587532001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2.2920096368794017E-2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49.090181463762093</v>
      </c>
      <c r="C26" s="247">
        <f>B26*'GWP N2O_CH4'!B5</f>
        <v>1030.893810739004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6.982842159836153</v>
      </c>
      <c r="C27" s="247">
        <f>B27*'GWP N2O_CH4'!B5</f>
        <v>146.6396853565592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0.66498327760624654</v>
      </c>
      <c r="C28" s="247">
        <f>B28*'GWP N2O_CH4'!B4</f>
        <v>206.14481605793642</v>
      </c>
      <c r="D28" s="50"/>
    </row>
    <row r="29" spans="1:4">
      <c r="A29" s="41" t="s">
        <v>277</v>
      </c>
      <c r="B29" s="247">
        <f>B34*'ha_N2O bodem landbouw'!B4</f>
        <v>3.1046801722194184</v>
      </c>
      <c r="C29" s="247">
        <f>B29*'GWP N2O_CH4'!B4</f>
        <v>962.45085338801971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6.9632506651463324E-4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4.3734352452044965E-5</v>
      </c>
      <c r="C5" s="464" t="s">
        <v>211</v>
      </c>
      <c r="D5" s="449">
        <f>SUM(D6:D11)</f>
        <v>1.2060958920965921E-4</v>
      </c>
      <c r="E5" s="449">
        <f>SUM(E6:E11)</f>
        <v>7.6287196115052748E-4</v>
      </c>
      <c r="F5" s="462" t="s">
        <v>211</v>
      </c>
      <c r="G5" s="449">
        <f>SUM(G6:G11)</f>
        <v>0.20352827990627509</v>
      </c>
      <c r="H5" s="449">
        <f>SUM(H6:H11)</f>
        <v>4.5440302559438261E-2</v>
      </c>
      <c r="I5" s="464" t="s">
        <v>211</v>
      </c>
      <c r="J5" s="464" t="s">
        <v>211</v>
      </c>
      <c r="K5" s="464" t="s">
        <v>211</v>
      </c>
      <c r="L5" s="464" t="s">
        <v>211</v>
      </c>
      <c r="M5" s="449">
        <f>SUM(M6:M11)</f>
        <v>1.3172017201220165E-2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3.2797310096909445E-5</v>
      </c>
      <c r="C6" s="450"/>
      <c r="D6" s="893">
        <f>vkm_2011_GW_PW*SUMIFS(TableVerdeelsleutelVkm[CNG],TableVerdeelsleutelVkm[Voertuigtype],"Lichte voertuigen")*SUMIFS(TableECFTransport[EnergieConsumptieFactor (PJ per km)],TableECFTransport[Index],CONCATENATE($A6,"_CNG_CNG"))</f>
        <v>7.5863789088415515E-5</v>
      </c>
      <c r="E6" s="893">
        <f>vkm_2011_GW_PW*SUMIFS(TableVerdeelsleutelVkm[LPG],TableVerdeelsleutelVkm[Voertuigtype],"Lichte voertuigen")*SUMIFS(TableECFTransport[EnergieConsumptieFactor (PJ per km)],TableECFTransport[Index],CONCATENATE($A6,"_LPG_LPG"))</f>
        <v>4.9397918168478112E-4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0.10262052040369642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2.892660398538658E-2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6.8266138244716442E-3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4.0958423773481065E-2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1.4007037090905044E-5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2.3696769781776897E-3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1.0937042355135521E-5</v>
      </c>
      <c r="C8" s="450"/>
      <c r="D8" s="452">
        <f>vkm_2011_NGW_PW*SUMIFS(TableVerdeelsleutelVkm[CNG],TableVerdeelsleutelVkm[Voertuigtype],"Lichte voertuigen")*SUMIFS(TableECFTransport[EnergieConsumptieFactor (PJ per km)],TableECFTransport[Index],CONCATENATE($A8,"_CNG_CNG"))</f>
        <v>4.4745800121243694E-5</v>
      </c>
      <c r="E8" s="452">
        <f>vkm_2011_NGW_PW*SUMIFS(TableVerdeelsleutelVkm[LPG],TableVerdeelsleutelVkm[Voertuigtype],"Lichte voertuigen")*SUMIFS(TableECFTransport[EnergieConsumptieFactor (PJ per km)],TableECFTransport[Index],CONCATENATE($A8,"_LPG_LPG"))</f>
        <v>2.688927794657463E-4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5.2218582751404861E-2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1.6497189955350298E-2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3.5284628964524275E-3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7.7307529776927328E-3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2.5015816104772475E-6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4.4726350211840349E-4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12.148431236679157</v>
      </c>
      <c r="C14" s="21"/>
      <c r="D14" s="21">
        <f t="shared" ref="D14:M14" si="0">((D5)*10^9/3600)+D12</f>
        <v>33.502663669349779</v>
      </c>
      <c r="E14" s="21">
        <f t="shared" si="0"/>
        <v>211.90887809736873</v>
      </c>
      <c r="F14" s="21"/>
      <c r="G14" s="21">
        <f t="shared" si="0"/>
        <v>56535.633307298638</v>
      </c>
      <c r="H14" s="21">
        <f t="shared" si="0"/>
        <v>12622.306266510628</v>
      </c>
      <c r="I14" s="21"/>
      <c r="J14" s="21"/>
      <c r="K14" s="21"/>
      <c r="L14" s="21"/>
      <c r="M14" s="21">
        <f t="shared" si="0"/>
        <v>3658.8936670056009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0.2095999445048729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2.5463105130292156</v>
      </c>
      <c r="C18" s="23"/>
      <c r="D18" s="23">
        <f t="shared" ref="D18:M18" si="1">D14*D16</f>
        <v>6.767538061208656</v>
      </c>
      <c r="E18" s="23">
        <f t="shared" si="1"/>
        <v>48.103315328102703</v>
      </c>
      <c r="F18" s="23"/>
      <c r="G18" s="23">
        <f t="shared" si="1"/>
        <v>15095.014093048738</v>
      </c>
      <c r="H18" s="23">
        <f t="shared" si="1"/>
        <v>3142.9542603611462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8.1961767131391566E-3</v>
      </c>
      <c r="H50" s="321">
        <f t="shared" si="2"/>
        <v>0</v>
      </c>
      <c r="I50" s="321">
        <f t="shared" si="2"/>
        <v>0</v>
      </c>
      <c r="J50" s="321">
        <f t="shared" si="2"/>
        <v>0</v>
      </c>
      <c r="K50" s="321">
        <f t="shared" si="2"/>
        <v>0</v>
      </c>
      <c r="L50" s="321">
        <f t="shared" si="2"/>
        <v>0</v>
      </c>
      <c r="M50" s="321">
        <f t="shared" si="2"/>
        <v>4.6740406480450561E-4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8.1961767131391566E-3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4.6740406480450561E-4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2276.7157536497657</v>
      </c>
      <c r="H54" s="21">
        <f t="shared" si="3"/>
        <v>0</v>
      </c>
      <c r="I54" s="21">
        <f t="shared" si="3"/>
        <v>0</v>
      </c>
      <c r="J54" s="21">
        <f t="shared" si="3"/>
        <v>0</v>
      </c>
      <c r="K54" s="21">
        <f t="shared" si="3"/>
        <v>0</v>
      </c>
      <c r="L54" s="21">
        <f t="shared" si="3"/>
        <v>0</v>
      </c>
      <c r="M54" s="21">
        <f t="shared" si="3"/>
        <v>129.834462445696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0.2095999445048729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607.88310622448751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29663.623909999998</v>
      </c>
      <c r="D10" s="1025">
        <f ca="1">tertiair!C16</f>
        <v>0</v>
      </c>
      <c r="E10" s="1025">
        <f ca="1">tertiair!D16</f>
        <v>41358.890582814907</v>
      </c>
      <c r="F10" s="1025">
        <f>tertiair!E16</f>
        <v>250.43886637657755</v>
      </c>
      <c r="G10" s="1025">
        <f ca="1">tertiair!F16</f>
        <v>4099.3611074466389</v>
      </c>
      <c r="H10" s="1025">
        <f>tertiair!G16</f>
        <v>0</v>
      </c>
      <c r="I10" s="1025">
        <f>tertiair!H16</f>
        <v>0</v>
      </c>
      <c r="J10" s="1025">
        <f>tertiair!I16</f>
        <v>0</v>
      </c>
      <c r="K10" s="1025">
        <f>tertiair!J16</f>
        <v>0</v>
      </c>
      <c r="L10" s="1025">
        <f>tertiair!K16</f>
        <v>0</v>
      </c>
      <c r="M10" s="1025">
        <f ca="1">tertiair!L16</f>
        <v>0</v>
      </c>
      <c r="N10" s="1025">
        <f>tertiair!M16</f>
        <v>0</v>
      </c>
      <c r="O10" s="1025">
        <f ca="1">tertiair!N16</f>
        <v>2772.1498268488722</v>
      </c>
      <c r="P10" s="1025">
        <f>tertiair!O16</f>
        <v>3.1266666666666669</v>
      </c>
      <c r="Q10" s="1026">
        <f>tertiair!P16</f>
        <v>57.2</v>
      </c>
      <c r="R10" s="701">
        <f ca="1">SUM(C10:Q10)</f>
        <v>78204.790960153652</v>
      </c>
      <c r="S10" s="67"/>
    </row>
    <row r="11" spans="1:19" s="474" customFormat="1">
      <c r="A11" s="810" t="s">
        <v>225</v>
      </c>
      <c r="B11" s="815"/>
      <c r="C11" s="1025">
        <f>huishoudens!B8</f>
        <v>55451.309840852489</v>
      </c>
      <c r="D11" s="1025">
        <f>huishoudens!C8</f>
        <v>0</v>
      </c>
      <c r="E11" s="1025">
        <f>huishoudens!D8</f>
        <v>144372.89598094698</v>
      </c>
      <c r="F11" s="1025">
        <f>huishoudens!E8</f>
        <v>836.78084442410511</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11960.866527310396</v>
      </c>
      <c r="P11" s="1025">
        <f>huishoudens!O8</f>
        <v>184.47333333333336</v>
      </c>
      <c r="Q11" s="1026">
        <f>huishoudens!P8</f>
        <v>743.6</v>
      </c>
      <c r="R11" s="701">
        <f>SUM(C11:Q11)</f>
        <v>213549.92652686729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6568.3161400000008</v>
      </c>
      <c r="D13" s="1025">
        <f>industrie!C18</f>
        <v>0</v>
      </c>
      <c r="E13" s="1025">
        <f>industrie!D18</f>
        <v>5570.3276984179447</v>
      </c>
      <c r="F13" s="1025">
        <f>industrie!E18</f>
        <v>1338.6227193248274</v>
      </c>
      <c r="G13" s="1025">
        <f>industrie!F18</f>
        <v>5853.9898175149092</v>
      </c>
      <c r="H13" s="1025">
        <f>industrie!G18</f>
        <v>0</v>
      </c>
      <c r="I13" s="1025">
        <f>industrie!H18</f>
        <v>0</v>
      </c>
      <c r="J13" s="1025">
        <f>industrie!I18</f>
        <v>0</v>
      </c>
      <c r="K13" s="1025">
        <f>industrie!J18</f>
        <v>26.38820344461347</v>
      </c>
      <c r="L13" s="1025">
        <f>industrie!K18</f>
        <v>0</v>
      </c>
      <c r="M13" s="1025">
        <f>industrie!L18</f>
        <v>0</v>
      </c>
      <c r="N13" s="1025">
        <f>industrie!M18</f>
        <v>0</v>
      </c>
      <c r="O13" s="1025">
        <f>industrie!N18</f>
        <v>2180.0840868665287</v>
      </c>
      <c r="P13" s="1025">
        <f>industrie!O18</f>
        <v>0</v>
      </c>
      <c r="Q13" s="1026">
        <f>industrie!P18</f>
        <v>0</v>
      </c>
      <c r="R13" s="701">
        <f>SUM(C13:Q13)</f>
        <v>21537.728665568826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91683.249890852487</v>
      </c>
      <c r="D16" s="733">
        <f t="shared" ref="D16:R16" ca="1" si="0">SUM(D9:D15)</f>
        <v>0</v>
      </c>
      <c r="E16" s="733">
        <f t="shared" ca="1" si="0"/>
        <v>191302.11426217982</v>
      </c>
      <c r="F16" s="733">
        <f t="shared" si="0"/>
        <v>2425.84243012551</v>
      </c>
      <c r="G16" s="733">
        <f t="shared" ca="1" si="0"/>
        <v>9953.350924961549</v>
      </c>
      <c r="H16" s="733">
        <f t="shared" si="0"/>
        <v>0</v>
      </c>
      <c r="I16" s="733">
        <f t="shared" si="0"/>
        <v>0</v>
      </c>
      <c r="J16" s="733">
        <f t="shared" si="0"/>
        <v>0</v>
      </c>
      <c r="K16" s="733">
        <f t="shared" si="0"/>
        <v>26.38820344461347</v>
      </c>
      <c r="L16" s="733">
        <f t="shared" si="0"/>
        <v>0</v>
      </c>
      <c r="M16" s="733">
        <f t="shared" ca="1" si="0"/>
        <v>0</v>
      </c>
      <c r="N16" s="733">
        <f t="shared" si="0"/>
        <v>0</v>
      </c>
      <c r="O16" s="733">
        <f t="shared" ca="1" si="0"/>
        <v>16913.100441025796</v>
      </c>
      <c r="P16" s="733">
        <f t="shared" si="0"/>
        <v>187.60000000000002</v>
      </c>
      <c r="Q16" s="733">
        <f t="shared" si="0"/>
        <v>800.80000000000007</v>
      </c>
      <c r="R16" s="733">
        <f t="shared" ca="1" si="0"/>
        <v>313292.44615258975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2276.7157536497657</v>
      </c>
      <c r="I19" s="1025">
        <f>transport!H54</f>
        <v>0</v>
      </c>
      <c r="J19" s="1025">
        <f>transport!I54</f>
        <v>0</v>
      </c>
      <c r="K19" s="1025">
        <f>transport!J54</f>
        <v>0</v>
      </c>
      <c r="L19" s="1025">
        <f>transport!K54</f>
        <v>0</v>
      </c>
      <c r="M19" s="1025">
        <f>transport!L54</f>
        <v>0</v>
      </c>
      <c r="N19" s="1025">
        <f>transport!M54</f>
        <v>129.834462445696</v>
      </c>
      <c r="O19" s="1025">
        <f>transport!N54</f>
        <v>0</v>
      </c>
      <c r="P19" s="1025">
        <f>transport!O54</f>
        <v>0</v>
      </c>
      <c r="Q19" s="1026">
        <f>transport!P54</f>
        <v>0</v>
      </c>
      <c r="R19" s="701">
        <f>SUM(C19:Q19)</f>
        <v>2406.5502160954616</v>
      </c>
      <c r="S19" s="67"/>
    </row>
    <row r="20" spans="1:19" s="474" customFormat="1">
      <c r="A20" s="810" t="s">
        <v>307</v>
      </c>
      <c r="B20" s="815"/>
      <c r="C20" s="1025">
        <f>transport!B14</f>
        <v>12.148431236679157</v>
      </c>
      <c r="D20" s="1025">
        <f>transport!C14</f>
        <v>0</v>
      </c>
      <c r="E20" s="1025">
        <f>transport!D14</f>
        <v>33.502663669349779</v>
      </c>
      <c r="F20" s="1025">
        <f>transport!E14</f>
        <v>211.90887809736873</v>
      </c>
      <c r="G20" s="1025">
        <f>transport!F14</f>
        <v>0</v>
      </c>
      <c r="H20" s="1025">
        <f>transport!G14</f>
        <v>56535.633307298638</v>
      </c>
      <c r="I20" s="1025">
        <f>transport!H14</f>
        <v>12622.306266510628</v>
      </c>
      <c r="J20" s="1025">
        <f>transport!I14</f>
        <v>0</v>
      </c>
      <c r="K20" s="1025">
        <f>transport!J14</f>
        <v>0</v>
      </c>
      <c r="L20" s="1025">
        <f>transport!K14</f>
        <v>0</v>
      </c>
      <c r="M20" s="1025">
        <f>transport!L14</f>
        <v>0</v>
      </c>
      <c r="N20" s="1025">
        <f>transport!M14</f>
        <v>3658.8936670056009</v>
      </c>
      <c r="O20" s="1025">
        <f>transport!N14</f>
        <v>0</v>
      </c>
      <c r="P20" s="1025">
        <f>transport!O14</f>
        <v>0</v>
      </c>
      <c r="Q20" s="1026">
        <f>transport!P14</f>
        <v>0</v>
      </c>
      <c r="R20" s="701">
        <f>SUM(C20:Q20)</f>
        <v>73074.393213818272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12.148431236679157</v>
      </c>
      <c r="D22" s="813">
        <f t="shared" ref="D22:R22" si="1">SUM(D18:D21)</f>
        <v>0</v>
      </c>
      <c r="E22" s="813">
        <f t="shared" si="1"/>
        <v>33.502663669349779</v>
      </c>
      <c r="F22" s="813">
        <f t="shared" si="1"/>
        <v>211.90887809736873</v>
      </c>
      <c r="G22" s="813">
        <f t="shared" si="1"/>
        <v>0</v>
      </c>
      <c r="H22" s="813">
        <f t="shared" si="1"/>
        <v>58812.349060948407</v>
      </c>
      <c r="I22" s="813">
        <f t="shared" si="1"/>
        <v>12622.306266510628</v>
      </c>
      <c r="J22" s="813">
        <f t="shared" si="1"/>
        <v>0</v>
      </c>
      <c r="K22" s="813">
        <f t="shared" si="1"/>
        <v>0</v>
      </c>
      <c r="L22" s="813">
        <f t="shared" si="1"/>
        <v>0</v>
      </c>
      <c r="M22" s="813">
        <f t="shared" si="1"/>
        <v>0</v>
      </c>
      <c r="N22" s="813">
        <f t="shared" si="1"/>
        <v>3788.7281294512968</v>
      </c>
      <c r="O22" s="813">
        <f t="shared" si="1"/>
        <v>0</v>
      </c>
      <c r="P22" s="813">
        <f t="shared" si="1"/>
        <v>0</v>
      </c>
      <c r="Q22" s="813">
        <f t="shared" si="1"/>
        <v>0</v>
      </c>
      <c r="R22" s="813">
        <f t="shared" si="1"/>
        <v>75480.943429913736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161.20615000000001</v>
      </c>
      <c r="D24" s="1025">
        <f>+landbouw!C8</f>
        <v>0</v>
      </c>
      <c r="E24" s="1025">
        <f>+landbouw!D8</f>
        <v>326.69809705859211</v>
      </c>
      <c r="F24" s="1025">
        <f>+landbouw!E8</f>
        <v>1.4931588806421281</v>
      </c>
      <c r="G24" s="1025">
        <f>+landbouw!F8</f>
        <v>409.0107122900601</v>
      </c>
      <c r="H24" s="1025">
        <f>+landbouw!G8</f>
        <v>0</v>
      </c>
      <c r="I24" s="1025">
        <f>+landbouw!H8</f>
        <v>0</v>
      </c>
      <c r="J24" s="1025">
        <f>+landbouw!I8</f>
        <v>0</v>
      </c>
      <c r="K24" s="1025">
        <f>+landbouw!J8</f>
        <v>24.714701860884748</v>
      </c>
      <c r="L24" s="1025">
        <f>+landbouw!K8</f>
        <v>0</v>
      </c>
      <c r="M24" s="1025">
        <f>+landbouw!L8</f>
        <v>0</v>
      </c>
      <c r="N24" s="1025">
        <f>+landbouw!M8</f>
        <v>0</v>
      </c>
      <c r="O24" s="1025">
        <f>+landbouw!N8</f>
        <v>0</v>
      </c>
      <c r="P24" s="1025">
        <f>+landbouw!O8</f>
        <v>0</v>
      </c>
      <c r="Q24" s="1026">
        <f>+landbouw!P8</f>
        <v>0</v>
      </c>
      <c r="R24" s="701">
        <f>SUM(C24:Q24)</f>
        <v>923.12282009017906</v>
      </c>
      <c r="S24" s="67"/>
    </row>
    <row r="25" spans="1:19" s="474" customFormat="1" ht="15" thickBot="1">
      <c r="A25" s="832" t="s">
        <v>864</v>
      </c>
      <c r="B25" s="1028"/>
      <c r="C25" s="1029">
        <f>IF(Onbekend_ele_kWh="---",0,Onbekend_ele_kWh)/1000+IF(REST_rest_ele_kWh="---",0,REST_rest_ele_kWh)/1000</f>
        <v>2645.0731000000001</v>
      </c>
      <c r="D25" s="1029"/>
      <c r="E25" s="1029">
        <f>IF(onbekend_gas_kWh="---",0,onbekend_gas_kWh)/1000+IF(REST_rest_gas_kWh="---",0,REST_rest_gas_kWh)/1000</f>
        <v>7258.9823822994995</v>
      </c>
      <c r="F25" s="1029"/>
      <c r="G25" s="1029"/>
      <c r="H25" s="1029"/>
      <c r="I25" s="1029"/>
      <c r="J25" s="1029"/>
      <c r="K25" s="1029"/>
      <c r="L25" s="1029"/>
      <c r="M25" s="1029"/>
      <c r="N25" s="1029"/>
      <c r="O25" s="1029"/>
      <c r="P25" s="1029"/>
      <c r="Q25" s="1030"/>
      <c r="R25" s="701">
        <f>SUM(C25:Q25)</f>
        <v>9904.0554822995</v>
      </c>
      <c r="S25" s="67"/>
    </row>
    <row r="26" spans="1:19" s="474" customFormat="1" ht="15.75" thickBot="1">
      <c r="A26" s="706" t="s">
        <v>865</v>
      </c>
      <c r="B26" s="818"/>
      <c r="C26" s="813">
        <f>SUM(C24:C25)</f>
        <v>2806.27925</v>
      </c>
      <c r="D26" s="813">
        <f t="shared" ref="D26:R26" si="2">SUM(D24:D25)</f>
        <v>0</v>
      </c>
      <c r="E26" s="813">
        <f t="shared" si="2"/>
        <v>7585.6804793580914</v>
      </c>
      <c r="F26" s="813">
        <f t="shared" si="2"/>
        <v>1.4931588806421281</v>
      </c>
      <c r="G26" s="813">
        <f t="shared" si="2"/>
        <v>409.0107122900601</v>
      </c>
      <c r="H26" s="813">
        <f t="shared" si="2"/>
        <v>0</v>
      </c>
      <c r="I26" s="813">
        <f t="shared" si="2"/>
        <v>0</v>
      </c>
      <c r="J26" s="813">
        <f t="shared" si="2"/>
        <v>0</v>
      </c>
      <c r="K26" s="813">
        <f t="shared" si="2"/>
        <v>24.714701860884748</v>
      </c>
      <c r="L26" s="813">
        <f t="shared" si="2"/>
        <v>0</v>
      </c>
      <c r="M26" s="813">
        <f t="shared" si="2"/>
        <v>0</v>
      </c>
      <c r="N26" s="813">
        <f t="shared" si="2"/>
        <v>0</v>
      </c>
      <c r="O26" s="813">
        <f t="shared" si="2"/>
        <v>0</v>
      </c>
      <c r="P26" s="813">
        <f t="shared" si="2"/>
        <v>0</v>
      </c>
      <c r="Q26" s="813">
        <f t="shared" si="2"/>
        <v>0</v>
      </c>
      <c r="R26" s="813">
        <f t="shared" si="2"/>
        <v>10827.178302389679</v>
      </c>
      <c r="S26" s="67"/>
    </row>
    <row r="27" spans="1:19" s="474" customFormat="1" ht="17.25" thickTop="1" thickBot="1">
      <c r="A27" s="707" t="s">
        <v>116</v>
      </c>
      <c r="B27" s="806"/>
      <c r="C27" s="708">
        <f ca="1">C22+C16+C26</f>
        <v>94501.677572089175</v>
      </c>
      <c r="D27" s="708">
        <f t="shared" ref="D27:R27" ca="1" si="3">D22+D16+D26</f>
        <v>0</v>
      </c>
      <c r="E27" s="708">
        <f t="shared" ca="1" si="3"/>
        <v>198921.29740520727</v>
      </c>
      <c r="F27" s="708">
        <f t="shared" si="3"/>
        <v>2639.2444671035209</v>
      </c>
      <c r="G27" s="708">
        <f t="shared" ca="1" si="3"/>
        <v>10362.36163725161</v>
      </c>
      <c r="H27" s="708">
        <f t="shared" si="3"/>
        <v>58812.349060948407</v>
      </c>
      <c r="I27" s="708">
        <f t="shared" si="3"/>
        <v>12622.306266510628</v>
      </c>
      <c r="J27" s="708">
        <f t="shared" si="3"/>
        <v>0</v>
      </c>
      <c r="K27" s="708">
        <f t="shared" si="3"/>
        <v>51.102905305498219</v>
      </c>
      <c r="L27" s="708">
        <f t="shared" si="3"/>
        <v>0</v>
      </c>
      <c r="M27" s="708">
        <f t="shared" ca="1" si="3"/>
        <v>0</v>
      </c>
      <c r="N27" s="708">
        <f t="shared" si="3"/>
        <v>3788.7281294512968</v>
      </c>
      <c r="O27" s="708">
        <f t="shared" ca="1" si="3"/>
        <v>16913.100441025796</v>
      </c>
      <c r="P27" s="708">
        <f t="shared" si="3"/>
        <v>187.60000000000002</v>
      </c>
      <c r="Q27" s="708">
        <f t="shared" si="3"/>
        <v>800.80000000000007</v>
      </c>
      <c r="R27" s="708">
        <f t="shared" ca="1" si="3"/>
        <v>399600.56788489316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6217.4939253494204</v>
      </c>
      <c r="D40" s="1025">
        <f ca="1">tertiair!C20</f>
        <v>0</v>
      </c>
      <c r="E40" s="1025">
        <f ca="1">tertiair!D20</f>
        <v>8354.4958977286115</v>
      </c>
      <c r="F40" s="1025">
        <f>tertiair!E20</f>
        <v>56.849622667483104</v>
      </c>
      <c r="G40" s="1025">
        <f ca="1">tertiair!F20</f>
        <v>1094.5294156882526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15723.368861433766</v>
      </c>
    </row>
    <row r="41" spans="1:18">
      <c r="A41" s="823" t="s">
        <v>225</v>
      </c>
      <c r="B41" s="830"/>
      <c r="C41" s="1025">
        <f ca="1">huishoudens!B12</f>
        <v>11622.591465365194</v>
      </c>
      <c r="D41" s="1025">
        <f ca="1">huishoudens!C12</f>
        <v>0</v>
      </c>
      <c r="E41" s="1025">
        <f>huishoudens!D12</f>
        <v>29163.324988151293</v>
      </c>
      <c r="F41" s="1025">
        <f>huishoudens!E12</f>
        <v>189.94925168427187</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40975.865705200762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1376.7186984344612</v>
      </c>
      <c r="D43" s="1025">
        <f ca="1">industrie!C22</f>
        <v>0</v>
      </c>
      <c r="E43" s="1025">
        <f>industrie!D22</f>
        <v>1125.206195080425</v>
      </c>
      <c r="F43" s="1025">
        <f>industrie!E22</f>
        <v>303.8673572867358</v>
      </c>
      <c r="G43" s="1025">
        <f>industrie!F22</f>
        <v>1563.0152812764809</v>
      </c>
      <c r="H43" s="1025">
        <f>industrie!G22</f>
        <v>0</v>
      </c>
      <c r="I43" s="1025">
        <f>industrie!H22</f>
        <v>0</v>
      </c>
      <c r="J43" s="1025">
        <f>industrie!I22</f>
        <v>0</v>
      </c>
      <c r="K43" s="1025">
        <f>industrie!J22</f>
        <v>9.3414240193931679</v>
      </c>
      <c r="L43" s="1025">
        <f>industrie!K22</f>
        <v>0</v>
      </c>
      <c r="M43" s="1025">
        <f>industrie!L22</f>
        <v>0</v>
      </c>
      <c r="N43" s="1025">
        <f>industrie!M22</f>
        <v>0</v>
      </c>
      <c r="O43" s="1025">
        <f>industrie!N22</f>
        <v>0</v>
      </c>
      <c r="P43" s="1025">
        <f>industrie!O22</f>
        <v>0</v>
      </c>
      <c r="Q43" s="775">
        <f>industrie!P22</f>
        <v>0</v>
      </c>
      <c r="R43" s="850">
        <f t="shared" ca="1" si="4"/>
        <v>4378.148956097496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19216.804089149078</v>
      </c>
      <c r="D46" s="733">
        <f t="shared" ref="D46:Q46" ca="1" si="5">SUM(D39:D45)</f>
        <v>0</v>
      </c>
      <c r="E46" s="733">
        <f t="shared" ca="1" si="5"/>
        <v>38643.027080960332</v>
      </c>
      <c r="F46" s="733">
        <f t="shared" si="5"/>
        <v>550.66623163849079</v>
      </c>
      <c r="G46" s="733">
        <f t="shared" ca="1" si="5"/>
        <v>2657.5446969647337</v>
      </c>
      <c r="H46" s="733">
        <f t="shared" si="5"/>
        <v>0</v>
      </c>
      <c r="I46" s="733">
        <f t="shared" si="5"/>
        <v>0</v>
      </c>
      <c r="J46" s="733">
        <f t="shared" si="5"/>
        <v>0</v>
      </c>
      <c r="K46" s="733">
        <f t="shared" si="5"/>
        <v>9.3414240193931679</v>
      </c>
      <c r="L46" s="733">
        <f t="shared" si="5"/>
        <v>0</v>
      </c>
      <c r="M46" s="733">
        <f t="shared" ca="1" si="5"/>
        <v>0</v>
      </c>
      <c r="N46" s="733">
        <f t="shared" si="5"/>
        <v>0</v>
      </c>
      <c r="O46" s="733">
        <f t="shared" ca="1" si="5"/>
        <v>0</v>
      </c>
      <c r="P46" s="733">
        <f t="shared" si="5"/>
        <v>0</v>
      </c>
      <c r="Q46" s="733">
        <f t="shared" si="5"/>
        <v>0</v>
      </c>
      <c r="R46" s="733">
        <f ca="1">SUM(R39:R45)</f>
        <v>61077.383522732023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607.88310622448751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607.88310622448751</v>
      </c>
    </row>
    <row r="50" spans="1:18">
      <c r="A50" s="826" t="s">
        <v>307</v>
      </c>
      <c r="B50" s="836"/>
      <c r="C50" s="704">
        <f ca="1">transport!B18</f>
        <v>2.5463105130292156</v>
      </c>
      <c r="D50" s="704">
        <f>transport!C18</f>
        <v>0</v>
      </c>
      <c r="E50" s="704">
        <f>transport!D18</f>
        <v>6.767538061208656</v>
      </c>
      <c r="F50" s="704">
        <f>transport!E18</f>
        <v>48.103315328102703</v>
      </c>
      <c r="G50" s="704">
        <f>transport!F18</f>
        <v>0</v>
      </c>
      <c r="H50" s="704">
        <f>transport!G18</f>
        <v>15095.014093048738</v>
      </c>
      <c r="I50" s="704">
        <f>transport!H18</f>
        <v>3142.9542603611462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18295.385517312225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2.5463105130292156</v>
      </c>
      <c r="D52" s="733">
        <f t="shared" ref="D52:Q52" ca="1" si="6">SUM(D48:D51)</f>
        <v>0</v>
      </c>
      <c r="E52" s="733">
        <f t="shared" si="6"/>
        <v>6.767538061208656</v>
      </c>
      <c r="F52" s="733">
        <f t="shared" si="6"/>
        <v>48.103315328102703</v>
      </c>
      <c r="G52" s="733">
        <f t="shared" si="6"/>
        <v>0</v>
      </c>
      <c r="H52" s="733">
        <f t="shared" si="6"/>
        <v>15702.897199273226</v>
      </c>
      <c r="I52" s="733">
        <f t="shared" si="6"/>
        <v>3142.9542603611462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18903.268623536711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33.788800093844216</v>
      </c>
      <c r="D54" s="704">
        <f ca="1">+landbouw!C12</f>
        <v>0</v>
      </c>
      <c r="E54" s="704">
        <f>+landbouw!D12</f>
        <v>65.993015605835609</v>
      </c>
      <c r="F54" s="704">
        <f>+landbouw!E12</f>
        <v>0.33894706590576307</v>
      </c>
      <c r="G54" s="704">
        <f>+landbouw!F12</f>
        <v>109.20586018144606</v>
      </c>
      <c r="H54" s="704">
        <f>+landbouw!G12</f>
        <v>0</v>
      </c>
      <c r="I54" s="704">
        <f>+landbouw!H12</f>
        <v>0</v>
      </c>
      <c r="J54" s="704">
        <f>+landbouw!I12</f>
        <v>0</v>
      </c>
      <c r="K54" s="704">
        <f>+landbouw!J12</f>
        <v>8.7490044587532001</v>
      </c>
      <c r="L54" s="704">
        <f>+landbouw!K12</f>
        <v>0</v>
      </c>
      <c r="M54" s="704">
        <f>+landbouw!L12</f>
        <v>0</v>
      </c>
      <c r="N54" s="704">
        <f>+landbouw!M12</f>
        <v>0</v>
      </c>
      <c r="O54" s="704">
        <f>+landbouw!N12</f>
        <v>0</v>
      </c>
      <c r="P54" s="704">
        <f>+landbouw!O12</f>
        <v>0</v>
      </c>
      <c r="Q54" s="705">
        <f>+landbouw!P12</f>
        <v>0</v>
      </c>
      <c r="R54" s="732">
        <f ca="1">SUM(C54:Q54)</f>
        <v>218.07562740578484</v>
      </c>
    </row>
    <row r="55" spans="1:18" ht="15" thickBot="1">
      <c r="A55" s="826" t="s">
        <v>864</v>
      </c>
      <c r="B55" s="836"/>
      <c r="C55" s="704">
        <f ca="1">C25*'EF ele_warmte'!B12</f>
        <v>554.4071749713321</v>
      </c>
      <c r="D55" s="704"/>
      <c r="E55" s="704">
        <f>E25*EF_CO2_aardgas</f>
        <v>1466.314441224499</v>
      </c>
      <c r="F55" s="704"/>
      <c r="G55" s="704"/>
      <c r="H55" s="704"/>
      <c r="I55" s="704"/>
      <c r="J55" s="704"/>
      <c r="K55" s="704"/>
      <c r="L55" s="704"/>
      <c r="M55" s="704"/>
      <c r="N55" s="704"/>
      <c r="O55" s="704"/>
      <c r="P55" s="704"/>
      <c r="Q55" s="705"/>
      <c r="R55" s="732">
        <f ca="1">SUM(C55:Q55)</f>
        <v>2020.7216161958311</v>
      </c>
    </row>
    <row r="56" spans="1:18" ht="15.75" thickBot="1">
      <c r="A56" s="824" t="s">
        <v>865</v>
      </c>
      <c r="B56" s="837"/>
      <c r="C56" s="733">
        <f ca="1">SUM(C54:C55)</f>
        <v>588.1959750651763</v>
      </c>
      <c r="D56" s="733">
        <f t="shared" ref="D56:Q56" ca="1" si="7">SUM(D54:D55)</f>
        <v>0</v>
      </c>
      <c r="E56" s="733">
        <f t="shared" si="7"/>
        <v>1532.3074568303346</v>
      </c>
      <c r="F56" s="733">
        <f t="shared" si="7"/>
        <v>0.33894706590576307</v>
      </c>
      <c r="G56" s="733">
        <f t="shared" si="7"/>
        <v>109.20586018144606</v>
      </c>
      <c r="H56" s="733">
        <f t="shared" si="7"/>
        <v>0</v>
      </c>
      <c r="I56" s="733">
        <f t="shared" si="7"/>
        <v>0</v>
      </c>
      <c r="J56" s="733">
        <f t="shared" si="7"/>
        <v>0</v>
      </c>
      <c r="K56" s="733">
        <f t="shared" si="7"/>
        <v>8.7490044587532001</v>
      </c>
      <c r="L56" s="733">
        <f t="shared" si="7"/>
        <v>0</v>
      </c>
      <c r="M56" s="733">
        <f t="shared" si="7"/>
        <v>0</v>
      </c>
      <c r="N56" s="733">
        <f t="shared" si="7"/>
        <v>0</v>
      </c>
      <c r="O56" s="733">
        <f t="shared" si="7"/>
        <v>0</v>
      </c>
      <c r="P56" s="733">
        <f t="shared" si="7"/>
        <v>0</v>
      </c>
      <c r="Q56" s="734">
        <f t="shared" si="7"/>
        <v>0</v>
      </c>
      <c r="R56" s="735">
        <f ca="1">SUM(R54:R55)</f>
        <v>2238.7972436016157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19807.546374727284</v>
      </c>
      <c r="D61" s="741">
        <f t="shared" ref="D61:Q61" ca="1" si="8">D46+D52+D56</f>
        <v>0</v>
      </c>
      <c r="E61" s="741">
        <f t="shared" ca="1" si="8"/>
        <v>40182.102075851872</v>
      </c>
      <c r="F61" s="741">
        <f t="shared" si="8"/>
        <v>599.10849403249927</v>
      </c>
      <c r="G61" s="741">
        <f t="shared" ca="1" si="8"/>
        <v>2766.7505571461797</v>
      </c>
      <c r="H61" s="741">
        <f t="shared" si="8"/>
        <v>15702.897199273226</v>
      </c>
      <c r="I61" s="741">
        <f t="shared" si="8"/>
        <v>3142.9542603611462</v>
      </c>
      <c r="J61" s="741">
        <f t="shared" si="8"/>
        <v>0</v>
      </c>
      <c r="K61" s="741">
        <f t="shared" si="8"/>
        <v>18.090428478146368</v>
      </c>
      <c r="L61" s="741">
        <f t="shared" si="8"/>
        <v>0</v>
      </c>
      <c r="M61" s="741">
        <f t="shared" ca="1" si="8"/>
        <v>0</v>
      </c>
      <c r="N61" s="741">
        <f t="shared" si="8"/>
        <v>0</v>
      </c>
      <c r="O61" s="741">
        <f t="shared" ca="1" si="8"/>
        <v>0</v>
      </c>
      <c r="P61" s="741">
        <f t="shared" si="8"/>
        <v>0</v>
      </c>
      <c r="Q61" s="741">
        <f t="shared" si="8"/>
        <v>0</v>
      </c>
      <c r="R61" s="741">
        <f ca="1">R46+R52+R56</f>
        <v>82219.449389870351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0.2095999445048729</v>
      </c>
      <c r="D63" s="782">
        <f t="shared" ca="1" si="9"/>
        <v>0</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4874.7708991150403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4874.7708991150403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4874.7708991150403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4874.7708991150403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55451.309840852489</v>
      </c>
      <c r="C4" s="478">
        <f>huishoudens!C8</f>
        <v>0</v>
      </c>
      <c r="D4" s="478">
        <f>huishoudens!D8</f>
        <v>144372.89598094698</v>
      </c>
      <c r="E4" s="478">
        <f>huishoudens!E8</f>
        <v>836.78084442410511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11960.866527310396</v>
      </c>
      <c r="O4" s="478">
        <f>huishoudens!O8</f>
        <v>184.47333333333336</v>
      </c>
      <c r="P4" s="479">
        <f>huishoudens!P8</f>
        <v>743.6</v>
      </c>
      <c r="Q4" s="480">
        <f>SUM(B4:P4)</f>
        <v>213549.92652686729</v>
      </c>
    </row>
    <row r="5" spans="1:17">
      <c r="A5" s="477" t="s">
        <v>156</v>
      </c>
      <c r="B5" s="478">
        <f ca="1">tertiair!B16</f>
        <v>27919.466909999999</v>
      </c>
      <c r="C5" s="478">
        <f ca="1">tertiair!C16</f>
        <v>0</v>
      </c>
      <c r="D5" s="478">
        <f ca="1">tertiair!D16</f>
        <v>41358.890582814907</v>
      </c>
      <c r="E5" s="478">
        <f>tertiair!E16</f>
        <v>250.43886637657755</v>
      </c>
      <c r="F5" s="478">
        <f ca="1">tertiair!F16</f>
        <v>4099.3611074466389</v>
      </c>
      <c r="G5" s="478">
        <f>tertiair!G16</f>
        <v>0</v>
      </c>
      <c r="H5" s="478">
        <f>tertiair!H16</f>
        <v>0</v>
      </c>
      <c r="I5" s="478">
        <f>tertiair!I16</f>
        <v>0</v>
      </c>
      <c r="J5" s="478">
        <f>tertiair!J16</f>
        <v>0</v>
      </c>
      <c r="K5" s="478">
        <f>tertiair!K16</f>
        <v>0</v>
      </c>
      <c r="L5" s="478">
        <f ca="1">tertiair!L16</f>
        <v>0</v>
      </c>
      <c r="M5" s="478">
        <f>tertiair!M16</f>
        <v>0</v>
      </c>
      <c r="N5" s="478">
        <f ca="1">tertiair!N16</f>
        <v>2772.1498268488722</v>
      </c>
      <c r="O5" s="478">
        <f>tertiair!O16</f>
        <v>3.1266666666666669</v>
      </c>
      <c r="P5" s="479">
        <f>tertiair!P16</f>
        <v>57.2</v>
      </c>
      <c r="Q5" s="477">
        <f t="shared" ref="Q5:Q14" ca="1" si="0">SUM(B5:P5)</f>
        <v>76460.633960153646</v>
      </c>
    </row>
    <row r="6" spans="1:17">
      <c r="A6" s="477" t="s">
        <v>194</v>
      </c>
      <c r="B6" s="478">
        <f>'openbare verlichting'!B8</f>
        <v>1744.1569999999999</v>
      </c>
      <c r="C6" s="478"/>
      <c r="D6" s="478"/>
      <c r="E6" s="478"/>
      <c r="F6" s="478"/>
      <c r="G6" s="478"/>
      <c r="H6" s="478"/>
      <c r="I6" s="478"/>
      <c r="J6" s="478"/>
      <c r="K6" s="478"/>
      <c r="L6" s="478"/>
      <c r="M6" s="478"/>
      <c r="N6" s="478"/>
      <c r="O6" s="478"/>
      <c r="P6" s="479"/>
      <c r="Q6" s="477">
        <f t="shared" si="0"/>
        <v>1744.1569999999999</v>
      </c>
    </row>
    <row r="7" spans="1:17">
      <c r="A7" s="477" t="s">
        <v>112</v>
      </c>
      <c r="B7" s="478">
        <f>landbouw!B8</f>
        <v>161.20615000000001</v>
      </c>
      <c r="C7" s="478">
        <f>landbouw!C8</f>
        <v>0</v>
      </c>
      <c r="D7" s="478">
        <f>landbouw!D8</f>
        <v>326.69809705859211</v>
      </c>
      <c r="E7" s="478">
        <f>landbouw!E8</f>
        <v>1.4931588806421281</v>
      </c>
      <c r="F7" s="478">
        <f>landbouw!F8</f>
        <v>409.0107122900601</v>
      </c>
      <c r="G7" s="478">
        <f>landbouw!G8</f>
        <v>0</v>
      </c>
      <c r="H7" s="478">
        <f>landbouw!H8</f>
        <v>0</v>
      </c>
      <c r="I7" s="478">
        <f>landbouw!I8</f>
        <v>0</v>
      </c>
      <c r="J7" s="478">
        <f>landbouw!J8</f>
        <v>24.714701860884748</v>
      </c>
      <c r="K7" s="478">
        <f>landbouw!K8</f>
        <v>0</v>
      </c>
      <c r="L7" s="478">
        <f>landbouw!L8</f>
        <v>0</v>
      </c>
      <c r="M7" s="478">
        <f>landbouw!M8</f>
        <v>0</v>
      </c>
      <c r="N7" s="478">
        <f>landbouw!N8</f>
        <v>0</v>
      </c>
      <c r="O7" s="478">
        <f>landbouw!O8</f>
        <v>0</v>
      </c>
      <c r="P7" s="479">
        <f>landbouw!P8</f>
        <v>0</v>
      </c>
      <c r="Q7" s="477">
        <f t="shared" si="0"/>
        <v>923.12282009017906</v>
      </c>
    </row>
    <row r="8" spans="1:17">
      <c r="A8" s="477" t="s">
        <v>650</v>
      </c>
      <c r="B8" s="478">
        <f>industrie!B18</f>
        <v>6568.3161400000008</v>
      </c>
      <c r="C8" s="478">
        <f>industrie!C18</f>
        <v>0</v>
      </c>
      <c r="D8" s="478">
        <f>industrie!D18</f>
        <v>5570.3276984179447</v>
      </c>
      <c r="E8" s="478">
        <f>industrie!E18</f>
        <v>1338.6227193248274</v>
      </c>
      <c r="F8" s="478">
        <f>industrie!F18</f>
        <v>5853.9898175149092</v>
      </c>
      <c r="G8" s="478">
        <f>industrie!G18</f>
        <v>0</v>
      </c>
      <c r="H8" s="478">
        <f>industrie!H18</f>
        <v>0</v>
      </c>
      <c r="I8" s="478">
        <f>industrie!I18</f>
        <v>0</v>
      </c>
      <c r="J8" s="478">
        <f>industrie!J18</f>
        <v>26.38820344461347</v>
      </c>
      <c r="K8" s="478">
        <f>industrie!K18</f>
        <v>0</v>
      </c>
      <c r="L8" s="478">
        <f>industrie!L18</f>
        <v>0</v>
      </c>
      <c r="M8" s="478">
        <f>industrie!M18</f>
        <v>0</v>
      </c>
      <c r="N8" s="478">
        <f>industrie!N18</f>
        <v>2180.0840868665287</v>
      </c>
      <c r="O8" s="478">
        <f>industrie!O18</f>
        <v>0</v>
      </c>
      <c r="P8" s="479">
        <f>industrie!P18</f>
        <v>0</v>
      </c>
      <c r="Q8" s="477">
        <f t="shared" si="0"/>
        <v>21537.728665568826</v>
      </c>
    </row>
    <row r="9" spans="1:17" s="483" customFormat="1">
      <c r="A9" s="481" t="s">
        <v>571</v>
      </c>
      <c r="B9" s="482">
        <f>transport!B14</f>
        <v>12.148431236679157</v>
      </c>
      <c r="C9" s="482">
        <f>transport!C14</f>
        <v>0</v>
      </c>
      <c r="D9" s="482">
        <f>transport!D14</f>
        <v>33.502663669349779</v>
      </c>
      <c r="E9" s="482">
        <f>transport!E14</f>
        <v>211.90887809736873</v>
      </c>
      <c r="F9" s="482">
        <f>transport!F14</f>
        <v>0</v>
      </c>
      <c r="G9" s="482">
        <f>transport!G14</f>
        <v>56535.633307298638</v>
      </c>
      <c r="H9" s="482">
        <f>transport!H14</f>
        <v>12622.306266510628</v>
      </c>
      <c r="I9" s="482">
        <f>transport!I14</f>
        <v>0</v>
      </c>
      <c r="J9" s="482">
        <f>transport!J14</f>
        <v>0</v>
      </c>
      <c r="K9" s="482">
        <f>transport!K14</f>
        <v>0</v>
      </c>
      <c r="L9" s="482">
        <f>transport!L14</f>
        <v>0</v>
      </c>
      <c r="M9" s="482">
        <f>transport!M14</f>
        <v>3658.8936670056009</v>
      </c>
      <c r="N9" s="482">
        <f>transport!N14</f>
        <v>0</v>
      </c>
      <c r="O9" s="482">
        <f>transport!O14</f>
        <v>0</v>
      </c>
      <c r="P9" s="482">
        <f>transport!P14</f>
        <v>0</v>
      </c>
      <c r="Q9" s="481">
        <f>SUM(B9:P9)</f>
        <v>73074.393213818272</v>
      </c>
    </row>
    <row r="10" spans="1:17">
      <c r="A10" s="477" t="s">
        <v>561</v>
      </c>
      <c r="B10" s="478">
        <f>transport!B54</f>
        <v>0</v>
      </c>
      <c r="C10" s="478">
        <f>transport!C54</f>
        <v>0</v>
      </c>
      <c r="D10" s="478">
        <f>transport!D54</f>
        <v>0</v>
      </c>
      <c r="E10" s="478">
        <f>transport!E54</f>
        <v>0</v>
      </c>
      <c r="F10" s="478">
        <f>transport!F54</f>
        <v>0</v>
      </c>
      <c r="G10" s="478">
        <f>transport!G54</f>
        <v>2276.7157536497657</v>
      </c>
      <c r="H10" s="478">
        <f>transport!H54</f>
        <v>0</v>
      </c>
      <c r="I10" s="478">
        <f>transport!I54</f>
        <v>0</v>
      </c>
      <c r="J10" s="478">
        <f>transport!J54</f>
        <v>0</v>
      </c>
      <c r="K10" s="478">
        <f>transport!K54</f>
        <v>0</v>
      </c>
      <c r="L10" s="478">
        <f>transport!L54</f>
        <v>0</v>
      </c>
      <c r="M10" s="478">
        <f>transport!M54</f>
        <v>129.834462445696</v>
      </c>
      <c r="N10" s="478">
        <f>transport!N54</f>
        <v>0</v>
      </c>
      <c r="O10" s="478">
        <f>transport!O54</f>
        <v>0</v>
      </c>
      <c r="P10" s="479">
        <f>transport!P54</f>
        <v>0</v>
      </c>
      <c r="Q10" s="477">
        <f t="shared" si="0"/>
        <v>2406.5502160954616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2645.0731000000001</v>
      </c>
      <c r="C14" s="485"/>
      <c r="D14" s="485">
        <f>'SEAP template'!E25</f>
        <v>7258.9823822994995</v>
      </c>
      <c r="E14" s="485"/>
      <c r="F14" s="485"/>
      <c r="G14" s="485"/>
      <c r="H14" s="485"/>
      <c r="I14" s="485"/>
      <c r="J14" s="485"/>
      <c r="K14" s="485"/>
      <c r="L14" s="485"/>
      <c r="M14" s="485"/>
      <c r="N14" s="485"/>
      <c r="O14" s="485"/>
      <c r="P14" s="486"/>
      <c r="Q14" s="477">
        <f t="shared" si="0"/>
        <v>9904.0554822995</v>
      </c>
    </row>
    <row r="15" spans="1:17" s="487" customFormat="1">
      <c r="A15" s="1051" t="s">
        <v>565</v>
      </c>
      <c r="B15" s="991">
        <f ca="1">SUM(B4:B14)</f>
        <v>94501.67757208916</v>
      </c>
      <c r="C15" s="991">
        <f t="shared" ref="C15:Q15" ca="1" si="1">SUM(C4:C14)</f>
        <v>0</v>
      </c>
      <c r="D15" s="991">
        <f t="shared" ca="1" si="1"/>
        <v>198921.29740520727</v>
      </c>
      <c r="E15" s="991">
        <f t="shared" si="1"/>
        <v>2639.2444671035209</v>
      </c>
      <c r="F15" s="991">
        <f t="shared" ca="1" si="1"/>
        <v>10362.361637251608</v>
      </c>
      <c r="G15" s="991">
        <f t="shared" si="1"/>
        <v>58812.349060948407</v>
      </c>
      <c r="H15" s="991">
        <f t="shared" si="1"/>
        <v>12622.306266510628</v>
      </c>
      <c r="I15" s="991">
        <f t="shared" si="1"/>
        <v>0</v>
      </c>
      <c r="J15" s="991">
        <f t="shared" si="1"/>
        <v>51.102905305498219</v>
      </c>
      <c r="K15" s="991">
        <f t="shared" si="1"/>
        <v>0</v>
      </c>
      <c r="L15" s="991">
        <f t="shared" ca="1" si="1"/>
        <v>0</v>
      </c>
      <c r="M15" s="991">
        <f t="shared" si="1"/>
        <v>3788.7281294512968</v>
      </c>
      <c r="N15" s="991">
        <f t="shared" ca="1" si="1"/>
        <v>16913.100441025796</v>
      </c>
      <c r="O15" s="991">
        <f t="shared" si="1"/>
        <v>187.60000000000002</v>
      </c>
      <c r="P15" s="991">
        <f t="shared" si="1"/>
        <v>800.80000000000007</v>
      </c>
      <c r="Q15" s="991">
        <f t="shared" ca="1" si="1"/>
        <v>399600.5678848931</v>
      </c>
    </row>
    <row r="17" spans="1:17">
      <c r="A17" s="488" t="s">
        <v>566</v>
      </c>
      <c r="B17" s="787">
        <f ca="1">huishoudens!B10</f>
        <v>0.2095999445048729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11622.591465365194</v>
      </c>
      <c r="C22" s="478">
        <f t="shared" ref="C22:C32" ca="1" si="3">C4*$C$17</f>
        <v>0</v>
      </c>
      <c r="D22" s="478">
        <f t="shared" ref="D22:D32" si="4">D4*$D$17</f>
        <v>29163.324988151293</v>
      </c>
      <c r="E22" s="478">
        <f t="shared" ref="E22:E32" si="5">E4*$E$17</f>
        <v>189.94925168427187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40975.865705200762</v>
      </c>
    </row>
    <row r="23" spans="1:17">
      <c r="A23" s="477" t="s">
        <v>156</v>
      </c>
      <c r="B23" s="478">
        <f t="shared" ca="1" si="2"/>
        <v>5851.9187149416348</v>
      </c>
      <c r="C23" s="478">
        <f t="shared" ca="1" si="3"/>
        <v>0</v>
      </c>
      <c r="D23" s="478">
        <f t="shared" ca="1" si="4"/>
        <v>8354.4958977286115</v>
      </c>
      <c r="E23" s="478">
        <f t="shared" si="5"/>
        <v>56.849622667483104</v>
      </c>
      <c r="F23" s="478">
        <f t="shared" ca="1" si="6"/>
        <v>1094.5294156882526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15357.793651025982</v>
      </c>
    </row>
    <row r="24" spans="1:17">
      <c r="A24" s="477" t="s">
        <v>194</v>
      </c>
      <c r="B24" s="478">
        <f t="shared" ca="1" si="2"/>
        <v>365.57521040778562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365.57521040778562</v>
      </c>
    </row>
    <row r="25" spans="1:17">
      <c r="A25" s="477" t="s">
        <v>112</v>
      </c>
      <c r="B25" s="478">
        <f t="shared" ca="1" si="2"/>
        <v>33.788800093844216</v>
      </c>
      <c r="C25" s="478">
        <f t="shared" ca="1" si="3"/>
        <v>0</v>
      </c>
      <c r="D25" s="478">
        <f t="shared" si="4"/>
        <v>65.993015605835609</v>
      </c>
      <c r="E25" s="478">
        <f t="shared" si="5"/>
        <v>0.33894706590576307</v>
      </c>
      <c r="F25" s="478">
        <f t="shared" si="6"/>
        <v>109.20586018144606</v>
      </c>
      <c r="G25" s="478">
        <f t="shared" si="7"/>
        <v>0</v>
      </c>
      <c r="H25" s="478">
        <f t="shared" si="8"/>
        <v>0</v>
      </c>
      <c r="I25" s="478">
        <f t="shared" si="9"/>
        <v>0</v>
      </c>
      <c r="J25" s="478">
        <f t="shared" si="10"/>
        <v>8.7490044587532001</v>
      </c>
      <c r="K25" s="478">
        <f t="shared" si="11"/>
        <v>0</v>
      </c>
      <c r="L25" s="478">
        <f t="shared" si="12"/>
        <v>0</v>
      </c>
      <c r="M25" s="478">
        <f t="shared" si="13"/>
        <v>0</v>
      </c>
      <c r="N25" s="478">
        <f t="shared" si="14"/>
        <v>0</v>
      </c>
      <c r="O25" s="478">
        <f t="shared" si="15"/>
        <v>0</v>
      </c>
      <c r="P25" s="479">
        <f t="shared" si="16"/>
        <v>0</v>
      </c>
      <c r="Q25" s="477">
        <f t="shared" ca="1" si="17"/>
        <v>218.07562740578484</v>
      </c>
    </row>
    <row r="26" spans="1:17">
      <c r="A26" s="477" t="s">
        <v>650</v>
      </c>
      <c r="B26" s="478">
        <f t="shared" ca="1" si="2"/>
        <v>1376.7186984344612</v>
      </c>
      <c r="C26" s="478">
        <f t="shared" ca="1" si="3"/>
        <v>0</v>
      </c>
      <c r="D26" s="478">
        <f t="shared" si="4"/>
        <v>1125.206195080425</v>
      </c>
      <c r="E26" s="478">
        <f t="shared" si="5"/>
        <v>303.8673572867358</v>
      </c>
      <c r="F26" s="478">
        <f t="shared" si="6"/>
        <v>1563.0152812764809</v>
      </c>
      <c r="G26" s="478">
        <f t="shared" si="7"/>
        <v>0</v>
      </c>
      <c r="H26" s="478">
        <f t="shared" si="8"/>
        <v>0</v>
      </c>
      <c r="I26" s="478">
        <f t="shared" si="9"/>
        <v>0</v>
      </c>
      <c r="J26" s="478">
        <f t="shared" si="10"/>
        <v>9.3414240193931679</v>
      </c>
      <c r="K26" s="478">
        <f t="shared" si="11"/>
        <v>0</v>
      </c>
      <c r="L26" s="478">
        <f t="shared" si="12"/>
        <v>0</v>
      </c>
      <c r="M26" s="478">
        <f t="shared" si="13"/>
        <v>0</v>
      </c>
      <c r="N26" s="478">
        <f t="shared" si="14"/>
        <v>0</v>
      </c>
      <c r="O26" s="478">
        <f t="shared" si="15"/>
        <v>0</v>
      </c>
      <c r="P26" s="479">
        <f t="shared" si="16"/>
        <v>0</v>
      </c>
      <c r="Q26" s="477">
        <f t="shared" ca="1" si="17"/>
        <v>4378.148956097496</v>
      </c>
    </row>
    <row r="27" spans="1:17" s="483" customFormat="1">
      <c r="A27" s="481" t="s">
        <v>571</v>
      </c>
      <c r="B27" s="781">
        <f t="shared" ca="1" si="2"/>
        <v>2.5463105130292156</v>
      </c>
      <c r="C27" s="482">
        <f t="shared" ca="1" si="3"/>
        <v>0</v>
      </c>
      <c r="D27" s="482">
        <f t="shared" si="4"/>
        <v>6.767538061208656</v>
      </c>
      <c r="E27" s="482">
        <f t="shared" si="5"/>
        <v>48.103315328102703</v>
      </c>
      <c r="F27" s="482">
        <f t="shared" si="6"/>
        <v>0</v>
      </c>
      <c r="G27" s="482">
        <f t="shared" si="7"/>
        <v>15095.014093048738</v>
      </c>
      <c r="H27" s="482">
        <f t="shared" si="8"/>
        <v>3142.9542603611462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18295.385517312225</v>
      </c>
    </row>
    <row r="28" spans="1:17">
      <c r="A28" s="477" t="s">
        <v>561</v>
      </c>
      <c r="B28" s="478">
        <f t="shared" ca="1" si="2"/>
        <v>0</v>
      </c>
      <c r="C28" s="478">
        <f t="shared" ca="1" si="3"/>
        <v>0</v>
      </c>
      <c r="D28" s="478">
        <f t="shared" si="4"/>
        <v>0</v>
      </c>
      <c r="E28" s="478">
        <f t="shared" si="5"/>
        <v>0</v>
      </c>
      <c r="F28" s="478">
        <f t="shared" si="6"/>
        <v>0</v>
      </c>
      <c r="G28" s="478">
        <f t="shared" si="7"/>
        <v>607.88310622448751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607.88310622448751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554.4071749713321</v>
      </c>
      <c r="C32" s="478">
        <f t="shared" ca="1" si="3"/>
        <v>0</v>
      </c>
      <c r="D32" s="478">
        <f t="shared" si="4"/>
        <v>1466.314441224499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2020.7216161958311</v>
      </c>
    </row>
    <row r="33" spans="1:17" s="487" customFormat="1">
      <c r="A33" s="1051" t="s">
        <v>565</v>
      </c>
      <c r="B33" s="991">
        <f ca="1">SUM(B22:B32)</f>
        <v>19807.546374727284</v>
      </c>
      <c r="C33" s="991">
        <f t="shared" ref="C33:Q33" ca="1" si="18">SUM(C22:C32)</f>
        <v>0</v>
      </c>
      <c r="D33" s="991">
        <f t="shared" ca="1" si="18"/>
        <v>40182.102075851872</v>
      </c>
      <c r="E33" s="991">
        <f t="shared" si="18"/>
        <v>599.10849403249915</v>
      </c>
      <c r="F33" s="991">
        <f t="shared" ca="1" si="18"/>
        <v>2766.7505571461797</v>
      </c>
      <c r="G33" s="991">
        <f t="shared" si="18"/>
        <v>15702.897199273226</v>
      </c>
      <c r="H33" s="991">
        <f t="shared" si="18"/>
        <v>3142.9542603611462</v>
      </c>
      <c r="I33" s="991">
        <f t="shared" si="18"/>
        <v>0</v>
      </c>
      <c r="J33" s="991">
        <f t="shared" si="18"/>
        <v>18.090428478146368</v>
      </c>
      <c r="K33" s="991">
        <f t="shared" si="18"/>
        <v>0</v>
      </c>
      <c r="L33" s="991">
        <f t="shared" ca="1" si="18"/>
        <v>0</v>
      </c>
      <c r="M33" s="991">
        <f t="shared" si="18"/>
        <v>0</v>
      </c>
      <c r="N33" s="991">
        <f t="shared" ca="1" si="18"/>
        <v>0</v>
      </c>
      <c r="O33" s="991">
        <f t="shared" si="18"/>
        <v>0</v>
      </c>
      <c r="P33" s="991">
        <f t="shared" si="18"/>
        <v>0</v>
      </c>
      <c r="Q33" s="991">
        <f t="shared" ca="1" si="18"/>
        <v>82219.449389870351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4874.7708991150403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4874.7708991150403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0.2095999445048729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0.2095999445048729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2019-08-12T08:06:23Z</dcterms:modified>
</cp:coreProperties>
</file>