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E89" i="14" s="1"/>
  <c r="E19" i="59" s="1"/>
  <c r="C19" i="18"/>
  <c r="B19"/>
  <c r="N18"/>
  <c r="M18"/>
  <c r="K88" i="14" s="1"/>
  <c r="K18" i="59" s="1"/>
  <c r="L18" i="18"/>
  <c r="L20" s="1"/>
  <c r="K18"/>
  <c r="K20" s="1"/>
  <c r="J18"/>
  <c r="J88" i="14" s="1"/>
  <c r="J18" i="59" s="1"/>
  <c r="I18" i="18"/>
  <c r="H18"/>
  <c r="G18"/>
  <c r="H88" i="14" s="1"/>
  <c r="F18" i="18"/>
  <c r="E18"/>
  <c r="F88" i="14" s="1"/>
  <c r="F18" i="59" s="1"/>
  <c r="D18" i="18"/>
  <c r="E88" i="14" s="1"/>
  <c r="E18" i="59" s="1"/>
  <c r="C18" i="18"/>
  <c r="D88" i="14" s="1"/>
  <c r="D18" i="59" s="1"/>
  <c r="B18" i="18"/>
  <c r="L9"/>
  <c r="O77" i="14" s="1"/>
  <c r="O9" i="59" s="1"/>
  <c r="K9" i="18"/>
  <c r="K10" s="1"/>
  <c r="G9"/>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N6" i="17" s="1"/>
  <c r="U61" i="18"/>
  <c r="T61"/>
  <c r="L6" i="17" s="1"/>
  <c r="S61" i="18"/>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E77" i="14"/>
  <c r="E9" i="59" s="1"/>
  <c r="B8" i="18"/>
  <c r="B6"/>
  <c r="B74" i="14" s="1"/>
  <c r="B6" i="59" s="1"/>
  <c r="B5" i="18"/>
  <c r="B73" i="14" s="1"/>
  <c r="B5" i="59" s="1"/>
  <c r="B4" i="18"/>
  <c r="B72" i="14" s="1"/>
  <c r="B4" i="59" s="1"/>
  <c r="D6" i="17"/>
  <c r="C6"/>
  <c r="D5"/>
  <c r="B19" i="6"/>
  <c r="B18"/>
  <c r="B5"/>
  <c r="C29" i="14" s="1"/>
  <c r="B6" i="6"/>
  <c r="C64" i="14" s="1"/>
  <c r="B14" i="48"/>
  <c r="P7"/>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P27"/>
  <c r="O89" i="14"/>
  <c r="O19" i="59" s="1"/>
  <c r="N89" i="14"/>
  <c r="N19" i="59" s="1"/>
  <c r="L89" i="14"/>
  <c r="L19" i="59" s="1"/>
  <c r="K89" i="14"/>
  <c r="K19" i="59" s="1"/>
  <c r="D89" i="14"/>
  <c r="D19" i="59" s="1"/>
  <c r="M88" i="14"/>
  <c r="M18" i="59" s="1"/>
  <c r="L88" i="14"/>
  <c r="I88"/>
  <c r="I18" i="59" s="1"/>
  <c r="G88" i="14"/>
  <c r="G18" i="59" s="1"/>
  <c r="O87" i="14"/>
  <c r="O17" i="59" s="1"/>
  <c r="N87" i="14"/>
  <c r="N17" i="59" s="1"/>
  <c r="L87" i="14"/>
  <c r="L17" i="59" s="1"/>
  <c r="K87" i="14"/>
  <c r="K17" i="59" s="1"/>
  <c r="H87" i="14"/>
  <c r="H17" i="59" s="1"/>
  <c r="G87" i="14"/>
  <c r="G17" i="59" s="1"/>
  <c r="E87" i="14"/>
  <c r="E17" i="59" s="1"/>
  <c r="N77" i="14"/>
  <c r="L77"/>
  <c r="L9" i="59" s="1"/>
  <c r="L10" s="1"/>
  <c r="K77" i="14"/>
  <c r="K9" i="59" s="1"/>
  <c r="O76" i="14"/>
  <c r="O8" i="59" s="1"/>
  <c r="N76" i="14"/>
  <c r="N8" i="59" s="1"/>
  <c r="L76" i="14"/>
  <c r="L8" i="59" s="1"/>
  <c r="K76" i="14"/>
  <c r="K8" i="59" s="1"/>
  <c r="H76" i="14"/>
  <c r="H8" i="59" s="1"/>
  <c r="G76" i="14"/>
  <c r="G8" i="59" s="1"/>
  <c r="E76" i="14"/>
  <c r="E8" i="59" s="1"/>
  <c r="B75" i="14"/>
  <c r="B7" i="59" s="1"/>
  <c r="Q54" i="14"/>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Q56"/>
  <c r="P52"/>
  <c r="R44"/>
  <c r="E25"/>
  <c r="E55" s="1"/>
  <c r="C25"/>
  <c r="J26"/>
  <c r="I26"/>
  <c r="H26"/>
  <c r="O22"/>
  <c r="N78" l="1"/>
  <c r="N9" i="59"/>
  <c r="G10"/>
  <c r="M77" i="14"/>
  <c r="M9" i="59" s="1"/>
  <c r="H9" i="18"/>
  <c r="L90" i="14"/>
  <c r="L18" i="59"/>
  <c r="L20" s="1"/>
  <c r="H90" i="14"/>
  <c r="H18" i="59"/>
  <c r="D22" i="14"/>
  <c r="L22"/>
  <c r="E10" i="59"/>
  <c r="G77" i="14"/>
  <c r="G9" i="59" s="1"/>
  <c r="P28" i="48"/>
  <c r="O10" i="59"/>
  <c r="H20"/>
  <c r="M22" i="14"/>
  <c r="N10" i="59"/>
  <c r="K20"/>
  <c r="C98" i="18"/>
  <c r="B101" s="1"/>
  <c r="C8" s="1"/>
  <c r="D13" i="15"/>
  <c r="C16" i="16"/>
  <c r="P22" i="14"/>
  <c r="E20" i="59"/>
  <c r="L10" i="18"/>
  <c r="D20"/>
  <c r="C13" i="15"/>
  <c r="B16" i="16"/>
  <c r="L78" i="14"/>
  <c r="K10" i="59"/>
  <c r="D14" i="48"/>
  <c r="I9" i="18"/>
  <c r="I77" i="14" s="1"/>
  <c r="I9" i="59" s="1"/>
  <c r="F20" i="18"/>
  <c r="B13" i="15"/>
  <c r="B10" i="18"/>
  <c r="N13" i="15"/>
  <c r="L13"/>
  <c r="F77" i="14"/>
  <c r="F9" i="59" s="1"/>
  <c r="I101" i="18"/>
  <c r="H8" s="1"/>
  <c r="E101"/>
  <c r="E8" s="1"/>
  <c r="F101"/>
  <c r="H10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D101" i="18"/>
  <c r="B89" i="14"/>
  <c r="B19" i="59" s="1"/>
  <c r="J17" i="18"/>
  <c r="J20" s="1"/>
  <c r="G101"/>
  <c r="I8" s="1"/>
  <c r="I10" s="1"/>
  <c r="C101"/>
  <c r="J8" s="1"/>
  <c r="O8" s="1"/>
  <c r="O10" s="1"/>
  <c r="Q14" i="48"/>
  <c r="C77" i="14"/>
  <c r="C9" i="59" s="1"/>
  <c r="H20" i="18"/>
  <c r="M87" i="14"/>
  <c r="F76"/>
  <c r="E10" i="18"/>
  <c r="C20"/>
  <c r="D87" i="14"/>
  <c r="D17" i="59" s="1"/>
  <c r="D20" s="1"/>
  <c r="H10" i="18"/>
  <c r="M76" i="14"/>
  <c r="B88"/>
  <c r="B18" i="59" s="1"/>
  <c r="I17" i="18"/>
  <c r="O17" s="1"/>
  <c r="O20" s="1"/>
  <c r="D76" i="14"/>
  <c r="D8" i="59" s="1"/>
  <c r="D10" s="1"/>
  <c r="C10" i="18"/>
  <c r="C88" i="14"/>
  <c r="C18" i="59" s="1"/>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H10" i="14"/>
  <c r="H16" s="1"/>
  <c r="G5" i="48"/>
  <c r="J87" i="14"/>
  <c r="Q76"/>
  <c r="D78"/>
  <c r="I78"/>
  <c r="B76"/>
  <c r="J10" i="18"/>
  <c r="J76" i="14"/>
  <c r="I87"/>
  <c r="I17" i="59" s="1"/>
  <c r="I20" s="1"/>
  <c r="I20" i="18"/>
  <c r="Q87" i="14"/>
  <c r="D90"/>
  <c r="A31" i="23"/>
  <c r="A32"/>
  <c r="A33"/>
  <c r="J90" i="14" l="1"/>
  <c r="J17" i="59"/>
  <c r="J20" s="1"/>
  <c r="Q90" i="14"/>
  <c r="B17" i="6" s="1"/>
  <c r="P17" i="59"/>
  <c r="P20" s="1"/>
  <c r="Q78" i="14"/>
  <c r="B9" i="6" s="1"/>
  <c r="P8" i="59"/>
  <c r="P10" s="1"/>
  <c r="B78" i="14"/>
  <c r="B8" i="59"/>
  <c r="B10" s="1"/>
  <c r="J78" i="14"/>
  <c r="J8" i="59"/>
  <c r="J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G26"/>
  <c r="G32"/>
  <c r="G22"/>
  <c r="G30"/>
  <c r="G25"/>
  <c r="G24"/>
  <c r="G29"/>
  <c r="G23"/>
  <c r="C11" i="14"/>
  <c r="B4" i="48"/>
  <c r="F30"/>
  <c r="F24"/>
  <c r="F32"/>
  <c r="F29"/>
  <c r="F31"/>
  <c r="F28"/>
  <c r="F27"/>
  <c r="N32"/>
  <c r="N30"/>
  <c r="N27"/>
  <c r="N31"/>
  <c r="N24"/>
  <c r="N29"/>
  <c r="N28"/>
  <c r="C19" i="14"/>
  <c r="B10" i="48"/>
  <c r="E32"/>
  <c r="E31"/>
  <c r="E28"/>
  <c r="E30"/>
  <c r="E24"/>
  <c r="E29"/>
  <c r="M32"/>
  <c r="M26"/>
  <c r="M25"/>
  <c r="M22"/>
  <c r="M24"/>
  <c r="M29"/>
  <c r="M30"/>
  <c r="M23"/>
  <c r="L10" i="14"/>
  <c r="L16" s="1"/>
  <c r="L27" s="1"/>
  <c r="K5" i="48"/>
  <c r="D30"/>
  <c r="D31"/>
  <c r="D29"/>
  <c r="D28"/>
  <c r="D24"/>
  <c r="D32"/>
  <c r="L32"/>
  <c r="L28"/>
  <c r="L27"/>
  <c r="L24"/>
  <c r="L29"/>
  <c r="L22"/>
  <c r="L30"/>
  <c r="L31"/>
  <c r="P5"/>
  <c r="P23" s="1"/>
  <c r="Q10" i="14"/>
  <c r="K28" i="48"/>
  <c r="K32"/>
  <c r="K27"/>
  <c r="K30"/>
  <c r="K31"/>
  <c r="K26"/>
  <c r="K24"/>
  <c r="K29"/>
  <c r="K25"/>
  <c r="K22"/>
  <c r="B7"/>
  <c r="C24" i="14"/>
  <c r="C26" s="1"/>
  <c r="J30" i="48"/>
  <c r="J31"/>
  <c r="J24"/>
  <c r="J32"/>
  <c r="J28"/>
  <c r="J29"/>
  <c r="J27"/>
  <c r="P4"/>
  <c r="Q11" i="14"/>
  <c r="P11"/>
  <c r="O4" i="48"/>
  <c r="I22"/>
  <c r="I26"/>
  <c r="I25"/>
  <c r="I32"/>
  <c r="I30"/>
  <c r="I27"/>
  <c r="I29"/>
  <c r="I31"/>
  <c r="I24"/>
  <c r="I28"/>
  <c r="E11" i="14"/>
  <c r="D4" i="48"/>
  <c r="D22" s="1"/>
  <c r="H26"/>
  <c r="H25"/>
  <c r="H29"/>
  <c r="H32"/>
  <c r="H24"/>
  <c r="H28"/>
  <c r="H22"/>
  <c r="H30"/>
  <c r="H23"/>
  <c r="J15" i="16"/>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K23" i="48"/>
  <c r="K15"/>
  <c r="D9"/>
  <c r="D27" s="1"/>
  <c r="E20" i="14"/>
  <c r="E22" s="1"/>
  <c r="P10"/>
  <c r="O5" i="48"/>
  <c r="O23" s="1"/>
  <c r="J7"/>
  <c r="J25" s="1"/>
  <c r="K24" i="14"/>
  <c r="K26" s="1"/>
  <c r="C20"/>
  <c r="B9" i="48"/>
  <c r="G11" i="14"/>
  <c r="F4" i="48"/>
  <c r="F22" s="1"/>
  <c r="M12" i="22"/>
  <c r="M13" i="48"/>
  <c r="M31" s="1"/>
  <c r="N18" i="14"/>
  <c r="P22" i="48"/>
  <c r="G13"/>
  <c r="H18" i="14"/>
  <c r="R18" s="1"/>
  <c r="H13" i="48"/>
  <c r="H31" s="1"/>
  <c r="I18" i="14"/>
  <c r="P22" i="16"/>
  <c r="Q43" i="14" s="1"/>
  <c r="P8" i="48"/>
  <c r="P26" s="1"/>
  <c r="Q13" i="14"/>
  <c r="Q16" s="1"/>
  <c r="Q27" s="1"/>
  <c r="Q63" s="1"/>
  <c r="J10"/>
  <c r="J16" s="1"/>
  <c r="J27" s="1"/>
  <c r="I5" i="48"/>
  <c r="O22"/>
  <c r="C22" i="14"/>
  <c r="J12" i="17"/>
  <c r="K54" i="14" s="1"/>
  <c r="K56" s="1"/>
  <c r="L61"/>
  <c r="L63" s="1"/>
  <c r="K33" i="48"/>
  <c r="J46" i="14"/>
  <c r="J61" s="1"/>
  <c r="J63"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O11" i="14"/>
  <c r="N4" i="48"/>
  <c r="N22" s="1"/>
  <c r="K11" i="14"/>
  <c r="J4" i="48"/>
  <c r="E7"/>
  <c r="E25" s="1"/>
  <c r="F24" i="14"/>
  <c r="F26" s="1"/>
  <c r="N19"/>
  <c r="M10" i="48"/>
  <c r="M28" s="1"/>
  <c r="O22" i="16"/>
  <c r="P43" i="14" s="1"/>
  <c r="P13"/>
  <c r="P16" s="1"/>
  <c r="P27" s="1"/>
  <c r="P63" s="1"/>
  <c r="O8" i="48"/>
  <c r="H19" i="14"/>
  <c r="R19" s="1"/>
  <c r="G10" i="48"/>
  <c r="I23"/>
  <c r="I33" s="1"/>
  <c r="I15"/>
  <c r="Q13"/>
  <c r="G31"/>
  <c r="M14" i="22"/>
  <c r="G14"/>
  <c r="P15" i="48"/>
  <c r="P33"/>
  <c r="P46" i="14"/>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K10" l="1"/>
  <c r="J5" i="48"/>
  <c r="J23" s="1"/>
  <c r="O26"/>
  <c r="O33" s="1"/>
  <c r="O15"/>
  <c r="E5"/>
  <c r="E23" s="1"/>
  <c r="F10" i="14"/>
  <c r="J22" i="48"/>
  <c r="I20" i="14"/>
  <c r="I22" s="1"/>
  <c r="I27" s="1"/>
  <c r="H9" i="48"/>
  <c r="G28"/>
  <c r="Q10"/>
  <c r="M9"/>
  <c r="N20" i="14"/>
  <c r="N22" s="1"/>
  <c r="N27" s="1"/>
  <c r="N63" s="1"/>
  <c r="E22" i="48"/>
  <c r="Q4"/>
  <c r="H20" i="14"/>
  <c r="G9" i="48"/>
  <c r="R11"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J8" i="48"/>
  <c r="G27"/>
  <c r="G33" s="1"/>
  <c r="G15"/>
  <c r="Q9"/>
  <c r="E8"/>
  <c r="E26" s="1"/>
  <c r="E33" s="1"/>
  <c r="F13" i="14"/>
  <c r="M27" i="48"/>
  <c r="M33" s="1"/>
  <c r="M15"/>
  <c r="H22" i="14"/>
  <c r="H27" s="1"/>
  <c r="H63" s="1"/>
  <c r="R20"/>
  <c r="R22" s="1"/>
  <c r="H27" i="48"/>
  <c r="H33" s="1"/>
  <c r="H15"/>
  <c r="K46" i="14"/>
  <c r="K61" s="1"/>
  <c r="F16"/>
  <c r="F27" s="1"/>
  <c r="E22" i="16"/>
  <c r="F43" i="14" s="1"/>
  <c r="F46"/>
  <c r="F61" s="1"/>
  <c r="F63" s="1"/>
  <c r="I63"/>
  <c r="K16"/>
  <c r="K27" s="1"/>
  <c r="O13"/>
  <c r="N8" i="48"/>
  <c r="N26" s="1"/>
  <c r="F8"/>
  <c r="G13" i="14"/>
  <c r="J26" i="48" l="1"/>
  <c r="J33" s="1"/>
  <c r="J15"/>
  <c r="K63" i="14"/>
  <c r="E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<sst xmlns="http://schemas.openxmlformats.org/spreadsheetml/2006/main" count="2419" uniqueCount="907">
  <si>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</si>
  <si>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</si>
  <si>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</si>
  <si>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</si>
  <si>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</si>
  <si>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</si>
  <si>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</si>
  <si>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</si>
  <si>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</si>
  <si>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</si>
  <si>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</si>
  <si>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</si>
  <si>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</si>
  <si>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</si>
  <si>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</si>
  <si>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</si>
  <si>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</si>
  <si>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</si>
  <si>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</si>
  <si>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</si>
  <si>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</si>
  <si>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</si>
  <si>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</si>
  <si>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</si>
  <si>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</si>
  <si>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</si>
  <si>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</si>
  <si>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</si>
  <si>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</si>
  <si>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</si>
  <si>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</si>
  <si>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</si>
  <si>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</si>
  <si>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</si>
  <si>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</si>
  <si>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</si>
  <si>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</si>
  <si>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</si>
  <si>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</si>
  <si>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</si>
  <si>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</si>
  <si>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</si>
  <si>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</si>
  <si>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</si>
  <si>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</si>
  <si>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</si>
  <si>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</si>
  <si>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</si>
  <si>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</si>
  <si>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</si>
  <si>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</si>
  <si>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</si>
  <si>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</si>
  <si>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</si>
  <si>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</si>
  <si>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</si>
  <si>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</si>
  <si>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</si>
  <si>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</si>
  <si>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</si>
  <si>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</si>
  <si>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</si>
  <si>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</si>
  <si>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</si>
  <si>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</si>
  <si>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</si>
  <si>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</si>
  <si>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</si>
  <si>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</si>
  <si>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</si>
  <si>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</si>
  <si>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</si>
  <si>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</si>
  <si>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</si>
  <si>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</si>
  <si>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</si>
  <si>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</si>
  <si>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</si>
  <si>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</si>
  <si>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</si>
  <si>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</si>
  <si>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</si>
  <si>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</si>
  <si>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</si>
  <si>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</si>
  <si>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</si>
  <si>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</si>
  <si>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</si>
  <si>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</si>
  <si>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</si>
  <si>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</si>
  <si>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</si>
  <si>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</si>
  <si>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</si>
  <si>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</si>
  <si>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</si>
  <si>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</si>
  <si>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</si>
  <si>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</si>
  <si>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</si>
  <si>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</si>
  <si>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</si>
  <si>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</si>
  <si>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</si>
  <si>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</si>
  <si>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</si>
  <si>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</si>
  <si>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</si>
  <si>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</si>
  <si>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</si>
  <si>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</si>
  <si>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</si>
  <si>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</si>
  <si>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</si>
  <si>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</si>
  <si>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</si>
  <si>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</si>
  <si>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</si>
  <si>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</si>
  <si>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</si>
  <si>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</si>
  <si>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</si>
  <si>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</si>
  <si>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</si>
  <si>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</si>
  <si>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</si>
  <si>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</si>
  <si>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</si>
  <si>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</si>
  <si>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</si>
  <si>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</si>
  <si>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</si>
  <si>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</si>
  <si>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</si>
  <si>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</si>
  <si>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</si>
  <si>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</si>
  <si>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</si>
  <si>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</si>
  <si>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</si>
  <si>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</si>
  <si>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</si>
  <si>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</si>
  <si>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</si>
  <si>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</si>
  <si>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</si>
  <si>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</si>
  <si>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</si>
  <si>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</si>
  <si>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</si>
  <si>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</si>
  <si>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</si>
  <si>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</si>
  <si>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</si>
  <si>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</si>
  <si>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</si>
  <si>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</si>
  <si>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</si>
  <si>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</si>
  <si>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</si>
  <si>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</si>
  <si>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</si>
  <si>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</si>
  <si>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</si>
  <si>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</si>
  <si>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</si>
  <si>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</si>
  <si>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</si>
  <si>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</si>
  <si>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</si>
  <si>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</si>
  <si>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</si>
  <si>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</si>
  <si>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</si>
  <si>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</si>
  <si>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</si>
  <si>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</si>
  <si>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</si>
  <si>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</si>
  <si>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</si>
  <si>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</si>
  <si>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</si>
  <si>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</si>
  <si>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</si>
  <si>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</si>
  <si>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</si>
  <si>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</si>
  <si>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</si>
  <si>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</si>
  <si>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</si>
  <si>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</si>
  <si>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</si>
  <si>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</si>
  <si>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</si>
  <si>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</si>
  <si>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</si>
  <si>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</si>
  <si>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</si>
  <si>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</si>
  <si>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</si>
  <si>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</si>
  <si>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</si>
  <si>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</si>
  <si>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</si>
  <si>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</si>
  <si>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</si>
  <si>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</si>
  <si>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</si>
  <si>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</si>
  <si>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</si>
  <si>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</si>
  <si>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</si>
  <si>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</si>
  <si>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</si>
  <si>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</si>
  <si>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</si>
  <si>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</si>
  <si>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</si>
  <si>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</si>
  <si>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</si>
  <si>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</si>
  <si>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</si>
  <si>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</si>
  <si>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</si>
  <si>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</si>
  <si>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</si>
  <si>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</si>
  <si>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</si>
  <si>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</si>
  <si>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</si>
  <si>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</si>
  <si>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</si>
  <si>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</si>
  <si>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</si>
  <si>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</si>
  <si>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</si>
  <si>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</si>
  <si>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</si>
  <si>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</si>
  <si>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</si>
  <si>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</si>
  <si>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</si>
  <si>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</si>
  <si>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</si>
  <si>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</si>
  <si>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</si>
  <si>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</si>
  <si>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</si>
  <si>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</si>
  <si>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</si>
  <si>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</si>
  <si>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</si>
  <si>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</si>
  <si>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</si>
  <si>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</si>
  <si>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</si>
  <si>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</si>
  <si>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</si>
  <si>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</si>
  <si>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</si>
  <si>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</si>
  <si>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</si>
  <si>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</si>
  <si>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</si>
  <si>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</si>
  <si>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</si>
  <si>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</si>
  <si>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</si>
  <si>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</si>
  <si>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</si>
  <si>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</si>
  <si>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</si>
  <si>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</si>
  <si>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</si>
  <si>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</si>
  <si>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</si>
  <si>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</si>
  <si>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</si>
  <si>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</si>
  <si>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</si>
  <si>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</si>
  <si>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</si>
  <si>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</si>
  <si>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</si>
  <si>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</si>
  <si>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</si>
  <si>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</si>
  <si>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</si>
  <si>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</si>
  <si>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</si>
  <si>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</si>
  <si>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</si>
  <si>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</si>
  <si>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</si>
  <si>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</si>
  <si>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</si>
  <si>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</si>
  <si>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</si>
  <si>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</si>
  <si>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</si>
  <si>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</si>
  <si>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</si>
  <si>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</si>
  <si>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</si>
  <si>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</si>
  <si>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</si>
  <si>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</si>
  <si>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</si>
  <si>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</si>
  <si>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</si>
  <si>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</si>
  <si>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</si>
  <si>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</si>
  <si>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</si>
  <si>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</si>
  <si>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</si>
  <si>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</si>
  <si>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</si>
  <si>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</si>
  <si>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</si>
  <si>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</si>
  <si>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</si>
  <si>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</si>
  <si>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</si>
  <si>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</si>
  <si>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</si>
  <si>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</si>
  <si>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</si>
  <si>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</si>
  <si>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</si>
  <si>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</si>
  <si>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</si>
  <si>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</si>
  <si>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</si>
  <si>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</si>
  <si>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</si>
  <si>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</si>
  <si>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</si>
  <si>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</si>
  <si>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</si>
  <si>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</si>
  <si>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</si>
  <si>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</si>
  <si>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</si>
  <si>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</si>
  <si>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</si>
  <si>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</si>
  <si>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</si>
  <si>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</si>
  <si>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</si>
  <si>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</si>
  <si>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</si>
  <si>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</si>
  <si>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</si>
  <si>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</si>
  <si>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</si>
  <si>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</si>
  <si>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</si>
  <si>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</si>
  <si>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</si>
  <si>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</si>
  <si>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</si>
  <si>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</si>
  <si>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</si>
  <si>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</si>
  <si>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</si>
  <si>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</si>
  <si>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</si>
  <si>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</si>
  <si>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</si>
  <si>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</si>
  <si>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</si>
  <si>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</si>
  <si>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</si>
  <si>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</si>
  <si>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</si>
  <si>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</si>
  <si>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</si>
  <si>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</si>
  <si>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</si>
  <si>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</si>
  <si>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</si>
  <si>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</si>
  <si>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</si>
  <si>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</si>
  <si>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</si>
  <si>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</si>
  <si>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</si>
  <si>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</si>
  <si>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</si>
  <si>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</si>
  <si>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</si>
  <si>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</si>
  <si>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</si>
  <si>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</si>
  <si>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</si>
  <si>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</si>
  <si>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</si>
  <si>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</si>
  <si>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</si>
  <si>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</si>
  <si>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</si>
  <si>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</si>
  <si>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</si>
  <si>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</si>
  <si>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</si>
  <si>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</si>
  <si>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</si>
  <si>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</si>
  <si>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</si>
  <si>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</si>
  <si>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</si>
  <si>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</si>
  <si>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</si>
  <si>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</si>
  <si>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</si>
  <si>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</si>
  <si>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</si>
  <si>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</si>
  <si>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</si>
  <si>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</si>
  <si>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</si>
  <si>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</si>
  <si>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</si>
  <si>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</si>
  <si>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</si>
  <si>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</si>
  <si>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</si>
  <si>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</si>
  <si>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</si>
  <si>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</si>
  <si>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</si>
  <si>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</si>
  <si>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</si>
  <si>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</si>
  <si>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</si>
  <si>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</si>
  <si>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</si>
  <si>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</si>
  <si>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</si>
  <si>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</si>
  <si>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</si>
  <si>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</si>
  <si>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</si>
  <si>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</si>
  <si>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</si>
  <si>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</si>
  <si>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</si>
  <si>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</si>
  <si>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</si>
  <si>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</si>
  <si>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</si>
  <si>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</si>
  <si>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</si>
  <si>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</si>
  <si>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</si>
  <si>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</si>
  <si>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</si>
  <si>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</si>
  <si>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</si>
  <si>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</si>
  <si>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</si>
  <si>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</si>
  <si>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</si>
  <si>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</si>
  <si>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</si>
  <si>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</si>
  <si>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</si>
  <si>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</si>
  <si>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</si>
  <si>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</si>
  <si>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</si>
  <si>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</si>
  <si>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</si>
  <si>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</si>
  <si>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</si>
  <si>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</si>
  <si>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</si>
  <si>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</si>
  <si>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</si>
  <si>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</si>
  <si>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</si>
  <si>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</si>
  <si>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</si>
  <si>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</si>
  <si>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</si>
  <si>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</si>
  <si>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</si>
  <si>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</si>
  <si>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</si>
  <si>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</si>
  <si>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</si>
  <si>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</si>
  <si>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</si>
  <si>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</si>
  <si>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</si>
  <si>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</si>
  <si>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</si>
  <si>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</si>
  <si>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</si>
  <si>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</si>
  <si>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</si>
  <si>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</si>
  <si>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</si>
  <si>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</si>
  <si>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</si>
  <si>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</si>
  <si>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</si>
  <si>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</si>
  <si>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</si>
  <si>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</si>
  <si>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</si>
  <si>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</si>
  <si>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</si>
  <si>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</si>
  <si>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</si>
  <si>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</si>
  <si>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</si>
  <si>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</si>
  <si>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</si>
  <si>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</si>
  <si>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</si>
  <si>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</si>
  <si>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</si>
  <si>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</si>
  <si>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</si>
  <si>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</si>
  <si>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</si>
  <si>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</si>
  <si>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</si>
  <si>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</si>
  <si>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</si>
  <si>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</si>
  <si>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</si>
  <si>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</si>
  <si>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</si>
  <si>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</si>
  <si>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</si>
  <si>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</si>
  <si>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</si>
  <si>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</si>
  <si>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</si>
  <si>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</si>
  <si>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</si>
  <si>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</si>
  <si>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</si>
  <si>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</si>
  <si>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</si>
  <si>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</si>
  <si>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</si>
  <si>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</si>
  <si>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</si>
  <si>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</si>
  <si>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</si>
  <si>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</si>
  <si>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</si>
  <si>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</si>
  <si>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</si>
  <si>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</si>
  <si>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</si>
  <si>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</si>
  <si>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</si>
  <si>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</si>
  <si>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</si>
  <si>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</si>
  <si>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</si>
  <si>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</si>
  <si>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</si>
  <si>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</si>
  <si>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</si>
  <si>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</si>
  <si>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</si>
  <si>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</si>
  <si>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</si>
  <si>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</si>
  <si>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</si>
  <si>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</si>
  <si>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</si>
  <si>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</si>
  <si>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</si>
  <si>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</si>
  <si>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</si>
  <si>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</si>
  <si>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</si>
  <si>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</si>
  <si>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</si>
  <si>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</si>
  <si>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</si>
  <si>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</si>
  <si>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</si>
  <si>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</si>
  <si>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</si>
  <si>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</si>
  <si>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</si>
  <si>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</si>
  <si>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</si>
  <si>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</si>
  <si>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</si>
  <si>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</si>
  <si>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</si>
  <si>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</si>
  <si>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</si>
  <si>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</si>
  <si>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</si>
  <si>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</si>
  <si>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</si>
  <si>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</si>
  <si>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</si>
  <si>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</si>
  <si>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</si>
  <si>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</si>
  <si>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</si>
  <si>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</si>
  <si>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</si>
  <si>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</si>
  <si>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</si>
  <si>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</si>
  <si>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</si>
  <si>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</si>
  <si>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</si>
  <si>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</si>
  <si>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</si>
  <si>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</si>
  <si>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</si>
  <si>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</si>
  <si>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</si>
  <si>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</si>
  <si>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</si>
  <si>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</si>
  <si>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</si>
  <si>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</si>
  <si>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</si>
  <si>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</si>
  <si>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</si>
  <si>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</si>
  <si>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</si>
  <si>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</si>
  <si>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</si>
  <si>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</si>
  <si>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</si>
  <si>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</si>
  <si>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</si>
  <si>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</si>
  <si>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</si>
  <si>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</si>
  <si>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</si>
  <si>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</si>
  <si>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</si>
  <si>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</si>
  <si>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</si>
  <si>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</si>
  <si>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</si>
  <si>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</si>
  <si>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</si>
  <si>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</si>
  <si>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</si>
  <si>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</si>
  <si>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</si>
  <si>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</si>
  <si>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</si>
  <si>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</si>
  <si>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</si>
  <si>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</si>
  <si>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</si>
  <si>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</si>
  <si>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</si>
  <si>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</si>
  <si>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</si>
  <si>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</si>
  <si>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</si>
  <si>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</si>
  <si>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</si>
  <si>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</si>
  <si>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</si>
  <si>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</si>
  <si>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</si>
  <si>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</si>
  <si>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</si>
  <si>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</si>
  <si>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</si>
  <si>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</si>
  <si>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</si>
  <si>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</si>
  <si>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</si>
  <si>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</si>
  <si>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</si>
  <si>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</si>
  <si>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</si>
  <si>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</si>
  <si>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</si>
  <si>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</si>
  <si>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</si>
  <si>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</si>
  <si>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</si>
  <si>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</si>
  <si>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</si>
  <si>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</si>
  <si>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</si>
  <si>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</si>
  <si>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</si>
  <si>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</si>
  <si>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</si>
  <si>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</si>
  <si>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</si>
  <si>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</si>
  <si>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</si>
  <si>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</si>
  <si>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</si>
  <si>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</si>
  <si>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</si>
  <si>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</si>
  <si>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</si>
  <si>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</si>
  <si>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</si>
  <si>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</si>
  <si>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</si>
  <si>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</si>
  <si>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</si>
  <si>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</si>
  <si>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</si>
  <si>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</si>
  <si>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</si>
  <si>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</si>
  <si>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</si>
  <si>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</si>
  <si>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</si>
  <si>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</si>
  <si>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</si>
  <si>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</si>
  <si>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</si>
  <si>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</si>
  <si>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</si>
  <si>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</si>
  <si>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</si>
  <si>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</si>
  <si>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</si>
  <si>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</si>
  <si>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</si>
  <si>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</si>
  <si>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</si>
  <si>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</si>
  <si>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</si>
  <si>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</si>
  <si>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</si>
  <si>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</si>
  <si>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</si>
  <si>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</si>
  <si>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</si>
  <si>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</si>
  <si>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</si>
  <si>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</si>
  <si>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</si>
  <si>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</si>
  <si>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</si>
  <si>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</si>
  <si>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</si>
  <si>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</si>
  <si>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</si>
  <si>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</si>
  <si>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</si>
  <si>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</si>
  <si>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</si>
  <si>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</si>
  <si>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</si>
  <si>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</si>
  <si>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</si>
  <si>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</si>
  <si>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</si>
  <si>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</si>
  <si>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</si>
  <si>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</si>
  <si>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</si>
  <si>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</si>
  <si>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</si>
  <si>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</si>
  <si>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</si>
  <si>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</si>
  <si>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</si>
  <si>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</si>
  <si>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</si>
  <si>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</si>
  <si>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</si>
  <si>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</si>
  <si>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</si>
  <si>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</si>
  <si>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</si>
  <si>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</si>
  <si>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</si>
  <si>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</si>
  <si>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</si>
  <si>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</si>
  <si>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</si>
  <si>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</si>
  <si>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</si>
  <si>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</si>
  <si>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</si>
  <si>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</si>
  <si>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</si>
  <si>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</si>
  <si>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</si>
  <si>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</si>
  <si>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</si>
  <si>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</si>
  <si>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</si>
  <si>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</si>
  <si>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</si>
  <si>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</si>
  <si>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</si>
  <si>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</si>
  <si>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</si>
  <si>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</si>
  <si>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</si>
  <si>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</si>
  <si>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</si>
  <si>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</si>
  <si>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</si>
  <si>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</si>
  <si>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</si>
  <si>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</si>
  <si>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</si>
  <si>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</si>
  <si>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</si>
  <si>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</si>
  <si>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</si>
  <si>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</si>
  <si>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</si>
  <si>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</si>
  <si>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</si>
  <si>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</si>
  <si>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</si>
  <si>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</si>
  <si>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</si>
  <si>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</si>
  <si>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</si>
  <si>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</si>
  <si>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</si>
  <si>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</si>
  <si>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</si>
  <si>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</si>
  <si>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</si>
  <si>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</si>
  <si>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</si>
  <si>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</si>
  <si>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</si>
  <si>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</si>
  <si>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</si>
  <si>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</si>
  <si>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</si>
  <si>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</si>
  <si>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</si>
  <si>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</si>
  <si>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</si>
  <si>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</si>
  <si>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</si>
  <si>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</si>
  <si>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</si>
  <si>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</si>
  <si>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</si>
  <si>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</si>
  <si>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</si>
  <si>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</si>
  <si>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</si>
  <si>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</si>
  <si>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</si>
  <si>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</si>
  <si>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</si>
  <si>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</si>
  <si>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</si>
  <si>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</si>
  <si>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</si>
  <si>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</si>
  <si>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</si>
  <si>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</si>
  <si>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</si>
  <si>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</si>
  <si>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</si>
  <si>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</si>
  <si>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</si>
  <si>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</si>
  <si>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</si>
  <si>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</si>
  <si>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</si>
  <si>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</si>
  <si>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</si>
  <si>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</si>
  <si>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</si>
  <si>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</si>
  <si>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</si>
  <si>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</si>
  <si>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</si>
  <si>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</si>
  <si>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</si>
  <si>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</si>
  <si>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</si>
  <si>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</si>
  <si>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</si>
  <si>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</si>
  <si>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</si>
  <si>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</si>
  <si>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11018</t>
  </si>
  <si>
    <t>HEMIKSEM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</si>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</sst>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75379.493245825695</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86368"/>
        <c:axId val="182187904"/>
      </c:barChart>
      <c:catAx>
        <c:axId val="182186368"/>
        <c:scaling>
          <c:orientation val="minMax"/>
        </c:scaling>
        <c:axPos val="b"/>
        <c:numFmt formatCode="General" sourceLinked="0"/>
        <c:tickLblPos val="nextTo"/>
        <c:crossAx val="182187904"/>
        <c:crosses val="autoZero"/>
        <c:auto val="1"/>
        <c:lblAlgn val="ctr"/>
        <c:lblOffset val="100"/>
      </c:catAx>
      <c:valAx>
        <c:axId val="182187904"/>
        <c:scaling>
          <c:orientation val="minMax"/>
        </c:scaling>
        <c:axPos val="l"/>
        <c:majorGridlines/>
        <c:numFmt formatCode="#,##0" sourceLinked="1"/>
        <c:tickLblPos val="nextTo"/>
        <c:crossAx val="182186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75379.493245825695</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14864.009415086533</c:v>
                </c:pt>
                <c:pt idx="2">
                  <c:v>5217.8589762583661</c:v>
                </c:pt>
                <c:pt idx="3">
                  <c:v>100.2319178125769</c:v>
                </c:pt>
                <c:pt idx="4">
                  <c:v>43.201064806172326</c:v>
                </c:pt>
                <c:pt idx="5">
                  <c:v>15821.561329231201</c:v>
                </c:pt>
                <c:pt idx="6">
                  <c:v>6590.9589768395981</c:v>
                </c:pt>
                <c:pt idx="7">
                  <c:v>290.79712971069239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00352"/>
        <c:axId val="182575872"/>
      </c:barChart>
      <c:catAx>
        <c:axId val="182500352"/>
        <c:scaling>
          <c:orientation val="minMax"/>
        </c:scaling>
        <c:axPos val="b"/>
        <c:numFmt formatCode="General" sourceLinked="0"/>
        <c:tickLblPos val="nextTo"/>
        <c:crossAx val="182575872"/>
        <c:crosses val="autoZero"/>
        <c:auto val="1"/>
        <c:lblAlgn val="ctr"/>
        <c:lblOffset val="100"/>
      </c:catAx>
      <c:valAx>
        <c:axId val="182575872"/>
        <c:scaling>
          <c:orientation val="minMax"/>
        </c:scaling>
        <c:axPos val="l"/>
        <c:majorGridlines/>
        <c:numFmt formatCode="#,##0" sourceLinked="1"/>
        <c:tickLblPos val="nextTo"/>
        <c:crossAx val="182500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14864.009415086533</c:v>
                </c:pt>
                <c:pt idx="2">
                  <c:v>5217.8589762583661</c:v>
                </c:pt>
                <c:pt idx="3">
                  <c:v>100.2319178125769</c:v>
                </c:pt>
                <c:pt idx="4">
                  <c:v>43.201064806172326</c:v>
                </c:pt>
                <c:pt idx="5">
                  <c:v>15821.561329231201</c:v>
                </c:pt>
                <c:pt idx="6">
                  <c:v>6590.9589768395981</c:v>
                </c:pt>
                <c:pt idx="7">
                  <c:v>290.79712971069239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11018</v>
      </c>
      <c r="B6" s="416"/>
      <c r="C6" s="417"/>
    </row>
    <row r="7" spans="1:7" s="414" customFormat="1" ht="15.75" customHeight="1">
      <c r="A7" s="418" t="str">
        <f>txtMunicipality</f>
        <v>HEMIKSEM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0.21626129036363673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0.21626129036363673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4494</v>
      </c>
      <c r="C9" s="342">
        <v>4604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3</v>
      </c>
      <c r="F37" s="334">
        <v>1709966</v>
      </c>
    </row>
    <row r="38" spans="1:6">
      <c r="A38" s="348" t="s">
        <v>25</v>
      </c>
      <c r="B38" s="348" t="s">
        <v>29</v>
      </c>
      <c r="C38" s="334">
        <v>0</v>
      </c>
      <c r="D38" s="334">
        <v>0</v>
      </c>
      <c r="E38" s="334">
        <v>1</v>
      </c>
      <c r="F38" s="334">
        <v>11486</v>
      </c>
    </row>
    <row r="39" spans="1:6">
      <c r="A39" s="348" t="s">
        <v>30</v>
      </c>
      <c r="B39" s="348" t="s">
        <v>31</v>
      </c>
      <c r="C39" s="334">
        <v>4078</v>
      </c>
      <c r="D39" s="334">
        <v>62418067</v>
      </c>
      <c r="E39" s="334">
        <v>4680</v>
      </c>
      <c r="F39" s="334">
        <v>15035295</v>
      </c>
    </row>
    <row r="40" spans="1:6">
      <c r="A40" s="348" t="s">
        <v>30</v>
      </c>
      <c r="B40" s="348" t="s">
        <v>29</v>
      </c>
      <c r="C40" s="334">
        <v>0</v>
      </c>
      <c r="D40" s="334">
        <v>0</v>
      </c>
      <c r="E40" s="334">
        <v>0</v>
      </c>
      <c r="F40" s="334">
        <v>0</v>
      </c>
    </row>
    <row r="41" spans="1:6">
      <c r="A41" s="348" t="s">
        <v>32</v>
      </c>
      <c r="B41" s="348" t="s">
        <v>33</v>
      </c>
      <c r="C41" s="334">
        <v>30</v>
      </c>
      <c r="D41" s="334">
        <v>683057</v>
      </c>
      <c r="E41" s="334">
        <v>63</v>
      </c>
      <c r="F41" s="334">
        <v>615478</v>
      </c>
    </row>
    <row r="42" spans="1:6">
      <c r="A42" s="348" t="s">
        <v>32</v>
      </c>
      <c r="B42" s="348" t="s">
        <v>34</v>
      </c>
      <c r="C42" s="334">
        <v>3</v>
      </c>
      <c r="D42" s="334">
        <v>368938</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530564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50584358</v>
      </c>
      <c r="E48" s="334">
        <v>6</v>
      </c>
      <c r="F48" s="334">
        <v>20025021</v>
      </c>
    </row>
    <row r="49" spans="1:6">
      <c r="A49" s="348" t="s">
        <v>32</v>
      </c>
      <c r="B49" s="348" t="s">
        <v>40</v>
      </c>
      <c r="C49" s="334">
        <v>0</v>
      </c>
      <c r="D49" s="334">
        <v>0</v>
      </c>
      <c r="E49" s="334">
        <v>0</v>
      </c>
      <c r="F49" s="334">
        <v>0</v>
      </c>
    </row>
    <row r="50" spans="1:6">
      <c r="A50" s="348" t="s">
        <v>32</v>
      </c>
      <c r="B50" s="348" t="s">
        <v>41</v>
      </c>
      <c r="C50" s="334">
        <v>4</v>
      </c>
      <c r="D50" s="334">
        <v>119864</v>
      </c>
      <c r="E50" s="334">
        <v>5</v>
      </c>
      <c r="F50" s="334">
        <v>161111</v>
      </c>
    </row>
    <row r="51" spans="1:6">
      <c r="A51" s="348" t="s">
        <v>42</v>
      </c>
      <c r="B51" s="348" t="s">
        <v>43</v>
      </c>
      <c r="C51" s="334">
        <v>4</v>
      </c>
      <c r="D51" s="334">
        <v>44059</v>
      </c>
      <c r="E51" s="334">
        <v>7</v>
      </c>
      <c r="F51" s="334">
        <v>37022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v>
      </c>
      <c r="F54" s="334">
        <v>463476</v>
      </c>
    </row>
    <row r="55" spans="1:6">
      <c r="A55" s="348" t="s">
        <v>46</v>
      </c>
      <c r="B55" s="348" t="s">
        <v>29</v>
      </c>
      <c r="C55" s="334">
        <v>0</v>
      </c>
      <c r="D55" s="334">
        <v>0</v>
      </c>
      <c r="E55" s="334">
        <v>0</v>
      </c>
      <c r="F55" s="334">
        <v>0</v>
      </c>
    </row>
    <row r="56" spans="1:6">
      <c r="A56" s="348" t="s">
        <v>48</v>
      </c>
      <c r="B56" s="348" t="s">
        <v>29</v>
      </c>
      <c r="C56" s="334">
        <v>47</v>
      </c>
      <c r="D56" s="334">
        <v>613545</v>
      </c>
      <c r="E56" s="334">
        <v>108</v>
      </c>
      <c r="F56" s="334">
        <v>361230</v>
      </c>
    </row>
    <row r="57" spans="1:6">
      <c r="A57" s="348" t="s">
        <v>49</v>
      </c>
      <c r="B57" s="348" t="s">
        <v>50</v>
      </c>
      <c r="C57" s="334">
        <v>20</v>
      </c>
      <c r="D57" s="334">
        <v>1163974</v>
      </c>
      <c r="E57" s="334">
        <v>39</v>
      </c>
      <c r="F57" s="334">
        <v>726828</v>
      </c>
    </row>
    <row r="58" spans="1:6">
      <c r="A58" s="348" t="s">
        <v>49</v>
      </c>
      <c r="B58" s="348" t="s">
        <v>51</v>
      </c>
      <c r="C58" s="334">
        <v>10</v>
      </c>
      <c r="D58" s="334">
        <v>266676</v>
      </c>
      <c r="E58" s="334">
        <v>12</v>
      </c>
      <c r="F58" s="334">
        <v>121968</v>
      </c>
    </row>
    <row r="59" spans="1:6">
      <c r="A59" s="348" t="s">
        <v>49</v>
      </c>
      <c r="B59" s="348" t="s">
        <v>52</v>
      </c>
      <c r="C59" s="334">
        <v>37</v>
      </c>
      <c r="D59" s="334">
        <v>1411818</v>
      </c>
      <c r="E59" s="334">
        <v>58</v>
      </c>
      <c r="F59" s="334">
        <v>4933507</v>
      </c>
    </row>
    <row r="60" spans="1:6">
      <c r="A60" s="348" t="s">
        <v>49</v>
      </c>
      <c r="B60" s="348" t="s">
        <v>53</v>
      </c>
      <c r="C60" s="334">
        <v>31</v>
      </c>
      <c r="D60" s="334">
        <v>1463891</v>
      </c>
      <c r="E60" s="334">
        <v>51</v>
      </c>
      <c r="F60" s="334">
        <v>999872.78010471212</v>
      </c>
    </row>
    <row r="61" spans="1:6">
      <c r="A61" s="348" t="s">
        <v>49</v>
      </c>
      <c r="B61" s="348" t="s">
        <v>54</v>
      </c>
      <c r="C61" s="334">
        <v>98</v>
      </c>
      <c r="D61" s="334">
        <v>11857090</v>
      </c>
      <c r="E61" s="334">
        <v>162</v>
      </c>
      <c r="F61" s="334">
        <v>1814896</v>
      </c>
    </row>
    <row r="62" spans="1:6">
      <c r="A62" s="348" t="s">
        <v>49</v>
      </c>
      <c r="B62" s="348" t="s">
        <v>55</v>
      </c>
      <c r="C62" s="334">
        <v>3</v>
      </c>
      <c r="D62" s="334">
        <v>244455</v>
      </c>
      <c r="E62" s="334">
        <v>3</v>
      </c>
      <c r="F62" s="334">
        <v>54774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254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31554230</v>
      </c>
      <c r="E73" s="476">
        <v>34050832.577035479</v>
      </c>
    </row>
    <row r="74" spans="1:6">
      <c r="A74" s="348" t="s">
        <v>64</v>
      </c>
      <c r="B74" s="348" t="s">
        <v>714</v>
      </c>
      <c r="C74" s="1311" t="s">
        <v>716</v>
      </c>
      <c r="D74" s="476">
        <v>2266711.9124509702</v>
      </c>
      <c r="E74" s="476">
        <v>2378711.4281699774</v>
      </c>
    </row>
    <row r="75" spans="1:6">
      <c r="A75" s="348" t="s">
        <v>65</v>
      </c>
      <c r="B75" s="348" t="s">
        <v>713</v>
      </c>
      <c r="C75" s="1311" t="s">
        <v>717</v>
      </c>
      <c r="D75" s="476">
        <v>1500590</v>
      </c>
      <c r="E75" s="476">
        <v>1609920.7202538692</v>
      </c>
    </row>
    <row r="76" spans="1:6">
      <c r="A76" s="348" t="s">
        <v>65</v>
      </c>
      <c r="B76" s="348" t="s">
        <v>714</v>
      </c>
      <c r="C76" s="1311" t="s">
        <v>718</v>
      </c>
      <c r="D76" s="476">
        <v>114377.9124509703</v>
      </c>
      <c r="E76" s="476">
        <v>125545.37791122752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307638.17509805941</v>
      </c>
      <c r="C83" s="476">
        <v>304152.60888774565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943.689103709042</v>
      </c>
    </row>
    <row r="92" spans="1:6">
      <c r="A92" s="341" t="s">
        <v>69</v>
      </c>
      <c r="B92" s="342">
        <v>60.42979166170776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24</v>
      </c>
    </row>
    <row r="130" spans="1:6">
      <c r="A130" s="348" t="s">
        <v>295</v>
      </c>
      <c r="B130" s="334">
        <v>1</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46829.262163283922</v>
      </c>
      <c r="C3" s="43" t="s">
        <v>170</v>
      </c>
      <c r="D3" s="43"/>
      <c r="E3" s="154"/>
      <c r="F3" s="43"/>
      <c r="G3" s="43"/>
      <c r="H3" s="43"/>
      <c r="I3" s="43"/>
      <c r="J3" s="43"/>
      <c r="K3" s="96"/>
    </row>
    <row r="4" spans="1:11">
      <c r="A4" s="384" t="s">
        <v>171</v>
      </c>
      <c r="B4" s="49">
        <f>IF(ISERROR('SEAP template'!B78+'SEAP template'!C78),0,'SEAP template'!B78+'SEAP template'!C78)</f>
        <v>1004.1188953707498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0.21626129036363673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463.476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463.476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0.21626129036363673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100.2319178125769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15035.295</v>
      </c>
      <c r="C5" s="17">
        <f>IF(ISERROR('Eigen informatie GS &amp; warmtenet'!B57),0,'Eigen informatie GS &amp; warmtenet'!B57)</f>
        <v>0</v>
      </c>
      <c r="D5" s="30">
        <f>(SUM(HH_hh_gas_kWh,HH_rest_gas_kWh)/1000)*0.902</f>
        <v>56301.096434000006</v>
      </c>
      <c r="E5" s="17">
        <f>B46*B57</f>
        <v>156.61768480340942</v>
      </c>
      <c r="F5" s="17">
        <f>B51*B62</f>
        <v>0</v>
      </c>
      <c r="G5" s="18"/>
      <c r="H5" s="17"/>
      <c r="I5" s="17"/>
      <c r="J5" s="17">
        <f>B50*B61+C50*C61</f>
        <v>0</v>
      </c>
      <c r="K5" s="17"/>
      <c r="L5" s="17"/>
      <c r="M5" s="17"/>
      <c r="N5" s="17">
        <f>B48*B59+C48*C59</f>
        <v>2821.1916899799139</v>
      </c>
      <c r="O5" s="17">
        <f>B69*B70*B71</f>
        <v>45.336666666666673</v>
      </c>
      <c r="P5" s="17">
        <f>B77*B78*B79/1000-B77*B78*B79/1000/B80</f>
        <v>76.266666666666666</v>
      </c>
    </row>
    <row r="6" spans="1:16">
      <c r="A6" s="16" t="s">
        <v>631</v>
      </c>
      <c r="B6" s="789">
        <f>kWh_PV_kleiner_dan_10kW</f>
        <v>943.689103709042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15978.984103709043</v>
      </c>
      <c r="C8" s="21">
        <f>C5</f>
        <v>0</v>
      </c>
      <c r="D8" s="21">
        <f>D5</f>
        <v>56301.096434000006</v>
      </c>
      <c r="E8" s="21">
        <f>E5</f>
        <v>156.61768480340942</v>
      </c>
      <c r="F8" s="21">
        <f>F5</f>
        <v>0</v>
      </c>
      <c r="G8" s="21"/>
      <c r="H8" s="21"/>
      <c r="I8" s="21"/>
      <c r="J8" s="21">
        <f>J5</f>
        <v>0</v>
      </c>
      <c r="K8" s="21"/>
      <c r="L8" s="21">
        <f>L5</f>
        <v>0</v>
      </c>
      <c r="M8" s="21">
        <f>M5</f>
        <v>0</v>
      </c>
      <c r="N8" s="21">
        <f>N5</f>
        <v>2821.1916899799139</v>
      </c>
      <c r="O8" s="21">
        <f>O5</f>
        <v>45.336666666666673</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0.21626129036363673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3455.6357209681569</v>
      </c>
      <c r="C12" s="23">
        <f ca="1">C10*C8</f>
        <v>0</v>
      </c>
      <c r="D12" s="23">
        <f>D8*D10</f>
        <v>11372.821479668002</v>
      </c>
      <c r="E12" s="23">
        <f>E10*E8</f>
        <v>35.552214450373938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4494</v>
      </c>
      <c r="C28" s="36"/>
      <c r="D28" s="228"/>
    </row>
    <row r="29" spans="1:7" s="15" customFormat="1">
      <c r="A29" s="230" t="s">
        <v>741</v>
      </c>
      <c r="B29" s="37">
        <f>SUM(HH_hh_gas_aantal,HH_rest_gas_aantal)</f>
        <v>4078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4078</v>
      </c>
      <c r="C32" s="167">
        <f>IF(ISERROR(B32/SUM($B$32,$B$34,$B$35,$B$36,$B$38,$B$39)*100),0,B32/SUM($B$32,$B$34,$B$35,$B$36,$B$38,$B$39)*100)</f>
        <v>90.82405345211582</v>
      </c>
      <c r="D32" s="233"/>
      <c r="G32" s="15"/>
    </row>
    <row r="33" spans="1:7">
      <c r="A33" s="171" t="s">
        <v>72</v>
      </c>
      <c r="B33" s="34" t="s">
        <v>111</v>
      </c>
      <c r="C33" s="167"/>
      <c r="D33" s="233"/>
      <c r="G33" s="15"/>
    </row>
    <row r="34" spans="1:7">
      <c r="A34" s="171" t="s">
        <v>73</v>
      </c>
      <c r="B34" s="33">
        <f>IF((($B$28-$B$32-$B$39-$B$77-$B$38)*C20/100)&lt;0,0,($B$28-$B$32-$B$39-$B$77-$B$38)*C20/100)</f>
        <v>10.496815286624205</v>
      </c>
      <c r="C34" s="167">
        <f>IF(ISERROR(B34/SUM($B$32,$B$34,$B$35,$B$36,$B$38,$B$39)*100),0,B34/SUM($B$32,$B$34,$B$35,$B$36,$B$38,$B$39)*100)</f>
        <v>0.23378207765310036</v>
      </c>
      <c r="D34" s="233"/>
      <c r="G34" s="15"/>
    </row>
    <row r="35" spans="1:7">
      <c r="A35" s="171" t="s">
        <v>74</v>
      </c>
      <c r="B35" s="33">
        <f>IF((($B$28-$B$32-$B$39-$B$77-$B$38)*C21/100)&lt;0,0,($B$28-$B$32-$B$39-$B$77-$B$38)*C21/100)</f>
        <v>351.64331210191085</v>
      </c>
      <c r="C35" s="167">
        <f>IF(ISERROR(B35/SUM($B$32,$B$34,$B$35,$B$36,$B$38,$B$39)*100),0,B35/SUM($B$32,$B$34,$B$35,$B$36,$B$38,$B$39)*100)</f>
        <v>7.8316996013788609</v>
      </c>
      <c r="D35" s="233"/>
      <c r="G35" s="15"/>
    </row>
    <row r="36" spans="1:7">
      <c r="A36" s="171" t="s">
        <v>75</v>
      </c>
      <c r="B36" s="33">
        <f>IF((($B$28-$B$32-$B$39-$B$77-$B$38)*C22/100)&lt;0,0,($B$28-$B$32-$B$39-$B$77-$B$38)*C22/100)</f>
        <v>49.859872611464972</v>
      </c>
      <c r="C36" s="167">
        <f>IF(ISERROR(B36/SUM($B$32,$B$34,$B$35,$B$36,$B$38,$B$39)*100),0,B36/SUM($B$32,$B$34,$B$35,$B$36,$B$38,$B$39)*100)</f>
        <v>1.1104648688522265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4078</v>
      </c>
      <c r="C44" s="34" t="s">
        <v>111</v>
      </c>
      <c r="D44" s="174"/>
    </row>
    <row r="45" spans="1:7">
      <c r="A45" s="171" t="s">
        <v>72</v>
      </c>
      <c r="B45" s="33" t="str">
        <f t="shared" si="0"/>
        <v>-</v>
      </c>
      <c r="C45" s="34" t="s">
        <v>111</v>
      </c>
      <c r="D45" s="174"/>
    </row>
    <row r="46" spans="1:7">
      <c r="A46" s="171" t="s">
        <v>73</v>
      </c>
      <c r="B46" s="33">
        <f t="shared" si="0"/>
        <v>10.496815286624205</v>
      </c>
      <c r="C46" s="34" t="s">
        <v>111</v>
      </c>
      <c r="D46" s="174"/>
    </row>
    <row r="47" spans="1:7">
      <c r="A47" s="171" t="s">
        <v>74</v>
      </c>
      <c r="B47" s="33">
        <f t="shared" si="0"/>
        <v>351.64331210191085</v>
      </c>
      <c r="C47" s="34" t="s">
        <v>111</v>
      </c>
      <c r="D47" s="174"/>
    </row>
    <row r="48" spans="1:7">
      <c r="A48" s="171" t="s">
        <v>75</v>
      </c>
      <c r="B48" s="33">
        <f t="shared" si="0"/>
        <v>49.859872611464972</v>
      </c>
      <c r="C48" s="33">
        <f>B48*10</f>
        <v>498.59872611464971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8651.8457801047116</v>
      </c>
      <c r="C5" s="17">
        <f>IF(ISERROR('Eigen informatie GS &amp; warmtenet'!B58),0,'Eigen informatie GS &amp; warmtenet'!B58)</f>
        <v>0</v>
      </c>
      <c r="D5" s="30">
        <f>SUM(D6:D12)</f>
        <v>14799.929408</v>
      </c>
      <c r="E5" s="17">
        <f>SUM(E6:E12)</f>
        <v>102.84569267023682</v>
      </c>
      <c r="F5" s="17">
        <f>SUM(F6:F12)</f>
        <v>1250.4416897887304</v>
      </c>
      <c r="G5" s="18"/>
      <c r="H5" s="17"/>
      <c r="I5" s="17"/>
      <c r="J5" s="17">
        <f>SUM(J6:J12)</f>
        <v>0</v>
      </c>
      <c r="K5" s="17"/>
      <c r="L5" s="17"/>
      <c r="M5" s="17"/>
      <c r="N5" s="17">
        <f>SUM(N6:N12)</f>
        <v>571.46567014750849</v>
      </c>
      <c r="O5" s="17">
        <f>B38*B39*B40</f>
        <v>1.5633333333333335</v>
      </c>
      <c r="P5" s="17">
        <f>B46*B47*B48/1000-B46*B47*B48/1000/B49</f>
        <v>19.066666666666666</v>
      </c>
      <c r="R5" s="32"/>
    </row>
    <row r="6" spans="1:18">
      <c r="A6" s="32" t="s">
        <v>54</v>
      </c>
      <c r="B6" s="37">
        <f>B26</f>
        <v>1814.896</v>
      </c>
      <c r="C6" s="33"/>
      <c r="D6" s="37">
        <f>IF(ISERROR(TER_kantoor_gas_kWh/1000),0,TER_kantoor_gas_kWh/1000)*0.902</f>
        <v>10695.09518</v>
      </c>
      <c r="E6" s="33">
        <f>$C$26*'E Balans VL '!I12/100/3.6*1000000</f>
        <v>5.2580199950001587</v>
      </c>
      <c r="F6" s="33">
        <f>$C$26*('E Balans VL '!L12+'E Balans VL '!N12)/100/3.6*1000000</f>
        <v>205.40624194096912</v>
      </c>
      <c r="G6" s="34"/>
      <c r="H6" s="33"/>
      <c r="I6" s="33"/>
      <c r="J6" s="33">
        <f>$C$26*('E Balans VL '!D12+'E Balans VL '!E12)/100/3.6*1000000</f>
        <v>0</v>
      </c>
      <c r="K6" s="33"/>
      <c r="L6" s="33"/>
      <c r="M6" s="33"/>
      <c r="N6" s="33">
        <f>$C$26*'E Balans VL '!Y12/100/3.6*1000000</f>
        <v>18.165771684919516</v>
      </c>
      <c r="O6" s="33"/>
      <c r="P6" s="33"/>
      <c r="R6" s="32"/>
    </row>
    <row r="7" spans="1:18">
      <c r="A7" s="32" t="s">
        <v>53</v>
      </c>
      <c r="B7" s="37">
        <f t="shared" ref="B7:B12" si="0">B27</f>
        <v>999.87278010471209</v>
      </c>
      <c r="C7" s="33"/>
      <c r="D7" s="37">
        <f>IF(ISERROR(TER_horeca_gas_kWh/1000),0,TER_horeca_gas_kWh/1000)*0.902</f>
        <v>1320.4296820000002</v>
      </c>
      <c r="E7" s="33">
        <f>$C$27*'E Balans VL '!I9/100/3.6*1000000</f>
        <v>41.971865719460233</v>
      </c>
      <c r="F7" s="33">
        <f>$C$27*('E Balans VL '!L9+'E Balans VL '!N9)/100/3.6*1000000</f>
        <v>214.84317112801094</v>
      </c>
      <c r="G7" s="34"/>
      <c r="H7" s="33"/>
      <c r="I7" s="33"/>
      <c r="J7" s="33">
        <f>$C$27*('E Balans VL '!D9+'E Balans VL '!E9)/100/3.6*1000000</f>
        <v>0</v>
      </c>
      <c r="K7" s="33"/>
      <c r="L7" s="33"/>
      <c r="M7" s="33"/>
      <c r="N7" s="33">
        <f>$C$27*'E Balans VL '!Y9/100/3.6*1000000</f>
        <v>0.25765847122830604</v>
      </c>
      <c r="O7" s="33"/>
      <c r="P7" s="33"/>
      <c r="R7" s="32"/>
    </row>
    <row r="8" spans="1:18">
      <c r="A8" s="6" t="s">
        <v>52</v>
      </c>
      <c r="B8" s="37">
        <f t="shared" si="0"/>
        <v>4933.5069999999996</v>
      </c>
      <c r="C8" s="33"/>
      <c r="D8" s="37">
        <f>IF(ISERROR(TER_handel_gas_kWh/1000),0,TER_handel_gas_kWh/1000)*0.902</f>
        <v>1273.459836</v>
      </c>
      <c r="E8" s="33">
        <f>$C$28*'E Balans VL '!I13/100/3.6*1000000</f>
        <v>52.989971221155336</v>
      </c>
      <c r="F8" s="33">
        <f>$C$28*('E Balans VL '!L13+'E Balans VL '!N13)/100/3.6*1000000</f>
        <v>638.68322121095787</v>
      </c>
      <c r="G8" s="34"/>
      <c r="H8" s="33"/>
      <c r="I8" s="33"/>
      <c r="J8" s="33">
        <f>$C$28*('E Balans VL '!D13+'E Balans VL '!E13)/100/3.6*1000000</f>
        <v>0</v>
      </c>
      <c r="K8" s="33"/>
      <c r="L8" s="33"/>
      <c r="M8" s="33"/>
      <c r="N8" s="33">
        <f>$C$28*'E Balans VL '!Y13/100/3.6*1000000</f>
        <v>40.020878165194759</v>
      </c>
      <c r="O8" s="33"/>
      <c r="P8" s="33"/>
      <c r="R8" s="32"/>
    </row>
    <row r="9" spans="1:18">
      <c r="A9" s="32" t="s">
        <v>51</v>
      </c>
      <c r="B9" s="37">
        <f t="shared" si="0"/>
        <v>121.968</v>
      </c>
      <c r="C9" s="33"/>
      <c r="D9" s="37">
        <f>IF(ISERROR(TER_gezond_gas_kWh/1000),0,TER_gezond_gas_kWh/1000)*0.902</f>
        <v>240.541752</v>
      </c>
      <c r="E9" s="33">
        <f>$C$29*'E Balans VL '!I10/100/3.6*1000000</f>
        <v>9.7094416678896039E-2</v>
      </c>
      <c r="F9" s="33">
        <f>$C$29*('E Balans VL '!L10+'E Balans VL '!N10)/100/3.6*1000000</f>
        <v>14.826972996357769</v>
      </c>
      <c r="G9" s="34"/>
      <c r="H9" s="33"/>
      <c r="I9" s="33"/>
      <c r="J9" s="33">
        <f>$C$29*('E Balans VL '!D10+'E Balans VL '!E10)/100/3.6*1000000</f>
        <v>0</v>
      </c>
      <c r="K9" s="33"/>
      <c r="L9" s="33"/>
      <c r="M9" s="33"/>
      <c r="N9" s="33">
        <f>$C$29*'E Balans VL '!Y10/100/3.6*1000000</f>
        <v>0.98522519070150338</v>
      </c>
      <c r="O9" s="33"/>
      <c r="P9" s="33"/>
      <c r="R9" s="32"/>
    </row>
    <row r="10" spans="1:18">
      <c r="A10" s="32" t="s">
        <v>50</v>
      </c>
      <c r="B10" s="37">
        <f t="shared" si="0"/>
        <v>726.82799999999997</v>
      </c>
      <c r="C10" s="33"/>
      <c r="D10" s="37">
        <f>IF(ISERROR(TER_ander_gas_kWh/1000),0,TER_ander_gas_kWh/1000)*0.902</f>
        <v>1049.904548</v>
      </c>
      <c r="E10" s="33">
        <f>$C$30*'E Balans VL '!I14/100/3.6*1000000</f>
        <v>2.4908777386486416</v>
      </c>
      <c r="F10" s="33">
        <f>$C$30*('E Balans VL '!L14+'E Balans VL '!N14)/100/3.6*1000000</f>
        <v>162.34384038917739</v>
      </c>
      <c r="G10" s="34"/>
      <c r="H10" s="33"/>
      <c r="I10" s="33"/>
      <c r="J10" s="33">
        <f>$C$30*('E Balans VL '!D14+'E Balans VL '!E14)/100/3.6*1000000</f>
        <v>0</v>
      </c>
      <c r="K10" s="33"/>
      <c r="L10" s="33"/>
      <c r="M10" s="33"/>
      <c r="N10" s="33">
        <f>$C$30*'E Balans VL '!Y14/100/3.6*1000000</f>
        <v>511.98161378374982</v>
      </c>
      <c r="O10" s="33"/>
      <c r="P10" s="33"/>
      <c r="R10" s="32"/>
    </row>
    <row r="11" spans="1:18">
      <c r="A11" s="32" t="s">
        <v>55</v>
      </c>
      <c r="B11" s="37">
        <f t="shared" si="0"/>
        <v>54.774000000000001</v>
      </c>
      <c r="C11" s="33"/>
      <c r="D11" s="37">
        <f>IF(ISERROR(TER_onderwijs_gas_kWh/1000),0,TER_onderwijs_gas_kWh/1000)*0.902</f>
        <v>220.49841000000001</v>
      </c>
      <c r="E11" s="33">
        <f>$C$31*'E Balans VL '!I11/100/3.6*1000000</f>
        <v>3.7863579293561628E-2</v>
      </c>
      <c r="F11" s="33">
        <f>$C$31*('E Balans VL '!L11+'E Balans VL '!N11)/100/3.6*1000000</f>
        <v>14.338242123257151</v>
      </c>
      <c r="G11" s="34"/>
      <c r="H11" s="33"/>
      <c r="I11" s="33"/>
      <c r="J11" s="33">
        <f>$C$31*('E Balans VL '!D11+'E Balans VL '!E11)/100/3.6*1000000</f>
        <v>0</v>
      </c>
      <c r="K11" s="33"/>
      <c r="L11" s="33"/>
      <c r="M11" s="33"/>
      <c r="N11" s="33">
        <f>$C$31*'E Balans VL '!Y11/100/3.6*1000000</f>
        <v>5.4522851714610798E-2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8651.8457801047116</v>
      </c>
      <c r="C16" s="21">
        <f t="shared" ca="1" si="1"/>
        <v>0</v>
      </c>
      <c r="D16" s="21">
        <f t="shared" ca="1" si="1"/>
        <v>14799.929408</v>
      </c>
      <c r="E16" s="21">
        <f t="shared" si="1"/>
        <v>102.84569267023682</v>
      </c>
      <c r="F16" s="21">
        <f t="shared" ca="1" si="1"/>
        <v>1250.4416897887304</v>
      </c>
      <c r="G16" s="21">
        <f t="shared" si="1"/>
        <v>0</v>
      </c>
      <c r="H16" s="21">
        <f t="shared" si="1"/>
        <v>0</v>
      </c>
      <c r="I16" s="21">
        <f t="shared" si="1"/>
        <v>0</v>
      </c>
      <c r="J16" s="21">
        <f t="shared" si="1"/>
        <v>0</v>
      </c>
      <c r="K16" s="21">
        <f t="shared" si="1"/>
        <v>0</v>
      </c>
      <c r="L16" s="21">
        <f t="shared" ca="1" si="1"/>
        <v>0</v>
      </c>
      <c r="M16" s="21">
        <f t="shared" si="1"/>
        <v>0</v>
      </c>
      <c r="N16" s="21">
        <f t="shared" ca="1" si="1"/>
        <v>571.46567014750849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0.21626129036363673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1871.0593324326301</v>
      </c>
      <c r="C20" s="23">
        <f t="shared" ref="C20:P20" ca="1" si="2">C16*C18</f>
        <v>0</v>
      </c>
      <c r="D20" s="23">
        <f t="shared" ca="1" si="2"/>
        <v>2989.5857404160001</v>
      </c>
      <c r="E20" s="23">
        <f t="shared" si="2"/>
        <v>23.345972236143758</v>
      </c>
      <c r="F20" s="23">
        <f t="shared" ca="1" si="2"/>
        <v>333.86793117359105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1814.896</v>
      </c>
      <c r="C26" s="39">
        <f>IF(ISERROR(B26*3.6/1000000/'E Balans VL '!Z12*100),0,B26*3.6/1000000/'E Balans VL '!Z12*100)</f>
        <v>3.9866288869886961E-2</v>
      </c>
      <c r="D26" s="237" t="s">
        <v>692</v>
      </c>
      <c r="F26" s="6"/>
    </row>
    <row r="27" spans="1:18">
      <c r="A27" s="231" t="s">
        <v>53</v>
      </c>
      <c r="B27" s="33">
        <f>IF(ISERROR(TER_horeca_ele_kWh/1000),0,TER_horeca_ele_kWh/1000)</f>
        <v>999.87278010471209</v>
      </c>
      <c r="C27" s="39">
        <f>IF(ISERROR(B27*3.6/1000000/'E Balans VL '!Z9*100),0,B27*3.6/1000000/'E Balans VL '!Z9*100)</f>
        <v>8.0349744731004952E-2</v>
      </c>
      <c r="D27" s="237" t="s">
        <v>692</v>
      </c>
      <c r="F27" s="6"/>
    </row>
    <row r="28" spans="1:18">
      <c r="A28" s="171" t="s">
        <v>52</v>
      </c>
      <c r="B28" s="33">
        <f>IF(ISERROR(TER_handel_ele_kWh/1000),0,TER_handel_ele_kWh/1000)</f>
        <v>4933.5069999999996</v>
      </c>
      <c r="C28" s="39">
        <f>IF(ISERROR(B28*3.6/1000000/'E Balans VL '!Z13*100),0,B28*3.6/1000000/'E Balans VL '!Z13*100)</f>
        <v>0.14588035536964256</v>
      </c>
      <c r="D28" s="237" t="s">
        <v>692</v>
      </c>
      <c r="F28" s="6"/>
    </row>
    <row r="29" spans="1:18">
      <c r="A29" s="231" t="s">
        <v>51</v>
      </c>
      <c r="B29" s="33">
        <f>IF(ISERROR(TER_gezond_ele_kWh/1000),0,TER_gezond_ele_kWh/1000)</f>
        <v>121.968</v>
      </c>
      <c r="C29" s="39">
        <f>IF(ISERROR(B29*3.6/1000000/'E Balans VL '!Z10*100),0,B29*3.6/1000000/'E Balans VL '!Z10*100)</f>
        <v>1.3742644663819427E-2</v>
      </c>
      <c r="D29" s="237" t="s">
        <v>692</v>
      </c>
      <c r="F29" s="6"/>
    </row>
    <row r="30" spans="1:18">
      <c r="A30" s="231" t="s">
        <v>50</v>
      </c>
      <c r="B30" s="33">
        <f>IF(ISERROR(TER_ander_ele_kWh/1000),0,TER_ander_ele_kWh/1000)</f>
        <v>726.82799999999997</v>
      </c>
      <c r="C30" s="39">
        <f>IF(ISERROR(B30*3.6/1000000/'E Balans VL '!Z14*100),0,B30*3.6/1000000/'E Balans VL '!Z14*100)</f>
        <v>5.496875918365584E-2</v>
      </c>
      <c r="D30" s="237" t="s">
        <v>692</v>
      </c>
      <c r="F30" s="6"/>
    </row>
    <row r="31" spans="1:18">
      <c r="A31" s="231" t="s">
        <v>55</v>
      </c>
      <c r="B31" s="33">
        <f>IF(ISERROR(TER_onderwijs_ele_kWh/1000),0,TER_onderwijs_ele_kWh/1000)</f>
        <v>54.774000000000001</v>
      </c>
      <c r="C31" s="39">
        <f>IF(ISERROR(B31*3.6/1000000/'E Balans VL '!Z11*100),0,B31*3.6/1000000/'E Balans VL '!Z11*100)</f>
        <v>1.1369810876177057E-2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21332.173999999999</v>
      </c>
      <c r="C5" s="17">
        <f>IF(ISERROR('Eigen informatie GS &amp; warmtenet'!B59),0,'Eigen informatie GS &amp; warmtenet'!B59)</f>
        <v>0</v>
      </c>
      <c r="D5" s="30">
        <f>SUM(D6:D15)</f>
        <v>46684.107734000005</v>
      </c>
      <c r="E5" s="17">
        <f>SUM(E6:E15)</f>
        <v>1202.8869070753606</v>
      </c>
      <c r="F5" s="17">
        <f>SUM(F6:F15)</f>
        <v>5520.1785445678051</v>
      </c>
      <c r="G5" s="18"/>
      <c r="H5" s="17"/>
      <c r="I5" s="17"/>
      <c r="J5" s="17">
        <f>SUM(J6:J15)</f>
        <v>87.867491965726373</v>
      </c>
      <c r="K5" s="17"/>
      <c r="L5" s="17"/>
      <c r="M5" s="17"/>
      <c r="N5" s="17">
        <f>SUM(N6:N15)</f>
        <v>4059.8783210887732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530.56399999999996</v>
      </c>
      <c r="C8" s="33"/>
      <c r="D8" s="37">
        <f>IF( ISERROR(IND_metaal_Gas_kWH/1000),0,IND_metaal_Gas_kWH/1000)*0.902</f>
        <v>0</v>
      </c>
      <c r="E8" s="33">
        <f>C30*'E Balans VL '!I18/100/3.6*1000000</f>
        <v>13.278159985782221</v>
      </c>
      <c r="F8" s="33">
        <f>C30*'E Balans VL '!L18/100/3.6*1000000+C30*'E Balans VL '!N18/100/3.6*1000000</f>
        <v>166.28139676106269</v>
      </c>
      <c r="G8" s="34"/>
      <c r="H8" s="33"/>
      <c r="I8" s="33"/>
      <c r="J8" s="40">
        <f>C30*'E Balans VL '!D18/100/3.6*1000000+C30*'E Balans VL '!E18/100/3.6*1000000</f>
        <v>0</v>
      </c>
      <c r="K8" s="33"/>
      <c r="L8" s="33"/>
      <c r="M8" s="33"/>
      <c r="N8" s="33">
        <f>C30*'E Balans VL '!Y18/100/3.6*1000000</f>
        <v>13.329144613649541</v>
      </c>
      <c r="O8" s="33"/>
      <c r="P8" s="33"/>
      <c r="R8" s="32"/>
    </row>
    <row r="9" spans="1:18">
      <c r="A9" s="6" t="s">
        <v>33</v>
      </c>
      <c r="B9" s="37">
        <f t="shared" si="0"/>
        <v>615.47799999999995</v>
      </c>
      <c r="C9" s="33"/>
      <c r="D9" s="37">
        <f>IF( ISERROR(IND_andere_gas_kWh/1000),0,IND_andere_gas_kWh/1000)*0.902</f>
        <v>616.11741400000005</v>
      </c>
      <c r="E9" s="33">
        <f>C31*'E Balans VL '!I19/100/3.6*1000000</f>
        <v>169.23120613561295</v>
      </c>
      <c r="F9" s="33">
        <f>C31*'E Balans VL '!L19/100/3.6*1000000+C31*'E Balans VL '!N19/100/3.6*1000000</f>
        <v>485.10376486162323</v>
      </c>
      <c r="G9" s="34"/>
      <c r="H9" s="33"/>
      <c r="I9" s="33"/>
      <c r="J9" s="40">
        <f>C31*'E Balans VL '!D19/100/3.6*1000000+C31*'E Balans VL '!E19/100/3.6*1000000</f>
        <v>0</v>
      </c>
      <c r="K9" s="33"/>
      <c r="L9" s="33"/>
      <c r="M9" s="33"/>
      <c r="N9" s="33">
        <f>C31*'E Balans VL '!Y19/100/3.6*1000000</f>
        <v>199.24647450062483</v>
      </c>
      <c r="O9" s="33"/>
      <c r="P9" s="33"/>
      <c r="R9" s="32"/>
    </row>
    <row r="10" spans="1:18">
      <c r="A10" s="6" t="s">
        <v>41</v>
      </c>
      <c r="B10" s="37">
        <f t="shared" si="0"/>
        <v>161.11099999999999</v>
      </c>
      <c r="C10" s="33"/>
      <c r="D10" s="37">
        <f>IF( ISERROR(IND_voed_gas_kWh/1000),0,IND_voed_gas_kWh/1000)*0.902</f>
        <v>108.117328</v>
      </c>
      <c r="E10" s="33">
        <f>C32*'E Balans VL '!I20/100/3.6*1000000</f>
        <v>1.642437888443653</v>
      </c>
      <c r="F10" s="33">
        <f>C32*'E Balans VL '!L20/100/3.6*1000000+C32*'E Balans VL '!N20/100/3.6*1000000</f>
        <v>304.3376713479646</v>
      </c>
      <c r="G10" s="34"/>
      <c r="H10" s="33"/>
      <c r="I10" s="33"/>
      <c r="J10" s="40">
        <f>C32*'E Balans VL '!D20/100/3.6*1000000+C32*'E Balans VL '!E20/100/3.6*1000000</f>
        <v>3.8559133875786515</v>
      </c>
      <c r="K10" s="33"/>
      <c r="L10" s="33"/>
      <c r="M10" s="33"/>
      <c r="N10" s="33">
        <f>C32*'E Balans VL '!Y20/100/3.6*1000000</f>
        <v>84.924054711587218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332.78207600000002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20025.021000000001</v>
      </c>
      <c r="C15" s="33"/>
      <c r="D15" s="37">
        <f>IF( ISERROR(IND_rest_gas_kWh/1000),0,IND_rest_gas_kWh/1000)*0.902</f>
        <v>45627.090916000001</v>
      </c>
      <c r="E15" s="33">
        <f>C37*'E Balans VL '!I15/100/3.6*1000000</f>
        <v>1018.7351030655218</v>
      </c>
      <c r="F15" s="33">
        <f>C37*'E Balans VL '!L15/100/3.6*1000000+C37*'E Balans VL '!N15/100/3.6*1000000</f>
        <v>4564.4557115971547</v>
      </c>
      <c r="G15" s="34"/>
      <c r="H15" s="33"/>
      <c r="I15" s="33"/>
      <c r="J15" s="40">
        <f>C37*'E Balans VL '!D15/100/3.6*1000000+C37*'E Balans VL '!E15/100/3.6*1000000</f>
        <v>84.01157857814772</v>
      </c>
      <c r="K15" s="33"/>
      <c r="L15" s="33"/>
      <c r="M15" s="33"/>
      <c r="N15" s="33">
        <f>C37*'E Balans VL '!Y15/100/3.6*1000000</f>
        <v>3762.3786472629117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21332.173999999999</v>
      </c>
      <c r="C18" s="21">
        <f>C5+C16</f>
        <v>0</v>
      </c>
      <c r="D18" s="21">
        <f>MAX((D5+D16),0)</f>
        <v>46684.107734000005</v>
      </c>
      <c r="E18" s="21">
        <f>MAX((E5+E16),0)</f>
        <v>1202.8869070753606</v>
      </c>
      <c r="F18" s="21">
        <f>MAX((F5+F16),0)</f>
        <v>5520.1785445678051</v>
      </c>
      <c r="G18" s="21"/>
      <c r="H18" s="21"/>
      <c r="I18" s="21"/>
      <c r="J18" s="21">
        <f>MAX((J5+J16),0)</f>
        <v>87.867491965726373</v>
      </c>
      <c r="K18" s="21"/>
      <c r="L18" s="21">
        <f>MAX((L5+L16),0)</f>
        <v>0</v>
      </c>
      <c r="M18" s="21"/>
      <c r="N18" s="21">
        <f>MAX((N5+N16),0)</f>
        <v>4059.8783210887732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0.21626129036363673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4613.3234755016219</v>
      </c>
      <c r="C22" s="23">
        <f ca="1">C18*C20</f>
        <v>0</v>
      </c>
      <c r="D22" s="23">
        <f>D18*D20</f>
        <v>9430.1897622680008</v>
      </c>
      <c r="E22" s="23">
        <f>E18*E20</f>
        <v>273.05532790610687</v>
      </c>
      <c r="F22" s="23">
        <f>F18*F20</f>
        <v>1473.887671399604</v>
      </c>
      <c r="G22" s="23"/>
      <c r="H22" s="23"/>
      <c r="I22" s="23"/>
      <c r="J22" s="23">
        <f>J18*J20</f>
        <v>31.105092155867133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530.56399999999996</v>
      </c>
      <c r="C30" s="39">
        <f>IF(ISERROR(B30*3.6/1000000/'E Balans VL '!Z18*100),0,B30*3.6/1000000/'E Balans VL '!Z18*100)</f>
        <v>7.4261278759369942E-2</v>
      </c>
      <c r="D30" s="237" t="s">
        <v>692</v>
      </c>
    </row>
    <row r="31" spans="1:18">
      <c r="A31" s="6" t="s">
        <v>33</v>
      </c>
      <c r="B31" s="37">
        <f>IF( ISERROR(IND_ander_ele_kWh/1000),0,IND_ander_ele_kWh/1000)</f>
        <v>615.47799999999995</v>
      </c>
      <c r="C31" s="39">
        <f>IF(ISERROR(B31*3.6/1000000/'E Balans VL '!Z19*100),0,B31*3.6/1000000/'E Balans VL '!Z19*100)</f>
        <v>2.6939372215283024E-2</v>
      </c>
      <c r="D31" s="237" t="s">
        <v>692</v>
      </c>
    </row>
    <row r="32" spans="1:18">
      <c r="A32" s="171" t="s">
        <v>41</v>
      </c>
      <c r="B32" s="37">
        <f>IF( ISERROR(IND_voed_ele_kWh/1000),0,IND_voed_ele_kWh/1000)</f>
        <v>161.11099999999999</v>
      </c>
      <c r="C32" s="39">
        <f>IF(ISERROR(B32*3.6/1000000/'E Balans VL '!Z20*100),0,B32*3.6/1000000/'E Balans VL '!Z20*100)</f>
        <v>3.9885733367592782E-2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20025.021000000001</v>
      </c>
      <c r="C37" s="39">
        <f>IF(ISERROR(B37*3.6/1000000/'E Balans VL '!Z15*100),0,B37*3.6/1000000/'E Balans VL '!Z15*100)</f>
        <v>0.14848210228632591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37.021999999999998</v>
      </c>
      <c r="C5" s="17">
        <f>'Eigen informatie GS &amp; warmtenet'!B60</f>
        <v>0</v>
      </c>
      <c r="D5" s="30">
        <f>IF(ISERROR(SUM(LB_lb_gas_kWh,LB_rest_gas_kWh)/1000),0,SUM(LB_lb_gas_kWh,LB_rest_gas_kWh)/1000)*0.902</f>
        <v>39.741217999999996</v>
      </c>
      <c r="E5" s="17">
        <f>B17*'E Balans VL '!I25/3.6*1000000/100</f>
        <v>0.34291327023896334</v>
      </c>
      <c r="F5" s="17">
        <f>B17*('E Balans VL '!L25/3.6*1000000+'E Balans VL '!N25/3.6*1000000)/100</f>
        <v>93.931866683762422</v>
      </c>
      <c r="G5" s="18"/>
      <c r="H5" s="17"/>
      <c r="I5" s="17"/>
      <c r="J5" s="17">
        <f>('E Balans VL '!D25+'E Balans VL '!E25)/3.6*1000000*landbouw!B17/100</f>
        <v>5.6758857667258678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37.021999999999998</v>
      </c>
      <c r="C8" s="21">
        <f>C5+C6</f>
        <v>0</v>
      </c>
      <c r="D8" s="21">
        <f>MAX((D5+D6),0)</f>
        <v>39.741217999999996</v>
      </c>
      <c r="E8" s="21">
        <f>MAX((E5+E6),0)</f>
        <v>0.34291327023896334</v>
      </c>
      <c r="F8" s="21">
        <f>MAX((F5+F6),0)</f>
        <v>93.931866683762422</v>
      </c>
      <c r="G8" s="21"/>
      <c r="H8" s="21"/>
      <c r="I8" s="21"/>
      <c r="J8" s="21">
        <f>MAX((J5+J6),0)</f>
        <v>5.6758857667258678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0.21626129036363673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8.0064254918425579</v>
      </c>
      <c r="C12" s="23">
        <f ca="1">C8*C10</f>
        <v>0</v>
      </c>
      <c r="D12" s="23">
        <f>D8*D10</f>
        <v>8.0277260359999989</v>
      </c>
      <c r="E12" s="23">
        <f>E8*E10</f>
        <v>7.7841312344244684E-2</v>
      </c>
      <c r="F12" s="23">
        <f>F8*F10</f>
        <v>25.079808404564567</v>
      </c>
      <c r="G12" s="23"/>
      <c r="H12" s="23"/>
      <c r="I12" s="23"/>
      <c r="J12" s="23">
        <f>J8*J10</f>
        <v>2.0092635614209571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5.2637433979131204E-3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3.3098935737946887E-2</v>
      </c>
      <c r="C29" s="247">
        <f>B29*'GWP N2O_CH4'!B4</f>
        <v>10.260670078763535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7.4235081717977952E-6</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1.6309006092628476E-5</v>
      </c>
      <c r="C5" s="464" t="s">
        <v>211</v>
      </c>
      <c r="D5" s="449">
        <f>SUM(D6:D11)</f>
        <v>3.9041000721653309E-5</v>
      </c>
      <c r="E5" s="449">
        <f>SUM(E6:E11)</f>
        <v>2.5269066859307437E-4</v>
      </c>
      <c r="F5" s="462" t="s">
        <v>211</v>
      </c>
      <c r="G5" s="449">
        <f>SUM(G6:G11)</f>
        <v>7.475511123809149E-2</v>
      </c>
      <c r="H5" s="449">
        <f>SUM(H6:H11)</f>
        <v>1.4855676889291503E-2</v>
      </c>
      <c r="I5" s="464" t="s">
        <v>211</v>
      </c>
      <c r="J5" s="464" t="s">
        <v>211</v>
      </c>
      <c r="K5" s="464" t="s">
        <v>211</v>
      </c>
      <c r="L5" s="464" t="s">
        <v>211</v>
      </c>
      <c r="M5" s="449">
        <f>SUM(M6:M11)</f>
        <v>4.7815570039296063E-3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1.5568625977034521E-5</v>
      </c>
      <c r="C6" s="450"/>
      <c r="D6" s="893">
        <f>vkm_2011_GW_PW*SUMIFS(TableVerdeelsleutelVkm[CNG],TableVerdeelsleutelVkm[Voertuigtype],"Lichte voertuigen")*SUMIFS(TableECFTransport[EnergieConsumptieFactor (PJ per km)],TableECFTransport[Index],CONCATENATE($A6,"_CNG_CNG"))</f>
        <v>3.6011945919597558E-5</v>
      </c>
      <c r="E6" s="893">
        <f>vkm_2011_GW_PW*SUMIFS(TableVerdeelsleutelVkm[LPG],TableVerdeelsleutelVkm[Voertuigtype],"Lichte voertuigen")*SUMIFS(TableECFTransport[EnergieConsumptieFactor (PJ per km)],TableECFTransport[Index],CONCATENATE($A6,"_LPG_LPG"))</f>
        <v>2.3448804482342707E-4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4.8713156506220302E-2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1.3731232131647193E-2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3.2405400628531204E-3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2.1145802889053492E-2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7.2314805623870345E-6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1.2234045569819202E-3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7.4038011559395465E-7</v>
      </c>
      <c r="C8" s="450"/>
      <c r="D8" s="452">
        <f>vkm_2011_NGW_PW*SUMIFS(TableVerdeelsleutelVkm[CNG],TableVerdeelsleutelVkm[Voertuigtype],"Lichte voertuigen")*SUMIFS(TableECFTransport[EnergieConsumptieFactor (PJ per km)],TableECFTransport[Index],CONCATENATE($A8,"_CNG_CNG"))</f>
        <v>3.0290548020557518E-6</v>
      </c>
      <c r="E8" s="452">
        <f>vkm_2011_NGW_PW*SUMIFS(TableVerdeelsleutelVkm[LPG],TableVerdeelsleutelVkm[Voertuigtype],"Lichte voertuigen")*SUMIFS(TableECFTransport[EnergieConsumptieFactor (PJ per km)],TableECFTransport[Index],CONCATENATE($A8,"_LPG_LPG"))</f>
        <v>1.8202623769647289E-5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3.5349227952366793E-3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1.1167727992186544E-3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2.388583386913342E-4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1.3612290475810182E-3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4.4047786326920424E-7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7.8754045403232089E-5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4.5302794701745768</v>
      </c>
      <c r="C14" s="21"/>
      <c r="D14" s="21">
        <f t="shared" ref="D14:M14" si="0">((D5)*10^9/3600)+D12</f>
        <v>10.844722422681476</v>
      </c>
      <c r="E14" s="21">
        <f t="shared" si="0"/>
        <v>70.19185238696511</v>
      </c>
      <c r="F14" s="21"/>
      <c r="G14" s="21">
        <f t="shared" si="0"/>
        <v>20765.308677247634</v>
      </c>
      <c r="H14" s="21">
        <f t="shared" si="0"/>
        <v>4126.5769136920844</v>
      </c>
      <c r="I14" s="21"/>
      <c r="J14" s="21"/>
      <c r="K14" s="21"/>
      <c r="L14" s="21"/>
      <c r="M14" s="21">
        <f t="shared" si="0"/>
        <v>1328.2102788693351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0.21626129036363673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0.97972408392784649</v>
      </c>
      <c r="C18" s="23"/>
      <c r="D18" s="23">
        <f t="shared" ref="D18:M18" si="1">D14*D16</f>
        <v>2.1906339293816584</v>
      </c>
      <c r="E18" s="23">
        <f t="shared" si="1"/>
        <v>15.93355049184108</v>
      </c>
      <c r="F18" s="23"/>
      <c r="G18" s="23">
        <f t="shared" si="1"/>
        <v>5544.3374168251185</v>
      </c>
      <c r="H18" s="23">
        <f t="shared" si="1"/>
        <v>1027.517651509329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3.9208601758745033E-3</v>
      </c>
      <c r="H50" s="321">
        <f t="shared" si="2"/>
        <v>0</v>
      </c>
      <c r="I50" s="321">
        <f t="shared" si="2"/>
        <v>0</v>
      </c>
      <c r="J50" s="321">
        <f t="shared" si="2"/>
        <v>0</v>
      </c>
      <c r="K50" s="321">
        <f t="shared" si="2"/>
        <v>0</v>
      </c>
      <c r="L50" s="321">
        <f t="shared" si="2"/>
        <v>0</v>
      </c>
      <c r="M50" s="321">
        <f t="shared" si="2"/>
        <v>2.235952259052686E-4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3.9208601758745033E-3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2.235952259052686E-4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1089.1278266318066</v>
      </c>
      <c r="H54" s="21">
        <f t="shared" si="3"/>
        <v>0</v>
      </c>
      <c r="I54" s="21">
        <f t="shared" si="3"/>
        <v>0</v>
      </c>
      <c r="J54" s="21">
        <f t="shared" si="3"/>
        <v>0</v>
      </c>
      <c r="K54" s="21">
        <f t="shared" si="3"/>
        <v>0</v>
      </c>
      <c r="L54" s="21">
        <f t="shared" si="3"/>
        <v>0</v>
      </c>
      <c r="M54" s="21">
        <f t="shared" si="3"/>
        <v>62.10978497368572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0.21626129036363673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290.79712971069239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9115.3217801047122</v>
      </c>
      <c r="D10" s="1025">
        <f ca="1">tertiair!C16</f>
        <v>0</v>
      </c>
      <c r="E10" s="1025">
        <f ca="1">tertiair!D16</f>
        <v>14799.929408</v>
      </c>
      <c r="F10" s="1025">
        <f>tertiair!E16</f>
        <v>102.84569267023682</v>
      </c>
      <c r="G10" s="1025">
        <f ca="1">tertiair!F16</f>
        <v>1250.4416897887304</v>
      </c>
      <c r="H10" s="1025">
        <f>tertiair!G16</f>
        <v>0</v>
      </c>
      <c r="I10" s="1025">
        <f>tertiair!H16</f>
        <v>0</v>
      </c>
      <c r="J10" s="1025">
        <f>tertiair!I16</f>
        <v>0</v>
      </c>
      <c r="K10" s="1025">
        <f>tertiair!J16</f>
        <v>0</v>
      </c>
      <c r="L10" s="1025">
        <f>tertiair!K16</f>
        <v>0</v>
      </c>
      <c r="M10" s="1025">
        <f ca="1">tertiair!L16</f>
        <v>0</v>
      </c>
      <c r="N10" s="1025">
        <f>tertiair!M16</f>
        <v>0</v>
      </c>
      <c r="O10" s="1025">
        <f ca="1">tertiair!N16</f>
        <v>571.46567014750849</v>
      </c>
      <c r="P10" s="1025">
        <f>tertiair!O16</f>
        <v>1.5633333333333335</v>
      </c>
      <c r="Q10" s="1026">
        <f>tertiair!P16</f>
        <v>19.066666666666666</v>
      </c>
      <c r="R10" s="701">
        <f ca="1">SUM(C10:Q10)</f>
        <v>25860.634240711184</v>
      </c>
      <c r="S10" s="67"/>
    </row>
    <row r="11" spans="1:19" s="474" customFormat="1">
      <c r="A11" s="810" t="s">
        <v>225</v>
      </c>
      <c r="B11" s="815"/>
      <c r="C11" s="1025">
        <f>huishoudens!B8</f>
        <v>15978.984103709043</v>
      </c>
      <c r="D11" s="1025">
        <f>huishoudens!C8</f>
        <v>0</v>
      </c>
      <c r="E11" s="1025">
        <f>huishoudens!D8</f>
        <v>56301.096434000006</v>
      </c>
      <c r="F11" s="1025">
        <f>huishoudens!E8</f>
        <v>156.61768480340942</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2821.1916899799139</v>
      </c>
      <c r="P11" s="1025">
        <f>huishoudens!O8</f>
        <v>45.336666666666673</v>
      </c>
      <c r="Q11" s="1026">
        <f>huishoudens!P8</f>
        <v>76.266666666666666</v>
      </c>
      <c r="R11" s="701">
        <f>SUM(C11:Q11)</f>
        <v>75379.493245825695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21332.173999999999</v>
      </c>
      <c r="D13" s="1025">
        <f>industrie!C18</f>
        <v>0</v>
      </c>
      <c r="E13" s="1025">
        <f>industrie!D18</f>
        <v>46684.107734000005</v>
      </c>
      <c r="F13" s="1025">
        <f>industrie!E18</f>
        <v>1202.8869070753606</v>
      </c>
      <c r="G13" s="1025">
        <f>industrie!F18</f>
        <v>5520.1785445678051</v>
      </c>
      <c r="H13" s="1025">
        <f>industrie!G18</f>
        <v>0</v>
      </c>
      <c r="I13" s="1025">
        <f>industrie!H18</f>
        <v>0</v>
      </c>
      <c r="J13" s="1025">
        <f>industrie!I18</f>
        <v>0</v>
      </c>
      <c r="K13" s="1025">
        <f>industrie!J18</f>
        <v>87.867491965726373</v>
      </c>
      <c r="L13" s="1025">
        <f>industrie!K18</f>
        <v>0</v>
      </c>
      <c r="M13" s="1025">
        <f>industrie!L18</f>
        <v>0</v>
      </c>
      <c r="N13" s="1025">
        <f>industrie!M18</f>
        <v>0</v>
      </c>
      <c r="O13" s="1025">
        <f>industrie!N18</f>
        <v>4059.8783210887732</v>
      </c>
      <c r="P13" s="1025">
        <f>industrie!O18</f>
        <v>0</v>
      </c>
      <c r="Q13" s="1026">
        <f>industrie!P18</f>
        <v>0</v>
      </c>
      <c r="R13" s="701">
        <f>SUM(C13:Q13)</f>
        <v>78887.09299869767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46426.47988381375</v>
      </c>
      <c r="D16" s="733">
        <f t="shared" ref="D16:R16" ca="1" si="0">SUM(D9:D15)</f>
        <v>0</v>
      </c>
      <c r="E16" s="733">
        <f t="shared" ca="1" si="0"/>
        <v>117785.13357600001</v>
      </c>
      <c r="F16" s="733">
        <f t="shared" si="0"/>
        <v>1462.3502845490068</v>
      </c>
      <c r="G16" s="733">
        <f t="shared" ca="1" si="0"/>
        <v>6770.6202343565355</v>
      </c>
      <c r="H16" s="733">
        <f t="shared" si="0"/>
        <v>0</v>
      </c>
      <c r="I16" s="733">
        <f t="shared" si="0"/>
        <v>0</v>
      </c>
      <c r="J16" s="733">
        <f t="shared" si="0"/>
        <v>0</v>
      </c>
      <c r="K16" s="733">
        <f t="shared" si="0"/>
        <v>87.867491965726373</v>
      </c>
      <c r="L16" s="733">
        <f t="shared" si="0"/>
        <v>0</v>
      </c>
      <c r="M16" s="733">
        <f t="shared" ca="1" si="0"/>
        <v>0</v>
      </c>
      <c r="N16" s="733">
        <f t="shared" si="0"/>
        <v>0</v>
      </c>
      <c r="O16" s="733">
        <f t="shared" ca="1" si="0"/>
        <v>7452.5356812161954</v>
      </c>
      <c r="P16" s="733">
        <f t="shared" si="0"/>
        <v>46.900000000000006</v>
      </c>
      <c r="Q16" s="733">
        <f t="shared" si="0"/>
        <v>95.333333333333329</v>
      </c>
      <c r="R16" s="733">
        <f t="shared" ca="1" si="0"/>
        <v>180127.22048523455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1089.1278266318066</v>
      </c>
      <c r="I19" s="1025">
        <f>transport!H54</f>
        <v>0</v>
      </c>
      <c r="J19" s="1025">
        <f>transport!I54</f>
        <v>0</v>
      </c>
      <c r="K19" s="1025">
        <f>transport!J54</f>
        <v>0</v>
      </c>
      <c r="L19" s="1025">
        <f>transport!K54</f>
        <v>0</v>
      </c>
      <c r="M19" s="1025">
        <f>transport!L54</f>
        <v>0</v>
      </c>
      <c r="N19" s="1025">
        <f>transport!M54</f>
        <v>62.10978497368572</v>
      </c>
      <c r="O19" s="1025">
        <f>transport!N54</f>
        <v>0</v>
      </c>
      <c r="P19" s="1025">
        <f>transport!O54</f>
        <v>0</v>
      </c>
      <c r="Q19" s="1026">
        <f>transport!P54</f>
        <v>0</v>
      </c>
      <c r="R19" s="701">
        <f>SUM(C19:Q19)</f>
        <v>1151.2376116054922</v>
      </c>
      <c r="S19" s="67"/>
    </row>
    <row r="20" spans="1:19" s="474" customFormat="1">
      <c r="A20" s="810" t="s">
        <v>307</v>
      </c>
      <c r="B20" s="815"/>
      <c r="C20" s="1025">
        <f>transport!B14</f>
        <v>4.5302794701745768</v>
      </c>
      <c r="D20" s="1025">
        <f>transport!C14</f>
        <v>0</v>
      </c>
      <c r="E20" s="1025">
        <f>transport!D14</f>
        <v>10.844722422681476</v>
      </c>
      <c r="F20" s="1025">
        <f>transport!E14</f>
        <v>70.19185238696511</v>
      </c>
      <c r="G20" s="1025">
        <f>transport!F14</f>
        <v>0</v>
      </c>
      <c r="H20" s="1025">
        <f>transport!G14</f>
        <v>20765.308677247634</v>
      </c>
      <c r="I20" s="1025">
        <f>transport!H14</f>
        <v>4126.5769136920844</v>
      </c>
      <c r="J20" s="1025">
        <f>transport!I14</f>
        <v>0</v>
      </c>
      <c r="K20" s="1025">
        <f>transport!J14</f>
        <v>0</v>
      </c>
      <c r="L20" s="1025">
        <f>transport!K14</f>
        <v>0</v>
      </c>
      <c r="M20" s="1025">
        <f>transport!L14</f>
        <v>0</v>
      </c>
      <c r="N20" s="1025">
        <f>transport!M14</f>
        <v>1328.2102788693351</v>
      </c>
      <c r="O20" s="1025">
        <f>transport!N14</f>
        <v>0</v>
      </c>
      <c r="P20" s="1025">
        <f>transport!O14</f>
        <v>0</v>
      </c>
      <c r="Q20" s="1026">
        <f>transport!P14</f>
        <v>0</v>
      </c>
      <c r="R20" s="701">
        <f>SUM(C20:Q20)</f>
        <v>26305.662724088874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4.5302794701745768</v>
      </c>
      <c r="D22" s="813">
        <f t="shared" ref="D22:R22" si="1">SUM(D18:D21)</f>
        <v>0</v>
      </c>
      <c r="E22" s="813">
        <f t="shared" si="1"/>
        <v>10.844722422681476</v>
      </c>
      <c r="F22" s="813">
        <f t="shared" si="1"/>
        <v>70.19185238696511</v>
      </c>
      <c r="G22" s="813">
        <f t="shared" si="1"/>
        <v>0</v>
      </c>
      <c r="H22" s="813">
        <f t="shared" si="1"/>
        <v>21854.436503879442</v>
      </c>
      <c r="I22" s="813">
        <f t="shared" si="1"/>
        <v>4126.5769136920844</v>
      </c>
      <c r="J22" s="813">
        <f t="shared" si="1"/>
        <v>0</v>
      </c>
      <c r="K22" s="813">
        <f t="shared" si="1"/>
        <v>0</v>
      </c>
      <c r="L22" s="813">
        <f t="shared" si="1"/>
        <v>0</v>
      </c>
      <c r="M22" s="813">
        <f t="shared" si="1"/>
        <v>0</v>
      </c>
      <c r="N22" s="813">
        <f t="shared" si="1"/>
        <v>1390.3200638430208</v>
      </c>
      <c r="O22" s="813">
        <f t="shared" si="1"/>
        <v>0</v>
      </c>
      <c r="P22" s="813">
        <f t="shared" si="1"/>
        <v>0</v>
      </c>
      <c r="Q22" s="813">
        <f t="shared" si="1"/>
        <v>0</v>
      </c>
      <c r="R22" s="813">
        <f t="shared" si="1"/>
        <v>27456.900335694365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37.021999999999998</v>
      </c>
      <c r="D24" s="1025">
        <f>+landbouw!C8</f>
        <v>0</v>
      </c>
      <c r="E24" s="1025">
        <f>+landbouw!D8</f>
        <v>39.741217999999996</v>
      </c>
      <c r="F24" s="1025">
        <f>+landbouw!E8</f>
        <v>0.34291327023896334</v>
      </c>
      <c r="G24" s="1025">
        <f>+landbouw!F8</f>
        <v>93.931866683762422</v>
      </c>
      <c r="H24" s="1025">
        <f>+landbouw!G8</f>
        <v>0</v>
      </c>
      <c r="I24" s="1025">
        <f>+landbouw!H8</f>
        <v>0</v>
      </c>
      <c r="J24" s="1025">
        <f>+landbouw!I8</f>
        <v>0</v>
      </c>
      <c r="K24" s="1025">
        <f>+landbouw!J8</f>
        <v>5.6758857667258678</v>
      </c>
      <c r="L24" s="1025">
        <f>+landbouw!K8</f>
        <v>0</v>
      </c>
      <c r="M24" s="1025">
        <f>+landbouw!L8</f>
        <v>0</v>
      </c>
      <c r="N24" s="1025">
        <f>+landbouw!M8</f>
        <v>0</v>
      </c>
      <c r="O24" s="1025">
        <f>+landbouw!N8</f>
        <v>0</v>
      </c>
      <c r="P24" s="1025">
        <f>+landbouw!O8</f>
        <v>0</v>
      </c>
      <c r="Q24" s="1026">
        <f>+landbouw!P8</f>
        <v>0</v>
      </c>
      <c r="R24" s="701">
        <f>SUM(C24:Q24)</f>
        <v>176.71388372072724</v>
      </c>
      <c r="S24" s="67"/>
    </row>
    <row r="25" spans="1:19" s="474" customFormat="1" ht="15" thickBot="1">
      <c r="A25" s="832" t="s">
        <v>864</v>
      </c>
      <c r="B25" s="1028"/>
      <c r="C25" s="1029">
        <f>IF(Onbekend_ele_kWh="---",0,Onbekend_ele_kWh)/1000+IF(REST_rest_ele_kWh="---",0,REST_rest_ele_kWh)/1000</f>
        <v>361.23</v>
      </c>
      <c r="D25" s="1029"/>
      <c r="E25" s="1029">
        <f>IF(onbekend_gas_kWh="---",0,onbekend_gas_kWh)/1000+IF(REST_rest_gas_kWh="---",0,REST_rest_gas_kWh)/1000</f>
        <v>613.54499999999996</v>
      </c>
      <c r="F25" s="1029"/>
      <c r="G25" s="1029"/>
      <c r="H25" s="1029"/>
      <c r="I25" s="1029"/>
      <c r="J25" s="1029"/>
      <c r="K25" s="1029"/>
      <c r="L25" s="1029"/>
      <c r="M25" s="1029"/>
      <c r="N25" s="1029"/>
      <c r="O25" s="1029"/>
      <c r="P25" s="1029"/>
      <c r="Q25" s="1030"/>
      <c r="R25" s="701">
        <f>SUM(C25:Q25)</f>
        <v>974.77499999999998</v>
      </c>
      <c r="S25" s="67"/>
    </row>
    <row r="26" spans="1:19" s="474" customFormat="1" ht="15.75" thickBot="1">
      <c r="A26" s="706" t="s">
        <v>865</v>
      </c>
      <c r="B26" s="818"/>
      <c r="C26" s="813">
        <f>SUM(C24:C25)</f>
        <v>398.25200000000001</v>
      </c>
      <c r="D26" s="813">
        <f t="shared" ref="D26:R26" si="2">SUM(D24:D25)</f>
        <v>0</v>
      </c>
      <c r="E26" s="813">
        <f t="shared" si="2"/>
        <v>653.28621799999996</v>
      </c>
      <c r="F26" s="813">
        <f t="shared" si="2"/>
        <v>0.34291327023896334</v>
      </c>
      <c r="G26" s="813">
        <f t="shared" si="2"/>
        <v>93.931866683762422</v>
      </c>
      <c r="H26" s="813">
        <f t="shared" si="2"/>
        <v>0</v>
      </c>
      <c r="I26" s="813">
        <f t="shared" si="2"/>
        <v>0</v>
      </c>
      <c r="J26" s="813">
        <f t="shared" si="2"/>
        <v>0</v>
      </c>
      <c r="K26" s="813">
        <f t="shared" si="2"/>
        <v>5.6758857667258678</v>
      </c>
      <c r="L26" s="813">
        <f t="shared" si="2"/>
        <v>0</v>
      </c>
      <c r="M26" s="813">
        <f t="shared" si="2"/>
        <v>0</v>
      </c>
      <c r="N26" s="813">
        <f t="shared" si="2"/>
        <v>0</v>
      </c>
      <c r="O26" s="813">
        <f t="shared" si="2"/>
        <v>0</v>
      </c>
      <c r="P26" s="813">
        <f t="shared" si="2"/>
        <v>0</v>
      </c>
      <c r="Q26" s="813">
        <f t="shared" si="2"/>
        <v>0</v>
      </c>
      <c r="R26" s="813">
        <f t="shared" si="2"/>
        <v>1151.4888837207272</v>
      </c>
      <c r="S26" s="67"/>
    </row>
    <row r="27" spans="1:19" s="474" customFormat="1" ht="17.25" thickTop="1" thickBot="1">
      <c r="A27" s="707" t="s">
        <v>116</v>
      </c>
      <c r="B27" s="806"/>
      <c r="C27" s="708">
        <f ca="1">C22+C16+C26</f>
        <v>46829.262163283922</v>
      </c>
      <c r="D27" s="708">
        <f t="shared" ref="D27:R27" ca="1" si="3">D22+D16+D26</f>
        <v>0</v>
      </c>
      <c r="E27" s="708">
        <f t="shared" ca="1" si="3"/>
        <v>118449.26451642269</v>
      </c>
      <c r="F27" s="708">
        <f t="shared" si="3"/>
        <v>1532.885050206211</v>
      </c>
      <c r="G27" s="708">
        <f t="shared" ca="1" si="3"/>
        <v>6864.5521010402981</v>
      </c>
      <c r="H27" s="708">
        <f t="shared" si="3"/>
        <v>21854.436503879442</v>
      </c>
      <c r="I27" s="708">
        <f t="shared" si="3"/>
        <v>4126.5769136920844</v>
      </c>
      <c r="J27" s="708">
        <f t="shared" si="3"/>
        <v>0</v>
      </c>
      <c r="K27" s="708">
        <f t="shared" si="3"/>
        <v>93.543377732452242</v>
      </c>
      <c r="L27" s="708">
        <f t="shared" si="3"/>
        <v>0</v>
      </c>
      <c r="M27" s="708">
        <f t="shared" ca="1" si="3"/>
        <v>0</v>
      </c>
      <c r="N27" s="708">
        <f t="shared" si="3"/>
        <v>1390.3200638430208</v>
      </c>
      <c r="O27" s="708">
        <f t="shared" ca="1" si="3"/>
        <v>7452.5356812161954</v>
      </c>
      <c r="P27" s="708">
        <f t="shared" si="3"/>
        <v>46.900000000000006</v>
      </c>
      <c r="Q27" s="708">
        <f t="shared" si="3"/>
        <v>95.333333333333329</v>
      </c>
      <c r="R27" s="708">
        <f t="shared" ca="1" si="3"/>
        <v>208735.60970464966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1971.291250245207</v>
      </c>
      <c r="D40" s="1025">
        <f ca="1">tertiair!C20</f>
        <v>0</v>
      </c>
      <c r="E40" s="1025">
        <f ca="1">tertiair!D20</f>
        <v>2989.5857404160001</v>
      </c>
      <c r="F40" s="1025">
        <f>tertiair!E20</f>
        <v>23.345972236143758</v>
      </c>
      <c r="G40" s="1025">
        <f ca="1">tertiair!F20</f>
        <v>333.86793117359105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5318.0908940709423</v>
      </c>
    </row>
    <row r="41" spans="1:18">
      <c r="A41" s="823" t="s">
        <v>225</v>
      </c>
      <c r="B41" s="830"/>
      <c r="C41" s="1025">
        <f ca="1">huishoudens!B12</f>
        <v>3455.6357209681569</v>
      </c>
      <c r="D41" s="1025">
        <f ca="1">huishoudens!C12</f>
        <v>0</v>
      </c>
      <c r="E41" s="1025">
        <f>huishoudens!D12</f>
        <v>11372.821479668002</v>
      </c>
      <c r="F41" s="1025">
        <f>huishoudens!E12</f>
        <v>35.552214450373938</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14864.009415086533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4613.3234755016219</v>
      </c>
      <c r="D43" s="1025">
        <f ca="1">industrie!C22</f>
        <v>0</v>
      </c>
      <c r="E43" s="1025">
        <f>industrie!D22</f>
        <v>9430.1897622680008</v>
      </c>
      <c r="F43" s="1025">
        <f>industrie!E22</f>
        <v>273.05532790610687</v>
      </c>
      <c r="G43" s="1025">
        <f>industrie!F22</f>
        <v>1473.887671399604</v>
      </c>
      <c r="H43" s="1025">
        <f>industrie!G22</f>
        <v>0</v>
      </c>
      <c r="I43" s="1025">
        <f>industrie!H22</f>
        <v>0</v>
      </c>
      <c r="J43" s="1025">
        <f>industrie!I22</f>
        <v>0</v>
      </c>
      <c r="K43" s="1025">
        <f>industrie!J22</f>
        <v>31.105092155867133</v>
      </c>
      <c r="L43" s="1025">
        <f>industrie!K22</f>
        <v>0</v>
      </c>
      <c r="M43" s="1025">
        <f>industrie!L22</f>
        <v>0</v>
      </c>
      <c r="N43" s="1025">
        <f>industrie!M22</f>
        <v>0</v>
      </c>
      <c r="O43" s="1025">
        <f>industrie!N22</f>
        <v>0</v>
      </c>
      <c r="P43" s="1025">
        <f>industrie!O22</f>
        <v>0</v>
      </c>
      <c r="Q43" s="775">
        <f>industrie!P22</f>
        <v>0</v>
      </c>
      <c r="R43" s="850">
        <f t="shared" ca="1" si="4"/>
        <v>15821.561329231201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10040.250446714985</v>
      </c>
      <c r="D46" s="733">
        <f t="shared" ref="D46:Q46" ca="1" si="5">SUM(D39:D45)</f>
        <v>0</v>
      </c>
      <c r="E46" s="733">
        <f t="shared" ca="1" si="5"/>
        <v>23792.596982352003</v>
      </c>
      <c r="F46" s="733">
        <f t="shared" si="5"/>
        <v>331.95351459262457</v>
      </c>
      <c r="G46" s="733">
        <f t="shared" ca="1" si="5"/>
        <v>1807.7556025731951</v>
      </c>
      <c r="H46" s="733">
        <f t="shared" si="5"/>
        <v>0</v>
      </c>
      <c r="I46" s="733">
        <f t="shared" si="5"/>
        <v>0</v>
      </c>
      <c r="J46" s="733">
        <f t="shared" si="5"/>
        <v>0</v>
      </c>
      <c r="K46" s="733">
        <f t="shared" si="5"/>
        <v>31.105092155867133</v>
      </c>
      <c r="L46" s="733">
        <f t="shared" si="5"/>
        <v>0</v>
      </c>
      <c r="M46" s="733">
        <f t="shared" ca="1" si="5"/>
        <v>0</v>
      </c>
      <c r="N46" s="733">
        <f t="shared" si="5"/>
        <v>0</v>
      </c>
      <c r="O46" s="733">
        <f t="shared" ca="1" si="5"/>
        <v>0</v>
      </c>
      <c r="P46" s="733">
        <f t="shared" si="5"/>
        <v>0</v>
      </c>
      <c r="Q46" s="733">
        <f t="shared" si="5"/>
        <v>0</v>
      </c>
      <c r="R46" s="733">
        <f ca="1">SUM(R39:R45)</f>
        <v>36003.661638388672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290.79712971069239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290.79712971069239</v>
      </c>
    </row>
    <row r="50" spans="1:18">
      <c r="A50" s="826" t="s">
        <v>307</v>
      </c>
      <c r="B50" s="836"/>
      <c r="C50" s="704">
        <f ca="1">transport!B18</f>
        <v>0.97972408392784649</v>
      </c>
      <c r="D50" s="704">
        <f>transport!C18</f>
        <v>0</v>
      </c>
      <c r="E50" s="704">
        <f>transport!D18</f>
        <v>2.1906339293816584</v>
      </c>
      <c r="F50" s="704">
        <f>transport!E18</f>
        <v>15.93355049184108</v>
      </c>
      <c r="G50" s="704">
        <f>transport!F18</f>
        <v>0</v>
      </c>
      <c r="H50" s="704">
        <f>transport!G18</f>
        <v>5544.3374168251185</v>
      </c>
      <c r="I50" s="704">
        <f>transport!H18</f>
        <v>1027.517651509329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6590.9589768395981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0.97972408392784649</v>
      </c>
      <c r="D52" s="733">
        <f t="shared" ref="D52:Q52" ca="1" si="6">SUM(D48:D51)</f>
        <v>0</v>
      </c>
      <c r="E52" s="733">
        <f t="shared" si="6"/>
        <v>2.1906339293816584</v>
      </c>
      <c r="F52" s="733">
        <f t="shared" si="6"/>
        <v>15.93355049184108</v>
      </c>
      <c r="G52" s="733">
        <f t="shared" si="6"/>
        <v>0</v>
      </c>
      <c r="H52" s="733">
        <f t="shared" si="6"/>
        <v>5835.1345465358108</v>
      </c>
      <c r="I52" s="733">
        <f t="shared" si="6"/>
        <v>1027.517651509329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6881.7561065502905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8.0064254918425579</v>
      </c>
      <c r="D54" s="704">
        <f ca="1">+landbouw!C12</f>
        <v>0</v>
      </c>
      <c r="E54" s="704">
        <f>+landbouw!D12</f>
        <v>8.0277260359999989</v>
      </c>
      <c r="F54" s="704">
        <f>+landbouw!E12</f>
        <v>7.7841312344244684E-2</v>
      </c>
      <c r="G54" s="704">
        <f>+landbouw!F12</f>
        <v>25.079808404564567</v>
      </c>
      <c r="H54" s="704">
        <f>+landbouw!G12</f>
        <v>0</v>
      </c>
      <c r="I54" s="704">
        <f>+landbouw!H12</f>
        <v>0</v>
      </c>
      <c r="J54" s="704">
        <f>+landbouw!I12</f>
        <v>0</v>
      </c>
      <c r="K54" s="704">
        <f>+landbouw!J12</f>
        <v>2.0092635614209571</v>
      </c>
      <c r="L54" s="704">
        <f>+landbouw!K12</f>
        <v>0</v>
      </c>
      <c r="M54" s="704">
        <f>+landbouw!L12</f>
        <v>0</v>
      </c>
      <c r="N54" s="704">
        <f>+landbouw!M12</f>
        <v>0</v>
      </c>
      <c r="O54" s="704">
        <f>+landbouw!N12</f>
        <v>0</v>
      </c>
      <c r="P54" s="704">
        <f>+landbouw!O12</f>
        <v>0</v>
      </c>
      <c r="Q54" s="705">
        <f>+landbouw!P12</f>
        <v>0</v>
      </c>
      <c r="R54" s="732">
        <f ca="1">SUM(C54:Q54)</f>
        <v>43.201064806172326</v>
      </c>
    </row>
    <row r="55" spans="1:18" ht="15" thickBot="1">
      <c r="A55" s="826" t="s">
        <v>864</v>
      </c>
      <c r="B55" s="836"/>
      <c r="C55" s="704">
        <f ca="1">C25*'EF ele_warmte'!B12</f>
        <v>78.120065918056497</v>
      </c>
      <c r="D55" s="704"/>
      <c r="E55" s="704">
        <f>E25*EF_CO2_aardgas</f>
        <v>123.93608999999999</v>
      </c>
      <c r="F55" s="704"/>
      <c r="G55" s="704"/>
      <c r="H55" s="704"/>
      <c r="I55" s="704"/>
      <c r="J55" s="704"/>
      <c r="K55" s="704"/>
      <c r="L55" s="704"/>
      <c r="M55" s="704"/>
      <c r="N55" s="704"/>
      <c r="O55" s="704"/>
      <c r="P55" s="704"/>
      <c r="Q55" s="705"/>
      <c r="R55" s="732">
        <f ca="1">SUM(C55:Q55)</f>
        <v>202.0561559180565</v>
      </c>
    </row>
    <row r="56" spans="1:18" ht="15.75" thickBot="1">
      <c r="A56" s="824" t="s">
        <v>865</v>
      </c>
      <c r="B56" s="837"/>
      <c r="C56" s="733">
        <f ca="1">SUM(C54:C55)</f>
        <v>86.12649140989906</v>
      </c>
      <c r="D56" s="733">
        <f t="shared" ref="D56:Q56" ca="1" si="7">SUM(D54:D55)</f>
        <v>0</v>
      </c>
      <c r="E56" s="733">
        <f t="shared" si="7"/>
        <v>131.963816036</v>
      </c>
      <c r="F56" s="733">
        <f t="shared" si="7"/>
        <v>7.7841312344244684E-2</v>
      </c>
      <c r="G56" s="733">
        <f t="shared" si="7"/>
        <v>25.079808404564567</v>
      </c>
      <c r="H56" s="733">
        <f t="shared" si="7"/>
        <v>0</v>
      </c>
      <c r="I56" s="733">
        <f t="shared" si="7"/>
        <v>0</v>
      </c>
      <c r="J56" s="733">
        <f t="shared" si="7"/>
        <v>0</v>
      </c>
      <c r="K56" s="733">
        <f t="shared" si="7"/>
        <v>2.0092635614209571</v>
      </c>
      <c r="L56" s="733">
        <f t="shared" si="7"/>
        <v>0</v>
      </c>
      <c r="M56" s="733">
        <f t="shared" si="7"/>
        <v>0</v>
      </c>
      <c r="N56" s="733">
        <f t="shared" si="7"/>
        <v>0</v>
      </c>
      <c r="O56" s="733">
        <f t="shared" si="7"/>
        <v>0</v>
      </c>
      <c r="P56" s="733">
        <f t="shared" si="7"/>
        <v>0</v>
      </c>
      <c r="Q56" s="734">
        <f t="shared" si="7"/>
        <v>0</v>
      </c>
      <c r="R56" s="735">
        <f ca="1">SUM(R54:R55)</f>
        <v>245.25722072422883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10127.356662208811</v>
      </c>
      <c r="D61" s="741">
        <f t="shared" ref="D61:Q61" ca="1" si="8">D46+D52+D56</f>
        <v>0</v>
      </c>
      <c r="E61" s="741">
        <f t="shared" ca="1" si="8"/>
        <v>23926.751432317385</v>
      </c>
      <c r="F61" s="741">
        <f t="shared" si="8"/>
        <v>347.96490639680985</v>
      </c>
      <c r="G61" s="741">
        <f t="shared" ca="1" si="8"/>
        <v>1832.8354109777597</v>
      </c>
      <c r="H61" s="741">
        <f t="shared" si="8"/>
        <v>5835.1345465358108</v>
      </c>
      <c r="I61" s="741">
        <f t="shared" si="8"/>
        <v>1027.517651509329</v>
      </c>
      <c r="J61" s="741">
        <f t="shared" si="8"/>
        <v>0</v>
      </c>
      <c r="K61" s="741">
        <f t="shared" si="8"/>
        <v>33.114355717288092</v>
      </c>
      <c r="L61" s="741">
        <f t="shared" si="8"/>
        <v>0</v>
      </c>
      <c r="M61" s="741">
        <f t="shared" ca="1" si="8"/>
        <v>0</v>
      </c>
      <c r="N61" s="741">
        <f t="shared" si="8"/>
        <v>0</v>
      </c>
      <c r="O61" s="741">
        <f t="shared" ca="1" si="8"/>
        <v>0</v>
      </c>
      <c r="P61" s="741">
        <f t="shared" si="8"/>
        <v>0</v>
      </c>
      <c r="Q61" s="741">
        <f t="shared" si="8"/>
        <v>0</v>
      </c>
      <c r="R61" s="741">
        <f ca="1">R46+R52+R56</f>
        <v>43130.674965663187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0.21626129036363673</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1004.1188953707498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1004.1188953707498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1004.1188953707498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1004.1188953707498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15978.984103709043</v>
      </c>
      <c r="C4" s="478">
        <f>huishoudens!C8</f>
        <v>0</v>
      </c>
      <c r="D4" s="478">
        <f>huishoudens!D8</f>
        <v>56301.096434000006</v>
      </c>
      <c r="E4" s="478">
        <f>huishoudens!E8</f>
        <v>156.61768480340942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2821.1916899799139</v>
      </c>
      <c r="O4" s="478">
        <f>huishoudens!O8</f>
        <v>45.336666666666673</v>
      </c>
      <c r="P4" s="479">
        <f>huishoudens!P8</f>
        <v>76.266666666666666</v>
      </c>
      <c r="Q4" s="480">
        <f>SUM(B4:P4)</f>
        <v>75379.493245825695</v>
      </c>
    </row>
    <row r="5" spans="1:17">
      <c r="A5" s="477" t="s">
        <v>156</v>
      </c>
      <c r="B5" s="478">
        <f ca="1">tertiair!B16</f>
        <v>8651.8457801047116</v>
      </c>
      <c r="C5" s="478">
        <f ca="1">tertiair!C16</f>
        <v>0</v>
      </c>
      <c r="D5" s="478">
        <f ca="1">tertiair!D16</f>
        <v>14799.929408</v>
      </c>
      <c r="E5" s="478">
        <f>tertiair!E16</f>
        <v>102.84569267023682</v>
      </c>
      <c r="F5" s="478">
        <f ca="1">tertiair!F16</f>
        <v>1250.4416897887304</v>
      </c>
      <c r="G5" s="478">
        <f>tertiair!G16</f>
        <v>0</v>
      </c>
      <c r="H5" s="478">
        <f>tertiair!H16</f>
        <v>0</v>
      </c>
      <c r="I5" s="478">
        <f>tertiair!I16</f>
        <v>0</v>
      </c>
      <c r="J5" s="478">
        <f>tertiair!J16</f>
        <v>0</v>
      </c>
      <c r="K5" s="478">
        <f>tertiair!K16</f>
        <v>0</v>
      </c>
      <c r="L5" s="478">
        <f ca="1">tertiair!L16</f>
        <v>0</v>
      </c>
      <c r="M5" s="478">
        <f>tertiair!M16</f>
        <v>0</v>
      </c>
      <c r="N5" s="478">
        <f ca="1">tertiair!N16</f>
        <v>571.46567014750849</v>
      </c>
      <c r="O5" s="478">
        <f>tertiair!O16</f>
        <v>1.5633333333333335</v>
      </c>
      <c r="P5" s="479">
        <f>tertiair!P16</f>
        <v>19.066666666666666</v>
      </c>
      <c r="Q5" s="477">
        <f t="shared" ref="Q5:Q14" ca="1" si="0">SUM(B5:P5)</f>
        <v>25397.158240711185</v>
      </c>
    </row>
    <row r="6" spans="1:17">
      <c r="A6" s="477" t="s">
        <v>194</v>
      </c>
      <c r="B6" s="478">
        <f>'openbare verlichting'!B8</f>
        <v>463.476</v>
      </c>
      <c r="C6" s="478"/>
      <c r="D6" s="478"/>
      <c r="E6" s="478"/>
      <c r="F6" s="478"/>
      <c r="G6" s="478"/>
      <c r="H6" s="478"/>
      <c r="I6" s="478"/>
      <c r="J6" s="478"/>
      <c r="K6" s="478"/>
      <c r="L6" s="478"/>
      <c r="M6" s="478"/>
      <c r="N6" s="478"/>
      <c r="O6" s="478"/>
      <c r="P6" s="479"/>
      <c r="Q6" s="477">
        <f t="shared" si="0"/>
        <v>463.476</v>
      </c>
    </row>
    <row r="7" spans="1:17">
      <c r="A7" s="477" t="s">
        <v>112</v>
      </c>
      <c r="B7" s="478">
        <f>landbouw!B8</f>
        <v>37.021999999999998</v>
      </c>
      <c r="C7" s="478">
        <f>landbouw!C8</f>
        <v>0</v>
      </c>
      <c r="D7" s="478">
        <f>landbouw!D8</f>
        <v>39.741217999999996</v>
      </c>
      <c r="E7" s="478">
        <f>landbouw!E8</f>
        <v>0.34291327023896334</v>
      </c>
      <c r="F7" s="478">
        <f>landbouw!F8</f>
        <v>93.931866683762422</v>
      </c>
      <c r="G7" s="478">
        <f>landbouw!G8</f>
        <v>0</v>
      </c>
      <c r="H7" s="478">
        <f>landbouw!H8</f>
        <v>0</v>
      </c>
      <c r="I7" s="478">
        <f>landbouw!I8</f>
        <v>0</v>
      </c>
      <c r="J7" s="478">
        <f>landbouw!J8</f>
        <v>5.6758857667258678</v>
      </c>
      <c r="K7" s="478">
        <f>landbouw!K8</f>
        <v>0</v>
      </c>
      <c r="L7" s="478">
        <f>landbouw!L8</f>
        <v>0</v>
      </c>
      <c r="M7" s="478">
        <f>landbouw!M8</f>
        <v>0</v>
      </c>
      <c r="N7" s="478">
        <f>landbouw!N8</f>
        <v>0</v>
      </c>
      <c r="O7" s="478">
        <f>landbouw!O8</f>
        <v>0</v>
      </c>
      <c r="P7" s="479">
        <f>landbouw!P8</f>
        <v>0</v>
      </c>
      <c r="Q7" s="477">
        <f t="shared" si="0"/>
        <v>176.71388372072724</v>
      </c>
    </row>
    <row r="8" spans="1:17">
      <c r="A8" s="477" t="s">
        <v>650</v>
      </c>
      <c r="B8" s="478">
        <f>industrie!B18</f>
        <v>21332.173999999999</v>
      </c>
      <c r="C8" s="478">
        <f>industrie!C18</f>
        <v>0</v>
      </c>
      <c r="D8" s="478">
        <f>industrie!D18</f>
        <v>46684.107734000005</v>
      </c>
      <c r="E8" s="478">
        <f>industrie!E18</f>
        <v>1202.8869070753606</v>
      </c>
      <c r="F8" s="478">
        <f>industrie!F18</f>
        <v>5520.1785445678051</v>
      </c>
      <c r="G8" s="478">
        <f>industrie!G18</f>
        <v>0</v>
      </c>
      <c r="H8" s="478">
        <f>industrie!H18</f>
        <v>0</v>
      </c>
      <c r="I8" s="478">
        <f>industrie!I18</f>
        <v>0</v>
      </c>
      <c r="J8" s="478">
        <f>industrie!J18</f>
        <v>87.867491965726373</v>
      </c>
      <c r="K8" s="478">
        <f>industrie!K18</f>
        <v>0</v>
      </c>
      <c r="L8" s="478">
        <f>industrie!L18</f>
        <v>0</v>
      </c>
      <c r="M8" s="478">
        <f>industrie!M18</f>
        <v>0</v>
      </c>
      <c r="N8" s="478">
        <f>industrie!N18</f>
        <v>4059.8783210887732</v>
      </c>
      <c r="O8" s="478">
        <f>industrie!O18</f>
        <v>0</v>
      </c>
      <c r="P8" s="479">
        <f>industrie!P18</f>
        <v>0</v>
      </c>
      <c r="Q8" s="477">
        <f t="shared" si="0"/>
        <v>78887.09299869767</v>
      </c>
    </row>
    <row r="9" spans="1:17" s="483" customFormat="1">
      <c r="A9" s="481" t="s">
        <v>571</v>
      </c>
      <c r="B9" s="482">
        <f>transport!B14</f>
        <v>4.5302794701745768</v>
      </c>
      <c r="C9" s="482">
        <f>transport!C14</f>
        <v>0</v>
      </c>
      <c r="D9" s="482">
        <f>transport!D14</f>
        <v>10.844722422681476</v>
      </c>
      <c r="E9" s="482">
        <f>transport!E14</f>
        <v>70.19185238696511</v>
      </c>
      <c r="F9" s="482">
        <f>transport!F14</f>
        <v>0</v>
      </c>
      <c r="G9" s="482">
        <f>transport!G14</f>
        <v>20765.308677247634</v>
      </c>
      <c r="H9" s="482">
        <f>transport!H14</f>
        <v>4126.5769136920844</v>
      </c>
      <c r="I9" s="482">
        <f>transport!I14</f>
        <v>0</v>
      </c>
      <c r="J9" s="482">
        <f>transport!J14</f>
        <v>0</v>
      </c>
      <c r="K9" s="482">
        <f>transport!K14</f>
        <v>0</v>
      </c>
      <c r="L9" s="482">
        <f>transport!L14</f>
        <v>0</v>
      </c>
      <c r="M9" s="482">
        <f>transport!M14</f>
        <v>1328.2102788693351</v>
      </c>
      <c r="N9" s="482">
        <f>transport!N14</f>
        <v>0</v>
      </c>
      <c r="O9" s="482">
        <f>transport!O14</f>
        <v>0</v>
      </c>
      <c r="P9" s="482">
        <f>transport!P14</f>
        <v>0</v>
      </c>
      <c r="Q9" s="481">
        <f>SUM(B9:P9)</f>
        <v>26305.662724088874</v>
      </c>
    </row>
    <row r="10" spans="1:17">
      <c r="A10" s="477" t="s">
        <v>561</v>
      </c>
      <c r="B10" s="478">
        <f>transport!B54</f>
        <v>0</v>
      </c>
      <c r="C10" s="478">
        <f>transport!C54</f>
        <v>0</v>
      </c>
      <c r="D10" s="478">
        <f>transport!D54</f>
        <v>0</v>
      </c>
      <c r="E10" s="478">
        <f>transport!E54</f>
        <v>0</v>
      </c>
      <c r="F10" s="478">
        <f>transport!F54</f>
        <v>0</v>
      </c>
      <c r="G10" s="478">
        <f>transport!G54</f>
        <v>1089.1278266318066</v>
      </c>
      <c r="H10" s="478">
        <f>transport!H54</f>
        <v>0</v>
      </c>
      <c r="I10" s="478">
        <f>transport!I54</f>
        <v>0</v>
      </c>
      <c r="J10" s="478">
        <f>transport!J54</f>
        <v>0</v>
      </c>
      <c r="K10" s="478">
        <f>transport!K54</f>
        <v>0</v>
      </c>
      <c r="L10" s="478">
        <f>transport!L54</f>
        <v>0</v>
      </c>
      <c r="M10" s="478">
        <f>transport!M54</f>
        <v>62.10978497368572</v>
      </c>
      <c r="N10" s="478">
        <f>transport!N54</f>
        <v>0</v>
      </c>
      <c r="O10" s="478">
        <f>transport!O54</f>
        <v>0</v>
      </c>
      <c r="P10" s="479">
        <f>transport!P54</f>
        <v>0</v>
      </c>
      <c r="Q10" s="477">
        <f t="shared" si="0"/>
        <v>1151.2376116054922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361.23</v>
      </c>
      <c r="C14" s="485"/>
      <c r="D14" s="485">
        <f>'SEAP template'!E25</f>
        <v>613.54499999999996</v>
      </c>
      <c r="E14" s="485"/>
      <c r="F14" s="485"/>
      <c r="G14" s="485"/>
      <c r="H14" s="485"/>
      <c r="I14" s="485"/>
      <c r="J14" s="485"/>
      <c r="K14" s="485"/>
      <c r="L14" s="485"/>
      <c r="M14" s="485"/>
      <c r="N14" s="485"/>
      <c r="O14" s="485"/>
      <c r="P14" s="486"/>
      <c r="Q14" s="477">
        <f t="shared" si="0"/>
        <v>974.77499999999998</v>
      </c>
    </row>
    <row r="15" spans="1:17" s="487" customFormat="1">
      <c r="A15" s="1051" t="s">
        <v>565</v>
      </c>
      <c r="B15" s="991">
        <f ca="1">SUM(B4:B14)</f>
        <v>46829.262163283929</v>
      </c>
      <c r="C15" s="991">
        <f t="shared" ref="C15:Q15" ca="1" si="1">SUM(C4:C14)</f>
        <v>0</v>
      </c>
      <c r="D15" s="991">
        <f t="shared" ca="1" si="1"/>
        <v>118449.26451642269</v>
      </c>
      <c r="E15" s="991">
        <f t="shared" si="1"/>
        <v>1532.885050206211</v>
      </c>
      <c r="F15" s="991">
        <f t="shared" ca="1" si="1"/>
        <v>6864.5521010402981</v>
      </c>
      <c r="G15" s="991">
        <f t="shared" si="1"/>
        <v>21854.436503879442</v>
      </c>
      <c r="H15" s="991">
        <f t="shared" si="1"/>
        <v>4126.5769136920844</v>
      </c>
      <c r="I15" s="991">
        <f t="shared" si="1"/>
        <v>0</v>
      </c>
      <c r="J15" s="991">
        <f t="shared" si="1"/>
        <v>93.543377732452242</v>
      </c>
      <c r="K15" s="991">
        <f t="shared" si="1"/>
        <v>0</v>
      </c>
      <c r="L15" s="991">
        <f t="shared" ca="1" si="1"/>
        <v>0</v>
      </c>
      <c r="M15" s="991">
        <f t="shared" si="1"/>
        <v>1390.3200638430208</v>
      </c>
      <c r="N15" s="991">
        <f t="shared" ca="1" si="1"/>
        <v>7452.5356812161954</v>
      </c>
      <c r="O15" s="991">
        <f t="shared" si="1"/>
        <v>46.900000000000006</v>
      </c>
      <c r="P15" s="991">
        <f t="shared" si="1"/>
        <v>95.333333333333329</v>
      </c>
      <c r="Q15" s="991">
        <f t="shared" ca="1" si="1"/>
        <v>208735.60970464963</v>
      </c>
    </row>
    <row r="17" spans="1:17">
      <c r="A17" s="488" t="s">
        <v>566</v>
      </c>
      <c r="B17" s="787">
        <f ca="1">huishoudens!B10</f>
        <v>0.21626129036363673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3455.6357209681569</v>
      </c>
      <c r="C22" s="478">
        <f t="shared" ref="C22:C32" ca="1" si="3">C4*$C$17</f>
        <v>0</v>
      </c>
      <c r="D22" s="478">
        <f t="shared" ref="D22:D32" si="4">D4*$D$17</f>
        <v>11372.821479668002</v>
      </c>
      <c r="E22" s="478">
        <f t="shared" ref="E22:E32" si="5">E4*$E$17</f>
        <v>35.552214450373938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14864.009415086533</v>
      </c>
    </row>
    <row r="23" spans="1:17">
      <c r="A23" s="477" t="s">
        <v>156</v>
      </c>
      <c r="B23" s="478">
        <f t="shared" ca="1" si="2"/>
        <v>1871.0593324326301</v>
      </c>
      <c r="C23" s="478">
        <f t="shared" ca="1" si="3"/>
        <v>0</v>
      </c>
      <c r="D23" s="478">
        <f t="shared" ca="1" si="4"/>
        <v>2989.5857404160001</v>
      </c>
      <c r="E23" s="478">
        <f t="shared" si="5"/>
        <v>23.345972236143758</v>
      </c>
      <c r="F23" s="478">
        <f t="shared" ca="1" si="6"/>
        <v>333.86793117359105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5217.8589762583661</v>
      </c>
    </row>
    <row r="24" spans="1:17">
      <c r="A24" s="477" t="s">
        <v>194</v>
      </c>
      <c r="B24" s="478">
        <f t="shared" ca="1" si="2"/>
        <v>100.2319178125769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100.2319178125769</v>
      </c>
    </row>
    <row r="25" spans="1:17">
      <c r="A25" s="477" t="s">
        <v>112</v>
      </c>
      <c r="B25" s="478">
        <f t="shared" ca="1" si="2"/>
        <v>8.0064254918425579</v>
      </c>
      <c r="C25" s="478">
        <f t="shared" ca="1" si="3"/>
        <v>0</v>
      </c>
      <c r="D25" s="478">
        <f t="shared" si="4"/>
        <v>8.0277260359999989</v>
      </c>
      <c r="E25" s="478">
        <f t="shared" si="5"/>
        <v>7.7841312344244684E-2</v>
      </c>
      <c r="F25" s="478">
        <f t="shared" si="6"/>
        <v>25.079808404564567</v>
      </c>
      <c r="G25" s="478">
        <f t="shared" si="7"/>
        <v>0</v>
      </c>
      <c r="H25" s="478">
        <f t="shared" si="8"/>
        <v>0</v>
      </c>
      <c r="I25" s="478">
        <f t="shared" si="9"/>
        <v>0</v>
      </c>
      <c r="J25" s="478">
        <f t="shared" si="10"/>
        <v>2.0092635614209571</v>
      </c>
      <c r="K25" s="478">
        <f t="shared" si="11"/>
        <v>0</v>
      </c>
      <c r="L25" s="478">
        <f t="shared" si="12"/>
        <v>0</v>
      </c>
      <c r="M25" s="478">
        <f t="shared" si="13"/>
        <v>0</v>
      </c>
      <c r="N25" s="478">
        <f t="shared" si="14"/>
        <v>0</v>
      </c>
      <c r="O25" s="478">
        <f t="shared" si="15"/>
        <v>0</v>
      </c>
      <c r="P25" s="479">
        <f t="shared" si="16"/>
        <v>0</v>
      </c>
      <c r="Q25" s="477">
        <f t="shared" ca="1" si="17"/>
        <v>43.201064806172326</v>
      </c>
    </row>
    <row r="26" spans="1:17">
      <c r="A26" s="477" t="s">
        <v>650</v>
      </c>
      <c r="B26" s="478">
        <f t="shared" ca="1" si="2"/>
        <v>4613.3234755016219</v>
      </c>
      <c r="C26" s="478">
        <f t="shared" ca="1" si="3"/>
        <v>0</v>
      </c>
      <c r="D26" s="478">
        <f t="shared" si="4"/>
        <v>9430.1897622680008</v>
      </c>
      <c r="E26" s="478">
        <f t="shared" si="5"/>
        <v>273.05532790610687</v>
      </c>
      <c r="F26" s="478">
        <f t="shared" si="6"/>
        <v>1473.887671399604</v>
      </c>
      <c r="G26" s="478">
        <f t="shared" si="7"/>
        <v>0</v>
      </c>
      <c r="H26" s="478">
        <f t="shared" si="8"/>
        <v>0</v>
      </c>
      <c r="I26" s="478">
        <f t="shared" si="9"/>
        <v>0</v>
      </c>
      <c r="J26" s="478">
        <f t="shared" si="10"/>
        <v>31.105092155867133</v>
      </c>
      <c r="K26" s="478">
        <f t="shared" si="11"/>
        <v>0</v>
      </c>
      <c r="L26" s="478">
        <f t="shared" si="12"/>
        <v>0</v>
      </c>
      <c r="M26" s="478">
        <f t="shared" si="13"/>
        <v>0</v>
      </c>
      <c r="N26" s="478">
        <f t="shared" si="14"/>
        <v>0</v>
      </c>
      <c r="O26" s="478">
        <f t="shared" si="15"/>
        <v>0</v>
      </c>
      <c r="P26" s="479">
        <f t="shared" si="16"/>
        <v>0</v>
      </c>
      <c r="Q26" s="477">
        <f t="shared" ca="1" si="17"/>
        <v>15821.561329231201</v>
      </c>
    </row>
    <row r="27" spans="1:17" s="483" customFormat="1">
      <c r="A27" s="481" t="s">
        <v>571</v>
      </c>
      <c r="B27" s="781">
        <f t="shared" ca="1" si="2"/>
        <v>0.97972408392784649</v>
      </c>
      <c r="C27" s="482">
        <f t="shared" ca="1" si="3"/>
        <v>0</v>
      </c>
      <c r="D27" s="482">
        <f t="shared" si="4"/>
        <v>2.1906339293816584</v>
      </c>
      <c r="E27" s="482">
        <f t="shared" si="5"/>
        <v>15.93355049184108</v>
      </c>
      <c r="F27" s="482">
        <f t="shared" si="6"/>
        <v>0</v>
      </c>
      <c r="G27" s="482">
        <f t="shared" si="7"/>
        <v>5544.3374168251185</v>
      </c>
      <c r="H27" s="482">
        <f t="shared" si="8"/>
        <v>1027.517651509329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6590.9589768395981</v>
      </c>
    </row>
    <row r="28" spans="1:17">
      <c r="A28" s="477" t="s">
        <v>561</v>
      </c>
      <c r="B28" s="478">
        <f t="shared" ca="1" si="2"/>
        <v>0</v>
      </c>
      <c r="C28" s="478">
        <f t="shared" ca="1" si="3"/>
        <v>0</v>
      </c>
      <c r="D28" s="478">
        <f t="shared" si="4"/>
        <v>0</v>
      </c>
      <c r="E28" s="478">
        <f t="shared" si="5"/>
        <v>0</v>
      </c>
      <c r="F28" s="478">
        <f t="shared" si="6"/>
        <v>0</v>
      </c>
      <c r="G28" s="478">
        <f t="shared" si="7"/>
        <v>290.79712971069239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290.79712971069239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78.120065918056497</v>
      </c>
      <c r="C32" s="478">
        <f t="shared" ca="1" si="3"/>
        <v>0</v>
      </c>
      <c r="D32" s="478">
        <f t="shared" si="4"/>
        <v>123.93608999999999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202.0561559180565</v>
      </c>
    </row>
    <row r="33" spans="1:17" s="487" customFormat="1">
      <c r="A33" s="1051" t="s">
        <v>565</v>
      </c>
      <c r="B33" s="991">
        <f ca="1">SUM(B22:B32)</f>
        <v>10127.356662208811</v>
      </c>
      <c r="C33" s="991">
        <f t="shared" ref="C33:Q33" ca="1" si="18">SUM(C22:C32)</f>
        <v>0</v>
      </c>
      <c r="D33" s="991">
        <f t="shared" ca="1" si="18"/>
        <v>23926.751432317382</v>
      </c>
      <c r="E33" s="991">
        <f t="shared" si="18"/>
        <v>347.96490639680985</v>
      </c>
      <c r="F33" s="991">
        <f t="shared" ca="1" si="18"/>
        <v>1832.8354109777597</v>
      </c>
      <c r="G33" s="991">
        <f t="shared" si="18"/>
        <v>5835.1345465358108</v>
      </c>
      <c r="H33" s="991">
        <f t="shared" si="18"/>
        <v>1027.517651509329</v>
      </c>
      <c r="I33" s="991">
        <f t="shared" si="18"/>
        <v>0</v>
      </c>
      <c r="J33" s="991">
        <f t="shared" si="18"/>
        <v>33.114355717288092</v>
      </c>
      <c r="K33" s="991">
        <f t="shared" si="18"/>
        <v>0</v>
      </c>
      <c r="L33" s="991">
        <f t="shared" ca="1" si="18"/>
        <v>0</v>
      </c>
      <c r="M33" s="991">
        <f t="shared" si="18"/>
        <v>0</v>
      </c>
      <c r="N33" s="991">
        <f t="shared" ca="1" si="18"/>
        <v>0</v>
      </c>
      <c r="O33" s="991">
        <f t="shared" si="18"/>
        <v>0</v>
      </c>
      <c r="P33" s="991">
        <f t="shared" si="18"/>
        <v>0</v>
      </c>
      <c r="Q33" s="991">
        <f t="shared" ca="1" si="18"/>
        <v>43130.674965663195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1004.1188953707498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1004.1188953707498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0.21626129036363673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0.21626129036363673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2019-08-12T08:06:21Z</dcterms:modified>
</cp:coreProperties>
</file>