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M89" i="14" s="1"/>
  <c r="M19" i="59" s="1"/>
  <c r="G19" i="18"/>
  <c r="H89" i="14" s="1"/>
  <c r="H19" i="59" s="1"/>
  <c r="F19" i="18"/>
  <c r="E19"/>
  <c r="F89" i="14" s="1"/>
  <c r="F19" i="59" s="1"/>
  <c r="D19" i="18"/>
  <c r="E89" i="14" s="1"/>
  <c r="E19" i="59" s="1"/>
  <c r="C19" i="18"/>
  <c r="B19"/>
  <c r="N18"/>
  <c r="M18"/>
  <c r="K88" i="14" s="1"/>
  <c r="K18" i="59" s="1"/>
  <c r="L18" i="18"/>
  <c r="L20" s="1"/>
  <c r="K18"/>
  <c r="J18"/>
  <c r="J88" i="14" s="1"/>
  <c r="J18" i="59" s="1"/>
  <c r="I18" i="18"/>
  <c r="H18"/>
  <c r="G18"/>
  <c r="H88" i="14" s="1"/>
  <c r="F18" i="18"/>
  <c r="E18"/>
  <c r="F88" i="14" s="1"/>
  <c r="F18" i="59" s="1"/>
  <c r="D18" i="18"/>
  <c r="E88" i="14" s="1"/>
  <c r="E18" i="59" s="1"/>
  <c r="C18" i="18"/>
  <c r="D88" i="14" s="1"/>
  <c r="D18" i="59" s="1"/>
  <c r="B18" i="18"/>
  <c r="L9"/>
  <c r="O77" i="14" s="1"/>
  <c r="O9" i="59" s="1"/>
  <c r="K9" i="18"/>
  <c r="K10" s="1"/>
  <c r="G9"/>
  <c r="F9"/>
  <c r="F10" s="1"/>
  <c r="D9"/>
  <c r="C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59" s="1"/>
  <c r="U89" i="18"/>
  <c r="T89"/>
  <c r="I9" s="1"/>
  <c r="S89"/>
  <c r="E9" s="1"/>
  <c r="R89"/>
  <c r="Q89"/>
  <c r="P89"/>
  <c r="O89"/>
  <c r="N89"/>
  <c r="B9" s="1"/>
  <c r="M89"/>
  <c r="W61"/>
  <c r="V61"/>
  <c r="N6" i="17" s="1"/>
  <c r="U61" i="18"/>
  <c r="L6" i="17" s="1"/>
  <c r="T61" i="18"/>
  <c r="S61"/>
  <c r="F6" i="17" s="1"/>
  <c r="R61" i="18"/>
  <c r="Q61"/>
  <c r="P61"/>
  <c r="O61"/>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K20"/>
  <c r="B17"/>
  <c r="B20" s="1"/>
  <c r="G12"/>
  <c r="F12"/>
  <c r="E12"/>
  <c r="D12"/>
  <c r="C12"/>
  <c r="G10"/>
  <c r="E77" i="14"/>
  <c r="E9" i="59" s="1"/>
  <c r="B8" i="18"/>
  <c r="B6"/>
  <c r="B5"/>
  <c r="B73" i="14" s="1"/>
  <c r="B5" i="59" s="1"/>
  <c r="B4" i="18"/>
  <c r="B72" i="14" s="1"/>
  <c r="B4" i="59" s="1"/>
  <c r="D6" i="17"/>
  <c r="C6"/>
  <c r="D5"/>
  <c r="B19" i="6"/>
  <c r="B18"/>
  <c r="B5"/>
  <c r="C29" i="14" s="1"/>
  <c r="B6" i="6"/>
  <c r="C64" i="14" s="1"/>
  <c r="P7" i="48"/>
  <c r="P25" s="1"/>
  <c r="O7"/>
  <c r="M7"/>
  <c r="K7"/>
  <c r="I7"/>
  <c r="H7"/>
  <c r="G7"/>
  <c r="P10"/>
  <c r="O10"/>
  <c r="N10"/>
  <c r="L10"/>
  <c r="K10"/>
  <c r="J10"/>
  <c r="I10"/>
  <c r="H10"/>
  <c r="F10"/>
  <c r="E10"/>
  <c r="D10"/>
  <c r="C10"/>
  <c r="P9"/>
  <c r="O9"/>
  <c r="N9"/>
  <c r="L9"/>
  <c r="K9"/>
  <c r="J9"/>
  <c r="I9"/>
  <c r="F9"/>
  <c r="C9"/>
  <c r="P13"/>
  <c r="O13"/>
  <c r="O31" s="1"/>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P27"/>
  <c r="O89" i="14"/>
  <c r="O19" i="59" s="1"/>
  <c r="N89" i="14"/>
  <c r="N19" i="59" s="1"/>
  <c r="L89" i="14"/>
  <c r="L19" i="59" s="1"/>
  <c r="K89" i="14"/>
  <c r="K19" i="59" s="1"/>
  <c r="D89" i="14"/>
  <c r="D19" i="59" s="1"/>
  <c r="M88" i="14"/>
  <c r="M18" i="59" s="1"/>
  <c r="L88" i="14"/>
  <c r="I88"/>
  <c r="I18" i="59" s="1"/>
  <c r="G88" i="14"/>
  <c r="G18" i="59" s="1"/>
  <c r="O87" i="14"/>
  <c r="O17" i="59" s="1"/>
  <c r="N87" i="14"/>
  <c r="N17" i="59" s="1"/>
  <c r="L87" i="14"/>
  <c r="L17" i="59" s="1"/>
  <c r="K87" i="14"/>
  <c r="K17" i="59" s="1"/>
  <c r="H87" i="14"/>
  <c r="H17" i="59" s="1"/>
  <c r="G87" i="14"/>
  <c r="G17" i="59" s="1"/>
  <c r="E87" i="14"/>
  <c r="E17" i="59" s="1"/>
  <c r="N77" i="14"/>
  <c r="L77"/>
  <c r="L9" i="59" s="1"/>
  <c r="L10" s="1"/>
  <c r="K77" i="14"/>
  <c r="K9" i="59" s="1"/>
  <c r="O76" i="14"/>
  <c r="O8" i="59" s="1"/>
  <c r="N76" i="14"/>
  <c r="N8" i="59" s="1"/>
  <c r="L76" i="14"/>
  <c r="L8" i="59" s="1"/>
  <c r="K76" i="14"/>
  <c r="K8" i="59" s="1"/>
  <c r="H76" i="14"/>
  <c r="H8" i="59" s="1"/>
  <c r="G76" i="14"/>
  <c r="G8" i="59" s="1"/>
  <c r="E76" i="14"/>
  <c r="E8" i="59" s="1"/>
  <c r="B75" i="14"/>
  <c r="B7" i="59" s="1"/>
  <c r="B74" i="14"/>
  <c r="B6" i="59" s="1"/>
  <c r="Q54" i="14"/>
  <c r="P54"/>
  <c r="P56" s="1"/>
  <c r="L54"/>
  <c r="L56" s="1"/>
  <c r="J54"/>
  <c r="J56" s="1"/>
  <c r="I54"/>
  <c r="I56" s="1"/>
  <c r="H54"/>
  <c r="H56" s="1"/>
  <c r="Q24"/>
  <c r="Q26" s="1"/>
  <c r="P24"/>
  <c r="P26" s="1"/>
  <c r="N24"/>
  <c r="N26" s="1"/>
  <c r="L24"/>
  <c r="J24"/>
  <c r="I24"/>
  <c r="H24"/>
  <c r="Q50"/>
  <c r="P50"/>
  <c r="O50"/>
  <c r="M50"/>
  <c r="L50"/>
  <c r="K50"/>
  <c r="J50"/>
  <c r="G50"/>
  <c r="D50"/>
  <c r="Q49"/>
  <c r="P49"/>
  <c r="Q20"/>
  <c r="P20"/>
  <c r="O20"/>
  <c r="M20"/>
  <c r="L20"/>
  <c r="K20"/>
  <c r="J20"/>
  <c r="G20"/>
  <c r="D20"/>
  <c r="Q19"/>
  <c r="P19"/>
  <c r="O19"/>
  <c r="M19"/>
  <c r="L19"/>
  <c r="K19"/>
  <c r="J19"/>
  <c r="I19"/>
  <c r="G19"/>
  <c r="F19"/>
  <c r="E19"/>
  <c r="D19"/>
  <c r="Q48"/>
  <c r="P48"/>
  <c r="O48"/>
  <c r="M48"/>
  <c r="L48"/>
  <c r="K48"/>
  <c r="J48"/>
  <c r="G48"/>
  <c r="D48"/>
  <c r="Q18"/>
  <c r="Q22" s="1"/>
  <c r="P18"/>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K78"/>
  <c r="Q56"/>
  <c r="Q52"/>
  <c r="P52"/>
  <c r="R44"/>
  <c r="E25"/>
  <c r="E55" s="1"/>
  <c r="C25"/>
  <c r="B14" i="48" s="1"/>
  <c r="L26" i="14"/>
  <c r="J26"/>
  <c r="I26"/>
  <c r="H26"/>
  <c r="O22"/>
  <c r="K22"/>
  <c r="G22"/>
  <c r="R12"/>
  <c r="N78" l="1"/>
  <c r="N9" i="59"/>
  <c r="H90" i="14"/>
  <c r="H18" i="59"/>
  <c r="H20" s="1"/>
  <c r="O10"/>
  <c r="M22" i="14"/>
  <c r="C98" i="18"/>
  <c r="D13" i="15"/>
  <c r="P22" i="14"/>
  <c r="E20" i="59"/>
  <c r="L10" i="18"/>
  <c r="D20"/>
  <c r="C13" i="15"/>
  <c r="B16" i="16"/>
  <c r="M77" i="14"/>
  <c r="M9" i="59" s="1"/>
  <c r="N10"/>
  <c r="K20"/>
  <c r="C16" i="16"/>
  <c r="L78" i="14"/>
  <c r="K10" i="59"/>
  <c r="D14" i="48"/>
  <c r="F20" i="18"/>
  <c r="L90" i="14"/>
  <c r="L18" i="59"/>
  <c r="L20" s="1"/>
  <c r="H9" i="18"/>
  <c r="D22" i="14"/>
  <c r="L22"/>
  <c r="E10" i="59"/>
  <c r="G77" i="14"/>
  <c r="G9" i="59" s="1"/>
  <c r="G10" s="1"/>
  <c r="I77" i="14"/>
  <c r="I9" i="59" s="1"/>
  <c r="B13" i="15"/>
  <c r="B10" i="18"/>
  <c r="N13" i="15"/>
  <c r="L13"/>
  <c r="F77" i="14"/>
  <c r="F9" i="59" s="1"/>
  <c r="I101" i="18"/>
  <c r="H8" s="1"/>
  <c r="E101"/>
  <c r="E8" s="1"/>
  <c r="F101"/>
  <c r="H101"/>
  <c r="D101"/>
  <c r="G101"/>
  <c r="I8" s="1"/>
  <c r="C101"/>
  <c r="B101"/>
  <c r="C8" s="1"/>
  <c r="O9"/>
  <c r="I102"/>
  <c r="H17" s="1"/>
  <c r="E102"/>
  <c r="E17" s="1"/>
  <c r="C102"/>
  <c r="F102"/>
  <c r="H102"/>
  <c r="D102"/>
  <c r="G102"/>
  <c r="B102"/>
  <c r="C17" s="1"/>
  <c r="O19"/>
  <c r="O78" i="14"/>
  <c r="N88"/>
  <c r="D10" i="18"/>
  <c r="E78" i="14"/>
  <c r="D77"/>
  <c r="D9" i="59" s="1"/>
  <c r="H77" i="14"/>
  <c r="O88"/>
  <c r="G89"/>
  <c r="G19" i="59" s="1"/>
  <c r="G20" s="1"/>
  <c r="G20" i="18"/>
  <c r="O18"/>
  <c r="G78" i="14"/>
  <c r="O25" i="48"/>
  <c r="O27"/>
  <c r="Q11"/>
  <c r="O29"/>
  <c r="P31"/>
  <c r="O28"/>
  <c r="Q12"/>
  <c r="O24"/>
  <c r="O30"/>
  <c r="P24"/>
  <c r="P30"/>
  <c r="E90" i="14"/>
  <c r="R9"/>
  <c r="R25"/>
  <c r="K90"/>
  <c r="H78" l="1"/>
  <c r="H9" i="59"/>
  <c r="H10" s="1"/>
  <c r="Q89" i="14"/>
  <c r="P19" i="59" s="1"/>
  <c r="G90" i="14"/>
  <c r="C89"/>
  <c r="C19" i="59" s="1"/>
  <c r="O90" i="14"/>
  <c r="O18" i="59"/>
  <c r="O20" s="1"/>
  <c r="D10"/>
  <c r="Q77" i="14"/>
  <c r="P9" i="59" s="1"/>
  <c r="N90" i="14"/>
  <c r="N18" i="59"/>
  <c r="N20" s="1"/>
  <c r="B89" i="14"/>
  <c r="B19" i="59" s="1"/>
  <c r="J17" i="18"/>
  <c r="J87" i="14" s="1"/>
  <c r="Q14" i="48"/>
  <c r="C77" i="14"/>
  <c r="C9" i="59" s="1"/>
  <c r="H20" i="18"/>
  <c r="M87" i="14"/>
  <c r="F76"/>
  <c r="E10" i="18"/>
  <c r="C20"/>
  <c r="O17"/>
  <c r="O20" s="1"/>
  <c r="D87" i="14"/>
  <c r="D17" i="59" s="1"/>
  <c r="D20" s="1"/>
  <c r="H10" i="18"/>
  <c r="M76" i="14"/>
  <c r="B88"/>
  <c r="B18" i="59" s="1"/>
  <c r="I17" i="18"/>
  <c r="D76" i="14"/>
  <c r="D8" i="59" s="1"/>
  <c r="C10" i="18"/>
  <c r="J8"/>
  <c r="O8" s="1"/>
  <c r="O10" s="1"/>
  <c r="C88" i="14"/>
  <c r="C18" i="59" s="1"/>
  <c r="I10" i="18"/>
  <c r="I76" i="14"/>
  <c r="I8" i="59" s="1"/>
  <c r="I10" s="1"/>
  <c r="B77" i="14"/>
  <c r="B9" i="59" s="1"/>
  <c r="E20" i="18"/>
  <c r="F87" i="14"/>
  <c r="Q88"/>
  <c r="P18" i="59" s="1"/>
  <c r="H14" i="15"/>
  <c r="H16" s="1"/>
  <c r="G14"/>
  <c r="G16" s="1"/>
  <c r="J90" i="14" l="1"/>
  <c r="J17" i="59"/>
  <c r="J20" s="1"/>
  <c r="J20" i="18"/>
  <c r="M78" i="14"/>
  <c r="M8" i="59"/>
  <c r="M10" s="1"/>
  <c r="M90" i="14"/>
  <c r="M17" i="59"/>
  <c r="M20" s="1"/>
  <c r="F78" i="14"/>
  <c r="F8" i="59"/>
  <c r="F10" s="1"/>
  <c r="H5" i="48"/>
  <c r="I10" i="14"/>
  <c r="I16" s="1"/>
  <c r="F90"/>
  <c r="F17" i="59"/>
  <c r="F20" s="1"/>
  <c r="H10" i="14"/>
  <c r="H16" s="1"/>
  <c r="G5" i="48"/>
  <c r="Q76" i="14"/>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B4" i="48" l="1"/>
  <c r="C11" i="14"/>
  <c r="N31" i="48"/>
  <c r="N32"/>
  <c r="N30"/>
  <c r="N24"/>
  <c r="N27"/>
  <c r="N28"/>
  <c r="N29"/>
  <c r="P4"/>
  <c r="Q11" i="14"/>
  <c r="O4" i="48"/>
  <c r="P11" i="14"/>
  <c r="I25" i="48"/>
  <c r="I32"/>
  <c r="I26"/>
  <c r="I22"/>
  <c r="I28"/>
  <c r="I24"/>
  <c r="I31"/>
  <c r="I30"/>
  <c r="I27"/>
  <c r="I29"/>
  <c r="K28"/>
  <c r="K32"/>
  <c r="K27"/>
  <c r="K30"/>
  <c r="K31"/>
  <c r="K25"/>
  <c r="K29"/>
  <c r="K26"/>
  <c r="K22"/>
  <c r="K24"/>
  <c r="B7"/>
  <c r="C24" i="14"/>
  <c r="C26" s="1"/>
  <c r="J31" i="48"/>
  <c r="J32"/>
  <c r="J29"/>
  <c r="J30"/>
  <c r="J24"/>
  <c r="J28"/>
  <c r="J27"/>
  <c r="D4"/>
  <c r="D22" s="1"/>
  <c r="E11" i="14"/>
  <c r="H25" i="48"/>
  <c r="H29"/>
  <c r="H28"/>
  <c r="H26"/>
  <c r="H32"/>
  <c r="H24"/>
  <c r="H30"/>
  <c r="H22"/>
  <c r="H23"/>
  <c r="J15" i="16"/>
  <c r="D11" i="14"/>
  <c r="C4" i="48"/>
  <c r="G25"/>
  <c r="G30"/>
  <c r="G26"/>
  <c r="G24"/>
  <c r="G32"/>
  <c r="G29"/>
  <c r="G22"/>
  <c r="G23"/>
  <c r="F24"/>
  <c r="F32"/>
  <c r="F30"/>
  <c r="F31"/>
  <c r="F29"/>
  <c r="F28"/>
  <c r="F27"/>
  <c r="C19" i="14"/>
  <c r="B10" i="48"/>
  <c r="E32"/>
  <c r="E28"/>
  <c r="E29"/>
  <c r="E30"/>
  <c r="E24"/>
  <c r="E31"/>
  <c r="M26"/>
  <c r="M25"/>
  <c r="M32"/>
  <c r="M22"/>
  <c r="M24"/>
  <c r="M29"/>
  <c r="M30"/>
  <c r="M23"/>
  <c r="L10" i="14"/>
  <c r="L16" s="1"/>
  <c r="L27" s="1"/>
  <c r="K5" i="48"/>
  <c r="D30"/>
  <c r="D28"/>
  <c r="D31"/>
  <c r="D24"/>
  <c r="D29"/>
  <c r="D32"/>
  <c r="L28"/>
  <c r="L32"/>
  <c r="L27"/>
  <c r="L29"/>
  <c r="L24"/>
  <c r="L31"/>
  <c r="L22"/>
  <c r="L30"/>
  <c r="P5"/>
  <c r="P23" s="1"/>
  <c r="Q10" i="14"/>
  <c r="B8" i="9"/>
  <c r="B6" i="48" s="1"/>
  <c r="Q6" s="1"/>
  <c r="G24" i="14"/>
  <c r="G26" s="1"/>
  <c r="F7" i="48"/>
  <c r="F25" s="1"/>
  <c r="L8"/>
  <c r="L26" s="1"/>
  <c r="M13" i="14"/>
  <c r="C16" i="15"/>
  <c r="C5" i="48" s="1"/>
  <c r="C18" i="16"/>
  <c r="D7" i="48"/>
  <c r="E24" i="14"/>
  <c r="D10"/>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P22" i="16"/>
  <c r="Q43" i="14" s="1"/>
  <c r="P8" i="48"/>
  <c r="P26" s="1"/>
  <c r="Q13" i="14"/>
  <c r="Q16" s="1"/>
  <c r="Q27" s="1"/>
  <c r="Q63" s="1"/>
  <c r="L63"/>
  <c r="G11"/>
  <c r="F4" i="48"/>
  <c r="F22" s="1"/>
  <c r="P22"/>
  <c r="G13"/>
  <c r="H18" i="14"/>
  <c r="R18" s="1"/>
  <c r="H13" i="48"/>
  <c r="H31" s="1"/>
  <c r="I18" i="14"/>
  <c r="K23" i="48"/>
  <c r="K33" s="1"/>
  <c r="K15"/>
  <c r="O22"/>
  <c r="J10" i="14"/>
  <c r="J16" s="1"/>
  <c r="J27" s="1"/>
  <c r="J63" s="1"/>
  <c r="I5" i="48"/>
  <c r="E9"/>
  <c r="E27" s="1"/>
  <c r="F20" i="14"/>
  <c r="F22" s="1"/>
  <c r="E20"/>
  <c r="E22" s="1"/>
  <c r="D9" i="48"/>
  <c r="D27" s="1"/>
  <c r="P10" i="14"/>
  <c r="O5" i="48"/>
  <c r="O23" s="1"/>
  <c r="J7"/>
  <c r="J25" s="1"/>
  <c r="K24" i="14"/>
  <c r="K26" s="1"/>
  <c r="C20"/>
  <c r="B9" i="48"/>
  <c r="J12" i="17"/>
  <c r="K54" i="14" s="1"/>
  <c r="K56" s="1"/>
  <c r="L46"/>
  <c r="L61" s="1"/>
  <c r="C7" i="48"/>
  <c r="D24" i="14"/>
  <c r="D26" s="1"/>
  <c r="C8" i="48"/>
  <c r="D13" i="14"/>
  <c r="E26"/>
  <c r="D25" i="48"/>
  <c r="M10" i="14"/>
  <c r="L5" i="48"/>
  <c r="E10" i="14"/>
  <c r="D5" i="48"/>
  <c r="B34" i="13"/>
  <c r="B46" s="1"/>
  <c r="E5" s="1"/>
  <c r="E8" s="1"/>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N12"/>
  <c r="J12"/>
  <c r="F12"/>
  <c r="E12"/>
  <c r="B48" i="13"/>
  <c r="C48" s="1"/>
  <c r="N5" s="1"/>
  <c r="N8" s="1"/>
  <c r="C50"/>
  <c r="J5" s="1"/>
  <c r="J8" s="1"/>
  <c r="E12" l="1"/>
  <c r="F41" i="14" s="1"/>
  <c r="F11"/>
  <c r="E4" i="48"/>
  <c r="G10"/>
  <c r="H19" i="14"/>
  <c r="R19" s="1"/>
  <c r="P33" i="48"/>
  <c r="O11" i="14"/>
  <c r="N4" i="48"/>
  <c r="N22" s="1"/>
  <c r="I23"/>
  <c r="I33" s="1"/>
  <c r="I15"/>
  <c r="J4"/>
  <c r="K11" i="14"/>
  <c r="E7" i="48"/>
  <c r="E25" s="1"/>
  <c r="F24" i="14"/>
  <c r="F26" s="1"/>
  <c r="M9" i="48"/>
  <c r="N20" i="14"/>
  <c r="N19"/>
  <c r="M10" i="48"/>
  <c r="M28" s="1"/>
  <c r="O22" i="16"/>
  <c r="P43" i="14" s="1"/>
  <c r="P13"/>
  <c r="P16" s="1"/>
  <c r="P27" s="1"/>
  <c r="P63" s="1"/>
  <c r="O8" i="48"/>
  <c r="Q13"/>
  <c r="G31"/>
  <c r="G14" i="22"/>
  <c r="C22" i="14"/>
  <c r="P15" i="48"/>
  <c r="P46" i="14"/>
  <c r="P61" s="1"/>
  <c r="N22"/>
  <c r="N27" s="1"/>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O26" i="48" l="1"/>
  <c r="O33" s="1"/>
  <c r="O15"/>
  <c r="M27"/>
  <c r="M33" s="1"/>
  <c r="M15"/>
  <c r="H9"/>
  <c r="I20" i="14"/>
  <c r="I22" s="1"/>
  <c r="I27" s="1"/>
  <c r="I63" s="1"/>
  <c r="E22" i="48"/>
  <c r="Q4"/>
  <c r="R11" i="14"/>
  <c r="J5" i="48"/>
  <c r="J23" s="1"/>
  <c r="K10" i="14"/>
  <c r="G9" i="48"/>
  <c r="H20" i="14"/>
  <c r="F10"/>
  <c r="E5" i="48"/>
  <c r="E23" s="1"/>
  <c r="J22"/>
  <c r="G28"/>
  <c r="Q10"/>
  <c r="L25"/>
  <c r="Q7"/>
  <c r="M26" i="14"/>
  <c r="R24"/>
  <c r="R26" s="1"/>
  <c r="E20" i="15"/>
  <c r="F40" i="14" s="1"/>
  <c r="F18" i="16"/>
  <c r="F22" s="1"/>
  <c r="G43" i="14" s="1"/>
  <c r="J18" i="16"/>
  <c r="E18"/>
  <c r="J20" i="15"/>
  <c r="K40" i="14" s="1"/>
  <c r="N18" i="16"/>
  <c r="N22" s="1"/>
  <c r="O43" i="14" s="1"/>
  <c r="G18" i="22"/>
  <c r="H50" i="14" s="1"/>
  <c r="H52" s="1"/>
  <c r="H61" s="1"/>
  <c r="H18" i="22"/>
  <c r="I50" i="14" s="1"/>
  <c r="I52" s="1"/>
  <c r="I61" s="1"/>
  <c r="F13" l="1"/>
  <c r="F16" s="1"/>
  <c r="F27" s="1"/>
  <c r="E8" i="48"/>
  <c r="G27"/>
  <c r="G33" s="1"/>
  <c r="G15"/>
  <c r="Q9"/>
  <c r="H27"/>
  <c r="H33" s="1"/>
  <c r="H15"/>
  <c r="H22" i="14"/>
  <c r="H27" s="1"/>
  <c r="H63" s="1"/>
  <c r="R20"/>
  <c r="R22" s="1"/>
  <c r="E22" i="16"/>
  <c r="F43" i="14" s="1"/>
  <c r="F46"/>
  <c r="F61" s="1"/>
  <c r="J22" i="16"/>
  <c r="K43" i="14" s="1"/>
  <c r="K46" s="1"/>
  <c r="K61" s="1"/>
  <c r="K63" s="1"/>
  <c r="K13"/>
  <c r="K16" s="1"/>
  <c r="K27" s="1"/>
  <c r="J8" i="48"/>
  <c r="O13" i="14"/>
  <c r="N8" i="48"/>
  <c r="N26" s="1"/>
  <c r="F8"/>
  <c r="G13" i="14"/>
  <c r="R13" s="1"/>
  <c r="J26" i="48" l="1"/>
  <c r="J33" s="1"/>
  <c r="J15"/>
  <c r="E26"/>
  <c r="E33" s="1"/>
  <c r="E15"/>
  <c r="F6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<sst xmlns="http://schemas.openxmlformats.org/spreadsheetml/2006/main" count="2428" uniqueCount="914">
  <si>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</si>
  <si>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</si>
  <si>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</si>
  <si>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</si>
  <si>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</si>
  <si>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</si>
  <si>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</si>
  <si>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</si>
  <si>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</si>
  <si>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</si>
  <si>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</si>
  <si>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</si>
  <si>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</si>
  <si>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</si>
  <si>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</si>
  <si>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</si>
  <si>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</si>
  <si>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</si>
  <si>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</si>
  <si>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</si>
  <si>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</si>
  <si>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</si>
  <si>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</si>
  <si>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</si>
  <si>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</si>
  <si>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</si>
  <si>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</si>
  <si>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</si>
  <si>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</si>
  <si>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</si>
  <si>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</si>
  <si>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</si>
  <si>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</si>
  <si>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</si>
  <si>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</si>
  <si>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</si>
  <si>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</si>
  <si>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</si>
  <si>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</si>
  <si>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</si>
  <si>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</si>
  <si>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</si>
  <si>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</si>
  <si>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</si>
  <si>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</si>
  <si>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</si>
  <si>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</si>
  <si>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</si>
  <si>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</si>
  <si>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</si>
  <si>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</si>
  <si>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</si>
  <si>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</si>
  <si>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</si>
  <si>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</si>
  <si>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</si>
  <si>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</si>
  <si>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</si>
  <si>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</si>
  <si>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</si>
  <si>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</si>
  <si>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</si>
  <si>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</si>
  <si>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</si>
  <si>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</si>
  <si>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</si>
  <si>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</si>
  <si>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</si>
  <si>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</si>
  <si>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</si>
  <si>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</si>
  <si>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</si>
  <si>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</si>
  <si>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</si>
  <si>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</si>
  <si>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</si>
  <si>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</si>
  <si>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</si>
  <si>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</si>
  <si>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</si>
  <si>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</si>
  <si>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</si>
  <si>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</si>
  <si>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</si>
  <si>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</si>
  <si>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</si>
  <si>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</si>
  <si>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</si>
  <si>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</si>
  <si>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</si>
  <si>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</si>
  <si>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</si>
  <si>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</si>
  <si>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</si>
  <si>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</si>
  <si>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</si>
  <si>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</si>
  <si>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</si>
  <si>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</si>
  <si>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</si>
  <si>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</si>
  <si>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</si>
  <si>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</si>
  <si>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</si>
  <si>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</si>
  <si>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</si>
  <si>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</si>
  <si>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</si>
  <si>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</si>
  <si>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</si>
  <si>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</si>
  <si>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</si>
  <si>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</si>
  <si>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</si>
  <si>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</si>
  <si>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</si>
  <si>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</si>
  <si>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</si>
  <si>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</si>
  <si>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</si>
  <si>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</si>
  <si>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</si>
  <si>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</si>
  <si>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</si>
  <si>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</si>
  <si>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</si>
  <si>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</si>
  <si>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</si>
  <si>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</si>
  <si>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</si>
  <si>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</si>
  <si>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</si>
  <si>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</si>
  <si>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</si>
  <si>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</si>
  <si>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</si>
  <si>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</si>
  <si>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</si>
  <si>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</si>
  <si>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</si>
  <si>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</si>
  <si>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</si>
  <si>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</si>
  <si>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</si>
  <si>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</si>
  <si>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</si>
  <si>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</si>
  <si>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</si>
  <si>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</si>
  <si>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</si>
  <si>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</si>
  <si>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</si>
  <si>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</si>
  <si>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</si>
  <si>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</si>
  <si>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</si>
  <si>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</si>
  <si>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</si>
  <si>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</si>
  <si>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</si>
  <si>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</si>
  <si>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</si>
  <si>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</si>
  <si>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</si>
  <si>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</si>
  <si>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</si>
  <si>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</si>
  <si>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</si>
  <si>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</si>
  <si>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</si>
  <si>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</si>
  <si>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</si>
  <si>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</si>
  <si>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</si>
  <si>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</si>
  <si>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</si>
  <si>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</si>
  <si>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</si>
  <si>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</si>
  <si>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</si>
  <si>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</si>
  <si>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</si>
  <si>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</si>
  <si>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</si>
  <si>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</si>
  <si>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</si>
  <si>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</si>
  <si>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</si>
  <si>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</si>
  <si>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</si>
  <si>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</si>
  <si>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</si>
  <si>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</si>
  <si>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</si>
  <si>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</si>
  <si>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</si>
  <si>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</si>
  <si>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</si>
  <si>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</si>
  <si>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</si>
  <si>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</si>
  <si>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</si>
  <si>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</si>
  <si>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</si>
  <si>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</si>
  <si>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</si>
  <si>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</si>
  <si>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</si>
  <si>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</si>
  <si>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</si>
  <si>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</si>
  <si>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</si>
  <si>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</si>
  <si>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</si>
  <si>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</si>
  <si>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</si>
  <si>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</si>
  <si>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</si>
  <si>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</si>
  <si>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</si>
  <si>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</si>
  <si>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</si>
  <si>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</si>
  <si>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</si>
  <si>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</si>
  <si>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</si>
  <si>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</si>
  <si>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</si>
  <si>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</si>
  <si>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</si>
  <si>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</si>
  <si>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</si>
  <si>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</si>
  <si>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</si>
  <si>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</si>
  <si>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</si>
  <si>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</si>
  <si>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</si>
  <si>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</si>
  <si>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</si>
  <si>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</si>
  <si>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</si>
  <si>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</si>
  <si>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</si>
  <si>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</si>
  <si>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</si>
  <si>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</si>
  <si>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</si>
  <si>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</si>
  <si>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</si>
  <si>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</si>
  <si>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</si>
  <si>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</si>
  <si>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</si>
  <si>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</si>
  <si>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</si>
  <si>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</si>
  <si>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</si>
  <si>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</si>
  <si>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</si>
  <si>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</si>
  <si>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</si>
  <si>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</si>
  <si>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</si>
  <si>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</si>
  <si>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</si>
  <si>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</si>
  <si>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</si>
  <si>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</si>
  <si>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</si>
  <si>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</si>
  <si>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</si>
  <si>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</si>
  <si>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</si>
  <si>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</si>
  <si>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</si>
  <si>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</si>
  <si>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</si>
  <si>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</si>
  <si>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</si>
  <si>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</si>
  <si>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</si>
  <si>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</si>
  <si>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</si>
  <si>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</si>
  <si>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</si>
  <si>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</si>
  <si>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</si>
  <si>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</si>
  <si>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</si>
  <si>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</si>
  <si>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</si>
  <si>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</si>
  <si>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</si>
  <si>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</si>
  <si>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</si>
  <si>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</si>
  <si>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</si>
  <si>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</si>
  <si>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</si>
  <si>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</si>
  <si>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</si>
  <si>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</si>
  <si>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</si>
  <si>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</si>
  <si>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</si>
  <si>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</si>
  <si>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</si>
  <si>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</si>
  <si>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</si>
  <si>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</si>
  <si>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</si>
  <si>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</si>
  <si>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</si>
  <si>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</si>
  <si>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</si>
  <si>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</si>
  <si>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</si>
  <si>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</si>
  <si>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</si>
  <si>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</si>
  <si>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</si>
  <si>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</si>
  <si>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</si>
  <si>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</si>
  <si>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</si>
  <si>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</si>
  <si>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</si>
  <si>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</si>
  <si>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</si>
  <si>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</si>
  <si>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</si>
  <si>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</si>
  <si>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</si>
  <si>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</si>
  <si>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</si>
  <si>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</si>
  <si>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</si>
  <si>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</si>
  <si>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</si>
  <si>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</si>
  <si>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</si>
  <si>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</si>
  <si>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</si>
  <si>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</si>
  <si>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</si>
  <si>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</si>
  <si>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</si>
  <si>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</si>
  <si>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</si>
  <si>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</si>
  <si>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</si>
  <si>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</si>
  <si>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</si>
  <si>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</si>
  <si>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</si>
  <si>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</si>
  <si>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</si>
  <si>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</si>
  <si>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</si>
  <si>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</si>
  <si>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</si>
  <si>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</si>
  <si>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</si>
  <si>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</si>
  <si>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</si>
  <si>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</si>
  <si>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</si>
  <si>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</si>
  <si>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</si>
  <si>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</si>
  <si>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</si>
  <si>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</si>
  <si>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</si>
  <si>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</si>
  <si>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</si>
  <si>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</si>
  <si>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</si>
  <si>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</si>
  <si>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</si>
  <si>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</si>
  <si>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</si>
  <si>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</si>
  <si>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</si>
  <si>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</si>
  <si>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</si>
  <si>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</si>
  <si>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</si>
  <si>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</si>
  <si>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</si>
  <si>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</si>
  <si>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</si>
  <si>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</si>
  <si>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</si>
  <si>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</si>
  <si>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</si>
  <si>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</si>
  <si>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</si>
  <si>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</si>
  <si>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</si>
  <si>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</si>
  <si>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</si>
  <si>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</si>
  <si>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</si>
  <si>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</si>
  <si>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</si>
  <si>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</si>
  <si>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</si>
  <si>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</si>
  <si>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</si>
  <si>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</si>
  <si>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</si>
  <si>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</si>
  <si>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</si>
  <si>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</si>
  <si>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</si>
  <si>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</si>
  <si>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</si>
  <si>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</si>
  <si>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</si>
  <si>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</si>
  <si>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</si>
  <si>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</si>
  <si>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</si>
  <si>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</si>
  <si>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</si>
  <si>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</si>
  <si>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</si>
  <si>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</si>
  <si>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</si>
  <si>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</si>
  <si>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</si>
  <si>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</si>
  <si>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</si>
  <si>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</si>
  <si>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</si>
  <si>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</si>
  <si>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</si>
  <si>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</si>
  <si>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</si>
  <si>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</si>
  <si>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</si>
  <si>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</si>
  <si>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</si>
  <si>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</si>
  <si>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</si>
  <si>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</si>
  <si>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</si>
  <si>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</si>
  <si>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</si>
  <si>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</si>
  <si>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</si>
  <si>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</si>
  <si>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</si>
  <si>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</si>
  <si>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</si>
  <si>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</si>
  <si>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</si>
  <si>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</si>
  <si>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</si>
  <si>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</si>
  <si>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</si>
  <si>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</si>
  <si>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</si>
  <si>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</si>
  <si>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</si>
  <si>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</si>
  <si>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</si>
  <si>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</si>
  <si>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</si>
  <si>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</si>
  <si>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</si>
  <si>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</si>
  <si>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</si>
  <si>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</si>
  <si>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</si>
  <si>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</si>
  <si>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</si>
  <si>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</si>
  <si>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</si>
  <si>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</si>
  <si>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</si>
  <si>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</si>
  <si>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</si>
  <si>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</si>
  <si>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</si>
  <si>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</si>
  <si>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</si>
  <si>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</si>
  <si>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</si>
  <si>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</si>
  <si>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</si>
  <si>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</si>
  <si>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</si>
  <si>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</si>
  <si>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</si>
  <si>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</si>
  <si>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</si>
  <si>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</si>
  <si>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</si>
  <si>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</si>
  <si>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</si>
  <si>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</si>
  <si>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</si>
  <si>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</si>
  <si>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</si>
  <si>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</si>
  <si>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</si>
  <si>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</si>
  <si>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</si>
  <si>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</si>
  <si>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</si>
  <si>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</si>
  <si>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</si>
  <si>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</si>
  <si>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</si>
  <si>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</si>
  <si>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</si>
  <si>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</si>
  <si>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</si>
  <si>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</si>
  <si>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</si>
  <si>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</si>
  <si>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</si>
  <si>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</si>
  <si>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</si>
  <si>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</si>
  <si>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</si>
  <si>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</si>
  <si>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</si>
  <si>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</si>
  <si>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</si>
  <si>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</si>
  <si>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</si>
  <si>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</si>
  <si>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</si>
  <si>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</si>
  <si>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</si>
  <si>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</si>
  <si>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</si>
  <si>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</si>
  <si>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</si>
  <si>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</si>
  <si>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</si>
  <si>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</si>
  <si>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</si>
  <si>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</si>
  <si>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</si>
  <si>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</si>
  <si>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</si>
  <si>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</si>
  <si>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</si>
  <si>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</si>
  <si>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</si>
  <si>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</si>
  <si>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</si>
  <si>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</si>
  <si>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</si>
  <si>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</si>
  <si>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</si>
  <si>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</si>
  <si>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</si>
  <si>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</si>
  <si>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</si>
  <si>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</si>
  <si>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</si>
  <si>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</si>
  <si>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</si>
  <si>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</si>
  <si>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</si>
  <si>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</si>
  <si>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</si>
  <si>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</si>
  <si>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</si>
  <si>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</si>
  <si>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</si>
  <si>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</si>
  <si>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</si>
  <si>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</si>
  <si>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</si>
  <si>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</si>
  <si>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</si>
  <si>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</si>
  <si>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</si>
  <si>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</si>
  <si>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</si>
  <si>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</si>
  <si>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</si>
  <si>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</si>
  <si>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</si>
  <si>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</si>
  <si>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</si>
  <si>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</si>
  <si>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</si>
  <si>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</si>
  <si>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</si>
  <si>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</si>
  <si>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</si>
  <si>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</si>
  <si>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</si>
  <si>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</si>
  <si>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</si>
  <si>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</si>
  <si>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</si>
  <si>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</si>
  <si>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</si>
  <si>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</si>
  <si>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</si>
  <si>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</si>
  <si>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</si>
  <si>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</si>
  <si>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</si>
  <si>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</si>
  <si>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</si>
  <si>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</si>
  <si>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</si>
  <si>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</si>
  <si>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</si>
  <si>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</si>
  <si>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</si>
  <si>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</si>
  <si>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</si>
  <si>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</si>
  <si>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</si>
  <si>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</si>
  <si>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</si>
  <si>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</si>
  <si>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</si>
  <si>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</si>
  <si>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</si>
  <si>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</si>
  <si>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</si>
  <si>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</si>
  <si>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</si>
  <si>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</si>
  <si>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</si>
  <si>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</si>
  <si>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</si>
  <si>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</si>
  <si>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</si>
  <si>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</si>
  <si>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</si>
  <si>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</si>
  <si>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</si>
  <si>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</si>
  <si>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</si>
  <si>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</si>
  <si>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</si>
  <si>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</si>
  <si>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</si>
  <si>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</si>
  <si>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</si>
  <si>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</si>
  <si>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</si>
  <si>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</si>
  <si>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</si>
  <si>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</si>
  <si>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</si>
  <si>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</si>
  <si>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</si>
  <si>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</si>
  <si>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</si>
  <si>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</si>
  <si>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</si>
  <si>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</si>
  <si>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</si>
  <si>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</si>
  <si>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</si>
  <si>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</si>
  <si>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</si>
  <si>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</si>
  <si>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</si>
  <si>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</si>
  <si>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</si>
  <si>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</si>
  <si>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</si>
  <si>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</si>
  <si>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</si>
  <si>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</si>
  <si>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</si>
  <si>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</si>
  <si>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</si>
  <si>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</si>
  <si>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</si>
  <si>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</si>
  <si>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</si>
  <si>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</si>
  <si>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</si>
  <si>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</si>
  <si>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</si>
  <si>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</si>
  <si>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</si>
  <si>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</si>
  <si>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</si>
  <si>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</si>
  <si>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</si>
  <si>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</si>
  <si>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</si>
  <si>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</si>
  <si>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</si>
  <si>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</si>
  <si>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</si>
  <si>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</si>
  <si>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</si>
  <si>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</si>
  <si>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</si>
  <si>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</si>
  <si>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</si>
  <si>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</si>
  <si>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</si>
  <si>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</si>
  <si>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</si>
  <si>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</si>
  <si>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</si>
  <si>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</si>
  <si>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</si>
  <si>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</si>
  <si>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</si>
  <si>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</si>
  <si>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</si>
  <si>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</si>
  <si>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</si>
  <si>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</si>
  <si>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</si>
  <si>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</si>
  <si>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</si>
  <si>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</si>
  <si>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</si>
  <si>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</si>
  <si>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</si>
  <si>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</si>
  <si>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</si>
  <si>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</si>
  <si>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</si>
  <si>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</si>
  <si>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</si>
  <si>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</si>
  <si>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</si>
  <si>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</si>
  <si>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</si>
  <si>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</si>
  <si>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</si>
  <si>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</si>
  <si>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</si>
  <si>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</si>
  <si>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</si>
  <si>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</si>
  <si>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</si>
  <si>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</si>
  <si>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</si>
  <si>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</si>
  <si>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</si>
  <si>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</si>
  <si>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</si>
  <si>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</si>
  <si>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</si>
  <si>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</si>
  <si>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</si>
  <si>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</si>
  <si>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</si>
  <si>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</si>
  <si>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</si>
  <si>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</si>
  <si>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</si>
  <si>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</si>
  <si>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</si>
  <si>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</si>
  <si>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</si>
  <si>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</si>
  <si>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</si>
  <si>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</si>
  <si>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</si>
  <si>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</si>
  <si>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</si>
  <si>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</si>
  <si>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</si>
  <si>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</si>
  <si>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</si>
  <si>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</si>
  <si>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</si>
  <si>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</si>
  <si>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</si>
  <si>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</si>
  <si>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</si>
  <si>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</si>
  <si>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</si>
  <si>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</si>
  <si>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</si>
  <si>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</si>
  <si>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</si>
  <si>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</si>
  <si>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</si>
  <si>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</si>
  <si>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</si>
  <si>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</si>
  <si>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</si>
  <si>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</si>
  <si>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</si>
  <si>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</si>
  <si>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</si>
  <si>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</si>
  <si>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</si>
  <si>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</si>
  <si>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</si>
  <si>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</si>
  <si>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</si>
  <si>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</si>
  <si>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</si>
  <si>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</si>
  <si>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</si>
  <si>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</si>
  <si>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</si>
  <si>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</si>
  <si>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</si>
  <si>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</si>
  <si>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</si>
  <si>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</si>
  <si>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</si>
  <si>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</si>
  <si>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</si>
  <si>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</si>
  <si>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</si>
  <si>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</si>
  <si>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</si>
  <si>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</si>
  <si>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</si>
  <si>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</si>
  <si>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</si>
  <si>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</si>
  <si>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</si>
  <si>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</si>
  <si>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</si>
  <si>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</si>
  <si>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</si>
  <si>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</si>
  <si>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</si>
  <si>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</si>
  <si>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</si>
  <si>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</si>
  <si>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</si>
  <si>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</si>
  <si>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</si>
  <si>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</si>
  <si>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</si>
  <si>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</si>
  <si>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</si>
  <si>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</si>
  <si>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</si>
  <si>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</si>
  <si>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</si>
  <si>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</si>
  <si>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</si>
  <si>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</si>
  <si>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</si>
  <si>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</si>
  <si>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</si>
  <si>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</si>
  <si>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</si>
  <si>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</si>
  <si>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</si>
  <si>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</si>
  <si>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</si>
  <si>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</si>
  <si>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</si>
  <si>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</si>
  <si>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</si>
  <si>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</si>
  <si>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</si>
  <si>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</si>
  <si>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</si>
  <si>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</si>
  <si>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</si>
  <si>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</si>
  <si>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</si>
  <si>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</si>
  <si>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</si>
  <si>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</si>
  <si>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</si>
  <si>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</si>
  <si>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</si>
  <si>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</si>
  <si>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</si>
  <si>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</si>
  <si>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</si>
  <si>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</si>
  <si>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</si>
  <si>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</si>
  <si>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</si>
  <si>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</si>
  <si>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</si>
  <si>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</si>
  <si>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</si>
  <si>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</si>
  <si>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</si>
  <si>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</si>
  <si>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</si>
  <si>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</si>
  <si>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</si>
  <si>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</si>
  <si>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11016</t>
  </si>
  <si>
    <t>ESSEN</t>
  </si>
  <si>
    <t>Paarden&amp;pony's 200 - 600 kg</t>
  </si>
  <si>
    <t>Paarden&amp;pony's &lt; 200 kg</t>
  </si>
  <si>
    <t>referentietaak LNE (2017); Jaarverslag De Lijn (2014)</t>
  </si>
  <si>
    <t>op basis van VEA (maart 2018) en Inventaris Hernieuwbare Energiebronnen (juni 2018)</t>
  </si>
  <si>
    <t>VEA (maart 2016)</t>
  </si>
  <si>
    <t>VEA (juni 2018)</t>
  </si>
  <si>
    <t>Biolectric nv</t>
  </si>
  <si>
    <t>Jan de Malschelaan 4 B, 9140 Temse</t>
  </si>
  <si>
    <t>WKK-0502 Gert Godrie</t>
  </si>
  <si>
    <t>interne verbrandingsmotor</t>
  </si>
  <si>
    <t>WKK interne verbrandinsgmotor (gas)</t>
  </si>
  <si>
    <t>De Vijvers 10 , 2910 Essen</t>
  </si>
  <si>
    <t>IVEG</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</si>
</sst>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147918.24357880108</c:v>
                </c:pt>
                <c:pt idx="1">
                  <c:v>29629.150769872118</c:v>
                </c:pt>
                <c:pt idx="2">
                  <c:v>1389.16</c:v>
                </c:pt>
                <c:pt idx="3">
                  <c:v>11059.96931733489</c:v>
                </c:pt>
                <c:pt idx="4">
                  <c:v>66282.775065417823</c:v>
                </c:pt>
                <c:pt idx="5">
                  <c:v>57717.860274296203</c:v>
                </c:pt>
                <c:pt idx="6">
                  <c:v>601.71824161344898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091776"/>
        <c:axId val="182093312"/>
      </c:barChart>
      <c:catAx>
        <c:axId val="182091776"/>
        <c:scaling>
          <c:orientation val="minMax"/>
        </c:scaling>
        <c:axPos val="b"/>
        <c:numFmt formatCode="General" sourceLinked="0"/>
        <c:tickLblPos val="nextTo"/>
        <c:crossAx val="182093312"/>
        <c:crosses val="autoZero"/>
        <c:auto val="1"/>
        <c:lblAlgn val="ctr"/>
        <c:lblOffset val="100"/>
      </c:catAx>
      <c:valAx>
        <c:axId val="182093312"/>
        <c:scaling>
          <c:orientation val="minMax"/>
        </c:scaling>
        <c:axPos val="l"/>
        <c:majorGridlines/>
        <c:numFmt formatCode="#,##0" sourceLinked="1"/>
        <c:tickLblPos val="nextTo"/>
        <c:crossAx val="1820917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147918.24357880108</c:v>
                </c:pt>
                <c:pt idx="1">
                  <c:v>29629.150769872118</c:v>
                </c:pt>
                <c:pt idx="2">
                  <c:v>1389.16</c:v>
                </c:pt>
                <c:pt idx="3">
                  <c:v>11059.96931733489</c:v>
                </c:pt>
                <c:pt idx="4">
                  <c:v>66282.775065417823</c:v>
                </c:pt>
                <c:pt idx="5">
                  <c:v>57717.860274296203</c:v>
                </c:pt>
                <c:pt idx="6">
                  <c:v>601.71824161344898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27663.146444027356</c:v>
                </c:pt>
                <c:pt idx="2">
                  <c:v>5724.4022480114972</c:v>
                </c:pt>
                <c:pt idx="3">
                  <c:v>272.81291753528541</c:v>
                </c:pt>
                <c:pt idx="4">
                  <c:v>2756.9026660123682</c:v>
                </c:pt>
                <c:pt idx="5">
                  <c:v>13064.900505071781</c:v>
                </c:pt>
                <c:pt idx="6">
                  <c:v>14439.042986790424</c:v>
                </c:pt>
                <c:pt idx="7">
                  <c:v>151.99115785640049</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520448"/>
        <c:axId val="182575488"/>
      </c:barChart>
      <c:catAx>
        <c:axId val="182520448"/>
        <c:scaling>
          <c:orientation val="minMax"/>
        </c:scaling>
        <c:axPos val="b"/>
        <c:numFmt formatCode="General" sourceLinked="0"/>
        <c:tickLblPos val="nextTo"/>
        <c:crossAx val="182575488"/>
        <c:crosses val="autoZero"/>
        <c:auto val="1"/>
        <c:lblAlgn val="ctr"/>
        <c:lblOffset val="100"/>
      </c:catAx>
      <c:valAx>
        <c:axId val="182575488"/>
        <c:scaling>
          <c:orientation val="minMax"/>
        </c:scaling>
        <c:axPos val="l"/>
        <c:majorGridlines/>
        <c:numFmt formatCode="#,##0" sourceLinked="1"/>
        <c:tickLblPos val="nextTo"/>
        <c:crossAx val="1825204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27663.146444027356</c:v>
                </c:pt>
                <c:pt idx="2">
                  <c:v>5724.4022480114972</c:v>
                </c:pt>
                <c:pt idx="3">
                  <c:v>272.81291753528541</c:v>
                </c:pt>
                <c:pt idx="4">
                  <c:v>2756.9026660123682</c:v>
                </c:pt>
                <c:pt idx="5">
                  <c:v>13064.900505071781</c:v>
                </c:pt>
                <c:pt idx="6">
                  <c:v>14439.042986790424</c:v>
                </c:pt>
                <c:pt idx="7">
                  <c:v>151.99115785640049</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11016</v>
      </c>
      <c r="B6" s="416"/>
      <c r="C6" s="417"/>
    </row>
    <row r="7" spans="1:7" s="414" customFormat="1" ht="15.75" customHeight="1">
      <c r="A7" s="418" t="str">
        <f>txtMunicipality</f>
        <v>ESSEN</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0.19638696588966381</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0.19638696588966381</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11016</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7169</v>
      </c>
      <c r="C9" s="342">
        <v>7757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2671</v>
      </c>
    </row>
    <row r="15" spans="1:6">
      <c r="A15" s="348" t="s">
        <v>184</v>
      </c>
      <c r="B15" s="334">
        <v>572</v>
      </c>
    </row>
    <row r="16" spans="1:6">
      <c r="A16" s="348" t="s">
        <v>6</v>
      </c>
      <c r="B16" s="334">
        <v>3782</v>
      </c>
    </row>
    <row r="17" spans="1:6">
      <c r="A17" s="348" t="s">
        <v>7</v>
      </c>
      <c r="B17" s="334">
        <v>255</v>
      </c>
    </row>
    <row r="18" spans="1:6">
      <c r="A18" s="348" t="s">
        <v>8</v>
      </c>
      <c r="B18" s="334">
        <v>2098</v>
      </c>
    </row>
    <row r="19" spans="1:6">
      <c r="A19" s="348" t="s">
        <v>9</v>
      </c>
      <c r="B19" s="334">
        <v>2224</v>
      </c>
    </row>
    <row r="20" spans="1:6">
      <c r="A20" s="348" t="s">
        <v>10</v>
      </c>
      <c r="B20" s="334">
        <v>927</v>
      </c>
    </row>
    <row r="21" spans="1:6">
      <c r="A21" s="348" t="s">
        <v>11</v>
      </c>
      <c r="B21" s="334">
        <v>7357</v>
      </c>
    </row>
    <row r="22" spans="1:6">
      <c r="A22" s="348" t="s">
        <v>12</v>
      </c>
      <c r="B22" s="334">
        <v>21846</v>
      </c>
    </row>
    <row r="23" spans="1:6">
      <c r="A23" s="348" t="s">
        <v>13</v>
      </c>
      <c r="B23" s="334">
        <v>158</v>
      </c>
    </row>
    <row r="24" spans="1:6">
      <c r="A24" s="348" t="s">
        <v>14</v>
      </c>
      <c r="B24" s="334">
        <v>8</v>
      </c>
    </row>
    <row r="25" spans="1:6">
      <c r="A25" s="348" t="s">
        <v>15</v>
      </c>
      <c r="B25" s="334">
        <v>1123</v>
      </c>
    </row>
    <row r="26" spans="1:6">
      <c r="A26" s="348" t="s">
        <v>16</v>
      </c>
      <c r="B26" s="334">
        <v>41</v>
      </c>
    </row>
    <row r="27" spans="1:6">
      <c r="A27" s="348" t="s">
        <v>17</v>
      </c>
      <c r="B27" s="334">
        <v>12</v>
      </c>
    </row>
    <row r="28" spans="1:6" s="356" customFormat="1">
      <c r="A28" s="355" t="s">
        <v>18</v>
      </c>
      <c r="B28" s="355">
        <v>345016</v>
      </c>
    </row>
    <row r="29" spans="1:6">
      <c r="A29" s="355" t="s">
        <v>901</v>
      </c>
      <c r="B29" s="355">
        <v>173</v>
      </c>
      <c r="C29" s="356"/>
      <c r="D29" s="356"/>
      <c r="E29" s="356"/>
      <c r="F29" s="356"/>
    </row>
    <row r="30" spans="1:6">
      <c r="A30" s="341" t="s">
        <v>902</v>
      </c>
      <c r="B30" s="341">
        <v>56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32365</v>
      </c>
    </row>
    <row r="37" spans="1:6">
      <c r="A37" s="348" t="s">
        <v>25</v>
      </c>
      <c r="B37" s="348" t="s">
        <v>28</v>
      </c>
      <c r="C37" s="334">
        <v>0</v>
      </c>
      <c r="D37" s="334">
        <v>0</v>
      </c>
      <c r="E37" s="334">
        <v>0</v>
      </c>
      <c r="F37" s="334">
        <v>0</v>
      </c>
    </row>
    <row r="38" spans="1:6">
      <c r="A38" s="348" t="s">
        <v>25</v>
      </c>
      <c r="B38" s="348" t="s">
        <v>29</v>
      </c>
      <c r="C38" s="334">
        <v>1</v>
      </c>
      <c r="D38" s="334">
        <v>178807.45254364499</v>
      </c>
      <c r="E38" s="334">
        <v>0</v>
      </c>
      <c r="F38" s="334">
        <v>0</v>
      </c>
    </row>
    <row r="39" spans="1:6">
      <c r="A39" s="348" t="s">
        <v>30</v>
      </c>
      <c r="B39" s="348" t="s">
        <v>31</v>
      </c>
      <c r="C39" s="334">
        <v>3726</v>
      </c>
      <c r="D39" s="334">
        <v>62754389.895966798</v>
      </c>
      <c r="E39" s="334">
        <v>7445</v>
      </c>
      <c r="F39" s="334">
        <v>33269208</v>
      </c>
    </row>
    <row r="40" spans="1:6">
      <c r="A40" s="348" t="s">
        <v>30</v>
      </c>
      <c r="B40" s="348" t="s">
        <v>29</v>
      </c>
      <c r="C40" s="334">
        <v>1</v>
      </c>
      <c r="D40" s="334">
        <v>16066.204385250699</v>
      </c>
      <c r="E40" s="334">
        <v>0</v>
      </c>
      <c r="F40" s="334">
        <v>0</v>
      </c>
    </row>
    <row r="41" spans="1:6">
      <c r="A41" s="348" t="s">
        <v>32</v>
      </c>
      <c r="B41" s="348" t="s">
        <v>33</v>
      </c>
      <c r="C41" s="334">
        <v>62</v>
      </c>
      <c r="D41" s="334">
        <v>1442779.7896201699</v>
      </c>
      <c r="E41" s="334">
        <v>170</v>
      </c>
      <c r="F41" s="334">
        <v>19032445</v>
      </c>
    </row>
    <row r="42" spans="1:6">
      <c r="A42" s="348" t="s">
        <v>32</v>
      </c>
      <c r="B42" s="348" t="s">
        <v>34</v>
      </c>
      <c r="C42" s="334">
        <v>0</v>
      </c>
      <c r="D42" s="334">
        <v>0</v>
      </c>
      <c r="E42" s="334">
        <v>0</v>
      </c>
      <c r="F42" s="334">
        <v>0</v>
      </c>
    </row>
    <row r="43" spans="1:6">
      <c r="A43" s="348" t="s">
        <v>32</v>
      </c>
      <c r="B43" s="348" t="s">
        <v>35</v>
      </c>
      <c r="C43" s="334">
        <v>0</v>
      </c>
      <c r="D43" s="334">
        <v>0</v>
      </c>
      <c r="E43" s="334">
        <v>3</v>
      </c>
      <c r="F43" s="334">
        <v>32429</v>
      </c>
    </row>
    <row r="44" spans="1:6">
      <c r="A44" s="348" t="s">
        <v>32</v>
      </c>
      <c r="B44" s="348" t="s">
        <v>36</v>
      </c>
      <c r="C44" s="334">
        <v>3</v>
      </c>
      <c r="D44" s="334">
        <v>39775.210084410202</v>
      </c>
      <c r="E44" s="334">
        <v>35</v>
      </c>
      <c r="F44" s="334">
        <v>1603647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5</v>
      </c>
      <c r="F47" s="334">
        <v>1681950</v>
      </c>
    </row>
    <row r="48" spans="1:6">
      <c r="A48" s="348" t="s">
        <v>32</v>
      </c>
      <c r="B48" s="348" t="s">
        <v>29</v>
      </c>
      <c r="C48" s="334">
        <v>32</v>
      </c>
      <c r="D48" s="334">
        <v>1246713.94595412</v>
      </c>
      <c r="E48" s="334">
        <v>3</v>
      </c>
      <c r="F48" s="334">
        <v>22137</v>
      </c>
    </row>
    <row r="49" spans="1:6">
      <c r="A49" s="348" t="s">
        <v>32</v>
      </c>
      <c r="B49" s="348" t="s">
        <v>40</v>
      </c>
      <c r="C49" s="334">
        <v>0</v>
      </c>
      <c r="D49" s="334">
        <v>0</v>
      </c>
      <c r="E49" s="334">
        <v>0</v>
      </c>
      <c r="F49" s="334">
        <v>0</v>
      </c>
    </row>
    <row r="50" spans="1:6">
      <c r="A50" s="348" t="s">
        <v>32</v>
      </c>
      <c r="B50" s="348" t="s">
        <v>41</v>
      </c>
      <c r="C50" s="334">
        <v>8</v>
      </c>
      <c r="D50" s="334">
        <v>465957.47554282902</v>
      </c>
      <c r="E50" s="334">
        <v>14</v>
      </c>
      <c r="F50" s="334">
        <v>3852568</v>
      </c>
    </row>
    <row r="51" spans="1:6">
      <c r="A51" s="348" t="s">
        <v>42</v>
      </c>
      <c r="B51" s="348" t="s">
        <v>43</v>
      </c>
      <c r="C51" s="334">
        <v>3</v>
      </c>
      <c r="D51" s="334">
        <v>18914.159334003001</v>
      </c>
      <c r="E51" s="334">
        <v>121</v>
      </c>
      <c r="F51" s="334">
        <v>2928174</v>
      </c>
    </row>
    <row r="52" spans="1:6">
      <c r="A52" s="348" t="s">
        <v>42</v>
      </c>
      <c r="B52" s="348" t="s">
        <v>29</v>
      </c>
      <c r="C52" s="334">
        <v>5</v>
      </c>
      <c r="D52" s="334">
        <v>162969.64683669299</v>
      </c>
      <c r="E52" s="334">
        <v>0</v>
      </c>
      <c r="F52" s="334">
        <v>0</v>
      </c>
    </row>
    <row r="53" spans="1:6">
      <c r="A53" s="348" t="s">
        <v>44</v>
      </c>
      <c r="B53" s="348" t="s">
        <v>45</v>
      </c>
      <c r="C53" s="334">
        <v>79</v>
      </c>
      <c r="D53" s="334">
        <v>2249665.0044612298</v>
      </c>
      <c r="E53" s="334">
        <v>0</v>
      </c>
      <c r="F53" s="334">
        <v>0</v>
      </c>
    </row>
    <row r="54" spans="1:6">
      <c r="A54" s="348" t="s">
        <v>46</v>
      </c>
      <c r="B54" s="348" t="s">
        <v>47</v>
      </c>
      <c r="C54" s="334">
        <v>0</v>
      </c>
      <c r="D54" s="334">
        <v>0</v>
      </c>
      <c r="E54" s="334">
        <v>3</v>
      </c>
      <c r="F54" s="334">
        <v>1389160</v>
      </c>
    </row>
    <row r="55" spans="1:6">
      <c r="A55" s="348" t="s">
        <v>46</v>
      </c>
      <c r="B55" s="348" t="s">
        <v>29</v>
      </c>
      <c r="C55" s="334">
        <v>0</v>
      </c>
      <c r="D55" s="334">
        <v>0</v>
      </c>
      <c r="E55" s="334">
        <v>0</v>
      </c>
      <c r="F55" s="334">
        <v>0</v>
      </c>
    </row>
    <row r="56" spans="1:6">
      <c r="A56" s="348" t="s">
        <v>48</v>
      </c>
      <c r="B56" s="348" t="s">
        <v>29</v>
      </c>
      <c r="C56" s="334">
        <v>0</v>
      </c>
      <c r="D56" s="334">
        <v>0</v>
      </c>
      <c r="E56" s="334">
        <v>165</v>
      </c>
      <c r="F56" s="334">
        <v>909590</v>
      </c>
    </row>
    <row r="57" spans="1:6">
      <c r="A57" s="348" t="s">
        <v>49</v>
      </c>
      <c r="B57" s="348" t="s">
        <v>50</v>
      </c>
      <c r="C57" s="334">
        <v>35</v>
      </c>
      <c r="D57" s="334">
        <v>2892111.4580505001</v>
      </c>
      <c r="E57" s="334">
        <v>90</v>
      </c>
      <c r="F57" s="334">
        <v>2153155</v>
      </c>
    </row>
    <row r="58" spans="1:6">
      <c r="A58" s="348" t="s">
        <v>49</v>
      </c>
      <c r="B58" s="348" t="s">
        <v>51</v>
      </c>
      <c r="C58" s="334">
        <v>14</v>
      </c>
      <c r="D58" s="334">
        <v>285183.07835736702</v>
      </c>
      <c r="E58" s="334">
        <v>26</v>
      </c>
      <c r="F58" s="334">
        <v>795831</v>
      </c>
    </row>
    <row r="59" spans="1:6">
      <c r="A59" s="348" t="s">
        <v>49</v>
      </c>
      <c r="B59" s="348" t="s">
        <v>52</v>
      </c>
      <c r="C59" s="334">
        <v>35</v>
      </c>
      <c r="D59" s="334">
        <v>1490254.81549386</v>
      </c>
      <c r="E59" s="334">
        <v>169</v>
      </c>
      <c r="F59" s="334">
        <v>4821218</v>
      </c>
    </row>
    <row r="60" spans="1:6">
      <c r="A60" s="348" t="s">
        <v>49</v>
      </c>
      <c r="B60" s="348" t="s">
        <v>53</v>
      </c>
      <c r="C60" s="334">
        <v>41</v>
      </c>
      <c r="D60" s="334">
        <v>1554218.33796567</v>
      </c>
      <c r="E60" s="334">
        <v>71</v>
      </c>
      <c r="F60" s="334">
        <v>1515655</v>
      </c>
    </row>
    <row r="61" spans="1:6">
      <c r="A61" s="348" t="s">
        <v>49</v>
      </c>
      <c r="B61" s="348" t="s">
        <v>54</v>
      </c>
      <c r="C61" s="334">
        <v>72</v>
      </c>
      <c r="D61" s="334">
        <v>1859811.76253306</v>
      </c>
      <c r="E61" s="334">
        <v>295</v>
      </c>
      <c r="F61" s="334">
        <v>3196569</v>
      </c>
    </row>
    <row r="62" spans="1:6">
      <c r="A62" s="348" t="s">
        <v>49</v>
      </c>
      <c r="B62" s="348" t="s">
        <v>55</v>
      </c>
      <c r="C62" s="334">
        <v>9</v>
      </c>
      <c r="D62" s="334">
        <v>1480805.5621550099</v>
      </c>
      <c r="E62" s="334">
        <v>21</v>
      </c>
      <c r="F62" s="334">
        <v>619567</v>
      </c>
    </row>
    <row r="63" spans="1:6">
      <c r="A63" s="348" t="s">
        <v>49</v>
      </c>
      <c r="B63" s="348" t="s">
        <v>29</v>
      </c>
      <c r="C63" s="334">
        <v>85</v>
      </c>
      <c r="D63" s="334">
        <v>4561274.9885754604</v>
      </c>
      <c r="E63" s="334">
        <v>0</v>
      </c>
      <c r="F63" s="334">
        <v>0</v>
      </c>
    </row>
    <row r="64" spans="1:6">
      <c r="A64" s="348" t="s">
        <v>56</v>
      </c>
      <c r="B64" s="348" t="s">
        <v>57</v>
      </c>
      <c r="C64" s="334">
        <v>0</v>
      </c>
      <c r="D64" s="334">
        <v>0</v>
      </c>
      <c r="E64" s="334">
        <v>0</v>
      </c>
      <c r="F64" s="334">
        <v>0</v>
      </c>
    </row>
    <row r="65" spans="1:6">
      <c r="A65" s="348" t="s">
        <v>56</v>
      </c>
      <c r="B65" s="348" t="s">
        <v>29</v>
      </c>
      <c r="C65" s="334">
        <v>3</v>
      </c>
      <c r="D65" s="334">
        <v>318915.85765556101</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12</v>
      </c>
      <c r="F68" s="334">
        <v>58133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33373292</v>
      </c>
      <c r="E73" s="476">
        <v>34310690.543950804</v>
      </c>
    </row>
    <row r="74" spans="1:6">
      <c r="A74" s="348" t="s">
        <v>64</v>
      </c>
      <c r="B74" s="348" t="s">
        <v>714</v>
      </c>
      <c r="C74" s="1311" t="s">
        <v>716</v>
      </c>
      <c r="D74" s="476">
        <v>1612923.2600450648</v>
      </c>
      <c r="E74" s="476">
        <v>1662739.7669202674</v>
      </c>
    </row>
    <row r="75" spans="1:6">
      <c r="A75" s="348" t="s">
        <v>65</v>
      </c>
      <c r="B75" s="348" t="s">
        <v>713</v>
      </c>
      <c r="C75" s="1311" t="s">
        <v>717</v>
      </c>
      <c r="D75" s="476">
        <v>33451275</v>
      </c>
      <c r="E75" s="476">
        <v>34245430.859904625</v>
      </c>
    </row>
    <row r="76" spans="1:6">
      <c r="A76" s="348" t="s">
        <v>65</v>
      </c>
      <c r="B76" s="348" t="s">
        <v>714</v>
      </c>
      <c r="C76" s="1311" t="s">
        <v>718</v>
      </c>
      <c r="D76" s="476">
        <v>998712.26004506485</v>
      </c>
      <c r="E76" s="476">
        <v>1024844.4277034677</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160793.47990987019</v>
      </c>
      <c r="C83" s="476">
        <v>158971.67635693346</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3591.4782873349286</v>
      </c>
    </row>
    <row r="91" spans="1:6">
      <c r="A91" s="348" t="s">
        <v>68</v>
      </c>
      <c r="B91" s="334">
        <v>3438.9195834439811</v>
      </c>
    </row>
    <row r="92" spans="1:6">
      <c r="A92" s="341" t="s">
        <v>69</v>
      </c>
      <c r="B92" s="342">
        <v>1977.2429701246315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1669</v>
      </c>
    </row>
    <row r="98" spans="1:6">
      <c r="A98" s="348" t="s">
        <v>72</v>
      </c>
      <c r="B98" s="334">
        <v>6</v>
      </c>
    </row>
    <row r="99" spans="1:6">
      <c r="A99" s="348" t="s">
        <v>73</v>
      </c>
      <c r="B99" s="334">
        <v>290</v>
      </c>
    </row>
    <row r="100" spans="1:6">
      <c r="A100" s="348" t="s">
        <v>74</v>
      </c>
      <c r="B100" s="334">
        <v>730</v>
      </c>
    </row>
    <row r="101" spans="1:6">
      <c r="A101" s="348" t="s">
        <v>75</v>
      </c>
      <c r="B101" s="334">
        <v>169</v>
      </c>
    </row>
    <row r="102" spans="1:6">
      <c r="A102" s="348" t="s">
        <v>76</v>
      </c>
      <c r="B102" s="334">
        <v>69</v>
      </c>
    </row>
    <row r="103" spans="1:6">
      <c r="A103" s="348" t="s">
        <v>77</v>
      </c>
      <c r="B103" s="334">
        <v>176</v>
      </c>
    </row>
    <row r="104" spans="1:6">
      <c r="A104" s="348" t="s">
        <v>78</v>
      </c>
      <c r="B104" s="334">
        <v>2931</v>
      </c>
    </row>
    <row r="105" spans="1:6">
      <c r="A105" s="341" t="s">
        <v>79</v>
      </c>
      <c r="B105" s="341">
        <v>8</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12</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115</v>
      </c>
    </row>
    <row r="130" spans="1:6">
      <c r="A130" s="348" t="s">
        <v>295</v>
      </c>
      <c r="B130" s="334">
        <v>5</v>
      </c>
    </row>
    <row r="131" spans="1:6">
      <c r="A131" s="348" t="s">
        <v>296</v>
      </c>
      <c r="B131" s="334">
        <v>0</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81271.381125646993</v>
      </c>
      <c r="C3" s="43" t="s">
        <v>170</v>
      </c>
      <c r="D3" s="43"/>
      <c r="E3" s="154"/>
      <c r="F3" s="43"/>
      <c r="G3" s="43"/>
      <c r="H3" s="43"/>
      <c r="I3" s="43"/>
      <c r="J3" s="43"/>
      <c r="K3" s="96"/>
    </row>
    <row r="4" spans="1:11">
      <c r="A4" s="384" t="s">
        <v>171</v>
      </c>
      <c r="B4" s="49">
        <f>IF(ISERROR('SEAP template'!B78+'SEAP template'!C78),0,'SEAP template'!B78+'SEAP template'!C78)</f>
        <v>9051.2908409035408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0.19638696588966381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62.357142857142847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1389.16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1389.16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0.19638696588966381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272.81291753528541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33269.207999999999</v>
      </c>
      <c r="C5" s="17">
        <f>IF(ISERROR('Eigen informatie GS &amp; warmtenet'!B57),0,'Eigen informatie GS &amp; warmtenet'!B57)</f>
        <v>0</v>
      </c>
      <c r="D5" s="30">
        <f>(SUM(HH_hh_gas_kWh,HH_rest_gas_kWh)/1000)*0.902</f>
        <v>56618.951402517552</v>
      </c>
      <c r="E5" s="17">
        <f>B46*B57</f>
        <v>8487.2145137145217</v>
      </c>
      <c r="F5" s="17">
        <f>B51*B62</f>
        <v>26556.26504308005</v>
      </c>
      <c r="G5" s="18"/>
      <c r="H5" s="17"/>
      <c r="I5" s="17"/>
      <c r="J5" s="17">
        <f>B50*B61+C50*C61</f>
        <v>0</v>
      </c>
      <c r="K5" s="17"/>
      <c r="L5" s="17"/>
      <c r="M5" s="17"/>
      <c r="N5" s="17">
        <f>B48*B59+C48*C59</f>
        <v>18756.511702711628</v>
      </c>
      <c r="O5" s="17">
        <f>B69*B70*B71</f>
        <v>200.10666666666668</v>
      </c>
      <c r="P5" s="17">
        <f>B77*B78*B79/1000-B77*B78*B79/1000/B80</f>
        <v>591.06666666666661</v>
      </c>
    </row>
    <row r="6" spans="1:16">
      <c r="A6" s="16" t="s">
        <v>631</v>
      </c>
      <c r="B6" s="789">
        <f>kWh_PV_kleiner_dan_10kW</f>
        <v>3438.9195834439811</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36708.12758344398</v>
      </c>
      <c r="C8" s="21">
        <f>C5</f>
        <v>0</v>
      </c>
      <c r="D8" s="21">
        <f>D5</f>
        <v>56618.951402517552</v>
      </c>
      <c r="E8" s="21">
        <f>E5</f>
        <v>8487.2145137145217</v>
      </c>
      <c r="F8" s="21">
        <f>F5</f>
        <v>26556.26504308005</v>
      </c>
      <c r="G8" s="21"/>
      <c r="H8" s="21"/>
      <c r="I8" s="21"/>
      <c r="J8" s="21">
        <f>J5</f>
        <v>0</v>
      </c>
      <c r="K8" s="21"/>
      <c r="L8" s="21">
        <f>L5</f>
        <v>0</v>
      </c>
      <c r="M8" s="21">
        <f>M5</f>
        <v>0</v>
      </c>
      <c r="N8" s="21">
        <f>N5</f>
        <v>18756.511702711628</v>
      </c>
      <c r="O8" s="21">
        <f>O5</f>
        <v>200.10666666666668</v>
      </c>
      <c r="P8" s="21">
        <f>P5</f>
        <v>591.06666666666661</v>
      </c>
    </row>
    <row r="9" spans="1:16">
      <c r="B9" s="19"/>
      <c r="C9" s="19"/>
      <c r="D9" s="258"/>
      <c r="E9" s="19"/>
      <c r="F9" s="19"/>
      <c r="G9" s="19"/>
      <c r="H9" s="19"/>
      <c r="I9" s="19"/>
      <c r="J9" s="19"/>
      <c r="K9" s="19"/>
      <c r="L9" s="19"/>
      <c r="M9" s="19"/>
      <c r="N9" s="19"/>
      <c r="O9" s="19"/>
      <c r="P9" s="19"/>
    </row>
    <row r="10" spans="1:16">
      <c r="A10" s="24" t="s">
        <v>214</v>
      </c>
      <c r="B10" s="25">
        <f ca="1">'EF ele_warmte'!B12</f>
        <v>0.19638696588966381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7208.9977996032403</v>
      </c>
      <c r="C12" s="23">
        <f ca="1">C10*C8</f>
        <v>0</v>
      </c>
      <c r="D12" s="23">
        <f>D8*D10</f>
        <v>11437.028183308546</v>
      </c>
      <c r="E12" s="23">
        <f>E10*E8</f>
        <v>1926.5976946131964</v>
      </c>
      <c r="F12" s="23">
        <f>F10*F8</f>
        <v>7090.522766502374</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1669</v>
      </c>
      <c r="C18" s="166" t="s">
        <v>111</v>
      </c>
      <c r="D18" s="228"/>
      <c r="E18" s="15"/>
    </row>
    <row r="19" spans="1:7">
      <c r="A19" s="171" t="s">
        <v>72</v>
      </c>
      <c r="B19" s="37">
        <f>aantalw2001_ander</f>
        <v>6</v>
      </c>
      <c r="C19" s="166" t="s">
        <v>111</v>
      </c>
      <c r="D19" s="229"/>
      <c r="E19" s="15"/>
    </row>
    <row r="20" spans="1:7">
      <c r="A20" s="171" t="s">
        <v>73</v>
      </c>
      <c r="B20" s="37">
        <f>aantalw2001_propaan</f>
        <v>290</v>
      </c>
      <c r="C20" s="167">
        <f>IF(ISERROR(B20/SUM($B$20,$B$21,$B$22)*100),0,B20/SUM($B$20,$B$21,$B$22)*100)</f>
        <v>24.390243902439025</v>
      </c>
      <c r="D20" s="229"/>
      <c r="E20" s="15"/>
    </row>
    <row r="21" spans="1:7">
      <c r="A21" s="171" t="s">
        <v>74</v>
      </c>
      <c r="B21" s="37">
        <f>aantalw2001_elektriciteit</f>
        <v>730</v>
      </c>
      <c r="C21" s="167">
        <f>IF(ISERROR(B21/SUM($B$20,$B$21,$B$22)*100),0,B21/SUM($B$20,$B$21,$B$22)*100)</f>
        <v>61.396131202691336</v>
      </c>
      <c r="D21" s="229"/>
      <c r="E21" s="15"/>
    </row>
    <row r="22" spans="1:7">
      <c r="A22" s="171" t="s">
        <v>75</v>
      </c>
      <c r="B22" s="37">
        <f>aantalw2001_hout</f>
        <v>169</v>
      </c>
      <c r="C22" s="167">
        <f>IF(ISERROR(B22/SUM($B$20,$B$21,$B$22)*100),0,B22/SUM($B$20,$B$21,$B$22)*100)</f>
        <v>14.213624894869639</v>
      </c>
      <c r="D22" s="229"/>
      <c r="E22" s="15"/>
    </row>
    <row r="23" spans="1:7">
      <c r="A23" s="171" t="s">
        <v>76</v>
      </c>
      <c r="B23" s="37">
        <f>aantalw2001_niet_gespec</f>
        <v>69</v>
      </c>
      <c r="C23" s="166" t="s">
        <v>111</v>
      </c>
      <c r="D23" s="228"/>
      <c r="E23" s="15"/>
    </row>
    <row r="24" spans="1:7">
      <c r="A24" s="171" t="s">
        <v>77</v>
      </c>
      <c r="B24" s="37">
        <f>aantalw2001_steenkool</f>
        <v>176</v>
      </c>
      <c r="C24" s="166" t="s">
        <v>111</v>
      </c>
      <c r="D24" s="229"/>
      <c r="E24" s="15"/>
    </row>
    <row r="25" spans="1:7">
      <c r="A25" s="171" t="s">
        <v>78</v>
      </c>
      <c r="B25" s="37">
        <f>aantalw2001_stookolie</f>
        <v>2931</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740</v>
      </c>
      <c r="B28" s="37">
        <f>aantalHuishoudens2011</f>
        <v>7169</v>
      </c>
      <c r="C28" s="36"/>
      <c r="D28" s="228"/>
    </row>
    <row r="29" spans="1:7" s="15" customFormat="1">
      <c r="A29" s="230" t="s">
        <v>741</v>
      </c>
      <c r="B29" s="37">
        <f>SUM(HH_hh_gas_aantal,HH_rest_gas_aantal)</f>
        <v>3727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3727</v>
      </c>
      <c r="C32" s="167">
        <f>IF(ISERROR(B32/SUM($B$32,$B$34,$B$35,$B$36,$B$38,$B$39)*100),0,B32/SUM($B$32,$B$34,$B$35,$B$36,$B$38,$B$39)*100)</f>
        <v>52.213505183524788</v>
      </c>
      <c r="D32" s="233"/>
      <c r="G32" s="15"/>
    </row>
    <row r="33" spans="1:7">
      <c r="A33" s="171" t="s">
        <v>72</v>
      </c>
      <c r="B33" s="34" t="s">
        <v>111</v>
      </c>
      <c r="C33" s="167"/>
      <c r="D33" s="233"/>
      <c r="G33" s="15"/>
    </row>
    <row r="34" spans="1:7">
      <c r="A34" s="171" t="s">
        <v>73</v>
      </c>
      <c r="B34" s="33">
        <f>IF((($B$28-$B$32-$B$39-$B$77-$B$38)*C20/100)&lt;0,0,($B$28-$B$32-$B$39-$B$77-$B$38)*C20/100)</f>
        <v>568.82926829268285</v>
      </c>
      <c r="C34" s="167">
        <f>IF(ISERROR(B34/SUM($B$32,$B$34,$B$35,$B$36,$B$38,$B$39)*100),0,B34/SUM($B$32,$B$34,$B$35,$B$36,$B$38,$B$39)*100)</f>
        <v>7.9690286956105734</v>
      </c>
      <c r="D34" s="233"/>
      <c r="G34" s="15"/>
    </row>
    <row r="35" spans="1:7">
      <c r="A35" s="171" t="s">
        <v>74</v>
      </c>
      <c r="B35" s="33">
        <f>IF((($B$28-$B$32-$B$39-$B$77-$B$38)*C21/100)&lt;0,0,($B$28-$B$32-$B$39-$B$77-$B$38)*C21/100)</f>
        <v>1431.8805719091674</v>
      </c>
      <c r="C35" s="167">
        <f>IF(ISERROR(B35/SUM($B$32,$B$34,$B$35,$B$36,$B$38,$B$39)*100),0,B35/SUM($B$32,$B$34,$B$35,$B$36,$B$38,$B$39)*100)</f>
        <v>20.059968785502484</v>
      </c>
      <c r="D35" s="233"/>
      <c r="G35" s="15"/>
    </row>
    <row r="36" spans="1:7">
      <c r="A36" s="171" t="s">
        <v>75</v>
      </c>
      <c r="B36" s="33">
        <f>IF((($B$28-$B$32-$B$39-$B$77-$B$38)*C22/100)&lt;0,0,($B$28-$B$32-$B$39-$B$77-$B$38)*C22/100)</f>
        <v>331.4901597981497</v>
      </c>
      <c r="C36" s="167">
        <f>IF(ISERROR(B36/SUM($B$32,$B$34,$B$35,$B$36,$B$38,$B$39)*100),0,B36/SUM($B$32,$B$34,$B$35,$B$36,$B$38,$B$39)*100)</f>
        <v>4.6440201708903004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1078.8</v>
      </c>
      <c r="C39" s="167">
        <f>IF(ISERROR(B39/SUM($B$32,$B$34,$B$35,$B$36,$B$38,$B$39)*100),0,B39/SUM($B$32,$B$34,$B$35,$B$36,$B$38,$B$39)*100)</f>
        <v>15.113477164471838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3727</v>
      </c>
      <c r="C44" s="34" t="s">
        <v>111</v>
      </c>
      <c r="D44" s="174"/>
    </row>
    <row r="45" spans="1:7">
      <c r="A45" s="171" t="s">
        <v>72</v>
      </c>
      <c r="B45" s="33" t="str">
        <f t="shared" si="0"/>
        <v>-</v>
      </c>
      <c r="C45" s="34" t="s">
        <v>111</v>
      </c>
      <c r="D45" s="174"/>
    </row>
    <row r="46" spans="1:7">
      <c r="A46" s="171" t="s">
        <v>73</v>
      </c>
      <c r="B46" s="33">
        <f t="shared" si="0"/>
        <v>568.82926829268285</v>
      </c>
      <c r="C46" s="34" t="s">
        <v>111</v>
      </c>
      <c r="D46" s="174"/>
    </row>
    <row r="47" spans="1:7">
      <c r="A47" s="171" t="s">
        <v>74</v>
      </c>
      <c r="B47" s="33">
        <f t="shared" si="0"/>
        <v>1431.8805719091674</v>
      </c>
      <c r="C47" s="34" t="s">
        <v>111</v>
      </c>
      <c r="D47" s="174"/>
    </row>
    <row r="48" spans="1:7">
      <c r="A48" s="171" t="s">
        <v>75</v>
      </c>
      <c r="B48" s="33">
        <f t="shared" si="0"/>
        <v>331.4901597981497</v>
      </c>
      <c r="C48" s="33">
        <f>B48*10</f>
        <v>3314.9015979814972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1078.8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13101.994999999999</v>
      </c>
      <c r="C5" s="17">
        <f>IF(ISERROR('Eigen informatie GS &amp; warmtenet'!B58),0,'Eigen informatie GS &amp; warmtenet'!B58)</f>
        <v>0</v>
      </c>
      <c r="D5" s="30">
        <f>SUM(D6:D12)</f>
        <v>12739.541322824098</v>
      </c>
      <c r="E5" s="17">
        <f>SUM(E6:E12)</f>
        <v>133.10858137764629</v>
      </c>
      <c r="F5" s="17">
        <f>SUM(F6:F12)</f>
        <v>2051.4539613361721</v>
      </c>
      <c r="G5" s="18"/>
      <c r="H5" s="17"/>
      <c r="I5" s="17"/>
      <c r="J5" s="17">
        <f>SUM(J6:J12)</f>
        <v>0</v>
      </c>
      <c r="K5" s="17"/>
      <c r="L5" s="17"/>
      <c r="M5" s="17"/>
      <c r="N5" s="17">
        <f>SUM(N6:N12)</f>
        <v>1595.2352376675331</v>
      </c>
      <c r="O5" s="17">
        <f>B38*B39*B40</f>
        <v>7.8166666666666664</v>
      </c>
      <c r="P5" s="17">
        <f>B46*B47*B48/1000-B46*B47*B48/1000/B49</f>
        <v>0</v>
      </c>
      <c r="R5" s="32"/>
    </row>
    <row r="6" spans="1:18">
      <c r="A6" s="32" t="s">
        <v>54</v>
      </c>
      <c r="B6" s="37">
        <f>B26</f>
        <v>3196.569</v>
      </c>
      <c r="C6" s="33"/>
      <c r="D6" s="37">
        <f>IF(ISERROR(TER_kantoor_gas_kWh/1000),0,TER_kantoor_gas_kWh/1000)*0.902</f>
        <v>1677.5502098048203</v>
      </c>
      <c r="E6" s="33">
        <f>$C$26*'E Balans VL '!I12/100/3.6*1000000</f>
        <v>9.2609293961734789</v>
      </c>
      <c r="F6" s="33">
        <f>$C$26*('E Balans VL '!L12+'E Balans VL '!N12)/100/3.6*1000000</f>
        <v>361.78118492464682</v>
      </c>
      <c r="G6" s="34"/>
      <c r="H6" s="33"/>
      <c r="I6" s="33"/>
      <c r="J6" s="33">
        <f>$C$26*('E Balans VL '!D12+'E Balans VL '!E12)/100/3.6*1000000</f>
        <v>0</v>
      </c>
      <c r="K6" s="33"/>
      <c r="L6" s="33"/>
      <c r="M6" s="33"/>
      <c r="N6" s="33">
        <f>$C$26*'E Balans VL '!Y12/100/3.6*1000000</f>
        <v>31.995300352797898</v>
      </c>
      <c r="O6" s="33"/>
      <c r="P6" s="33"/>
      <c r="R6" s="32"/>
    </row>
    <row r="7" spans="1:18">
      <c r="A7" s="32" t="s">
        <v>53</v>
      </c>
      <c r="B7" s="37">
        <f t="shared" ref="B7:B12" si="0">B27</f>
        <v>1515.655</v>
      </c>
      <c r="C7" s="33"/>
      <c r="D7" s="37">
        <f>IF(ISERROR(TER_horeca_gas_kWh/1000),0,TER_horeca_gas_kWh/1000)*0.902</f>
        <v>1401.9049408450344</v>
      </c>
      <c r="E7" s="33">
        <f>$C$27*'E Balans VL '!I9/100/3.6*1000000</f>
        <v>63.62296224362305</v>
      </c>
      <c r="F7" s="33">
        <f>$C$27*('E Balans VL '!L9+'E Balans VL '!N9)/100/3.6*1000000</f>
        <v>325.66955818311607</v>
      </c>
      <c r="G7" s="34"/>
      <c r="H7" s="33"/>
      <c r="I7" s="33"/>
      <c r="J7" s="33">
        <f>$C$27*('E Balans VL '!D9+'E Balans VL '!E9)/100/3.6*1000000</f>
        <v>0</v>
      </c>
      <c r="K7" s="33"/>
      <c r="L7" s="33"/>
      <c r="M7" s="33"/>
      <c r="N7" s="33">
        <f>$C$27*'E Balans VL '!Y9/100/3.6*1000000</f>
        <v>0.39057103861617348</v>
      </c>
      <c r="O7" s="33"/>
      <c r="P7" s="33"/>
      <c r="R7" s="32"/>
    </row>
    <row r="8" spans="1:18">
      <c r="A8" s="6" t="s">
        <v>52</v>
      </c>
      <c r="B8" s="37">
        <f t="shared" si="0"/>
        <v>4821.2179999999998</v>
      </c>
      <c r="C8" s="33"/>
      <c r="D8" s="37">
        <f>IF(ISERROR(TER_handel_gas_kWh/1000),0,TER_handel_gas_kWh/1000)*0.902</f>
        <v>1344.2098435754617</v>
      </c>
      <c r="E8" s="33">
        <f>$C$28*'E Balans VL '!I13/100/3.6*1000000</f>
        <v>51.783893905677267</v>
      </c>
      <c r="F8" s="33">
        <f>$C$28*('E Balans VL '!L13+'E Balans VL '!N13)/100/3.6*1000000</f>
        <v>624.14648289751142</v>
      </c>
      <c r="G8" s="34"/>
      <c r="H8" s="33"/>
      <c r="I8" s="33"/>
      <c r="J8" s="33">
        <f>$C$28*('E Balans VL '!D13+'E Balans VL '!E13)/100/3.6*1000000</f>
        <v>0</v>
      </c>
      <c r="K8" s="33"/>
      <c r="L8" s="33"/>
      <c r="M8" s="33"/>
      <c r="N8" s="33">
        <f>$C$28*'E Balans VL '!Y13/100/3.6*1000000</f>
        <v>39.109983665948782</v>
      </c>
      <c r="O8" s="33"/>
      <c r="P8" s="33"/>
      <c r="R8" s="32"/>
    </row>
    <row r="9" spans="1:18">
      <c r="A9" s="32" t="s">
        <v>51</v>
      </c>
      <c r="B9" s="37">
        <f t="shared" si="0"/>
        <v>795.83100000000002</v>
      </c>
      <c r="C9" s="33"/>
      <c r="D9" s="37">
        <f>IF(ISERROR(TER_gezond_gas_kWh/1000),0,TER_gezond_gas_kWh/1000)*0.902</f>
        <v>257.2351366783451</v>
      </c>
      <c r="E9" s="33">
        <f>$C$29*'E Balans VL '!I10/100/3.6*1000000</f>
        <v>0.6335329489700785</v>
      </c>
      <c r="F9" s="33">
        <f>$C$29*('E Balans VL '!L10+'E Balans VL '!N10)/100/3.6*1000000</f>
        <v>96.744758843831178</v>
      </c>
      <c r="G9" s="34"/>
      <c r="H9" s="33"/>
      <c r="I9" s="33"/>
      <c r="J9" s="33">
        <f>$C$29*('E Balans VL '!D10+'E Balans VL '!E10)/100/3.6*1000000</f>
        <v>0</v>
      </c>
      <c r="K9" s="33"/>
      <c r="L9" s="33"/>
      <c r="M9" s="33"/>
      <c r="N9" s="33">
        <f>$C$29*'E Balans VL '!Y10/100/3.6*1000000</f>
        <v>6.4285119764296237</v>
      </c>
      <c r="O9" s="33"/>
      <c r="P9" s="33"/>
      <c r="R9" s="32"/>
    </row>
    <row r="10" spans="1:18">
      <c r="A10" s="32" t="s">
        <v>50</v>
      </c>
      <c r="B10" s="37">
        <f t="shared" si="0"/>
        <v>2153.1550000000002</v>
      </c>
      <c r="C10" s="33"/>
      <c r="D10" s="37">
        <f>IF(ISERROR(TER_ander_gas_kWh/1000),0,TER_ander_gas_kWh/1000)*0.902</f>
        <v>2608.6845351615511</v>
      </c>
      <c r="E10" s="33">
        <f>$C$30*'E Balans VL '!I14/100/3.6*1000000</f>
        <v>7.3789752972642972</v>
      </c>
      <c r="F10" s="33">
        <f>$C$30*('E Balans VL '!L14+'E Balans VL '!N14)/100/3.6*1000000</f>
        <v>480.92733308727685</v>
      </c>
      <c r="G10" s="34"/>
      <c r="H10" s="33"/>
      <c r="I10" s="33"/>
      <c r="J10" s="33">
        <f>$C$30*('E Balans VL '!D14+'E Balans VL '!E14)/100/3.6*1000000</f>
        <v>0</v>
      </c>
      <c r="K10" s="33"/>
      <c r="L10" s="33"/>
      <c r="M10" s="33"/>
      <c r="N10" s="33">
        <f>$C$30*'E Balans VL '!Y14/100/3.6*1000000</f>
        <v>1516.6941444558411</v>
      </c>
      <c r="O10" s="33"/>
      <c r="P10" s="33"/>
      <c r="R10" s="32"/>
    </row>
    <row r="11" spans="1:18">
      <c r="A11" s="32" t="s">
        <v>55</v>
      </c>
      <c r="B11" s="37">
        <f t="shared" si="0"/>
        <v>619.56700000000001</v>
      </c>
      <c r="C11" s="33"/>
      <c r="D11" s="37">
        <f>IF(ISERROR(TER_onderwijs_gas_kWh/1000),0,TER_onderwijs_gas_kWh/1000)*0.902</f>
        <v>1335.6866170638191</v>
      </c>
      <c r="E11" s="33">
        <f>$C$31*'E Balans VL '!I11/100/3.6*1000000</f>
        <v>0.42828758593811117</v>
      </c>
      <c r="F11" s="33">
        <f>$C$31*('E Balans VL '!L11+'E Balans VL '!N11)/100/3.6*1000000</f>
        <v>162.18464339978937</v>
      </c>
      <c r="G11" s="34"/>
      <c r="H11" s="33"/>
      <c r="I11" s="33"/>
      <c r="J11" s="33">
        <f>$C$31*('E Balans VL '!D11+'E Balans VL '!E11)/100/3.6*1000000</f>
        <v>0</v>
      </c>
      <c r="K11" s="33"/>
      <c r="L11" s="33"/>
      <c r="M11" s="33"/>
      <c r="N11" s="33">
        <f>$C$31*'E Balans VL '!Y11/100/3.6*1000000</f>
        <v>0.61672617789948281</v>
      </c>
      <c r="O11" s="33"/>
      <c r="P11" s="33"/>
      <c r="R11" s="32"/>
    </row>
    <row r="12" spans="1:18">
      <c r="A12" s="32" t="s">
        <v>260</v>
      </c>
      <c r="B12" s="37">
        <f t="shared" si="0"/>
        <v>0</v>
      </c>
      <c r="C12" s="33"/>
      <c r="D12" s="37">
        <f>IF(ISERROR(TER_rest_gas_kWh/1000),0,TER_rest_gas_kWh/1000)*0.902</f>
        <v>4114.270039695065</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13101.994999999999</v>
      </c>
      <c r="C16" s="21">
        <f t="shared" ca="1" si="1"/>
        <v>0</v>
      </c>
      <c r="D16" s="21">
        <f t="shared" ca="1" si="1"/>
        <v>12739.541322824098</v>
      </c>
      <c r="E16" s="21">
        <f t="shared" si="1"/>
        <v>133.10858137764629</v>
      </c>
      <c r="F16" s="21">
        <f t="shared" ca="1" si="1"/>
        <v>2051.4539613361721</v>
      </c>
      <c r="G16" s="21">
        <f t="shared" si="1"/>
        <v>0</v>
      </c>
      <c r="H16" s="21">
        <f t="shared" si="1"/>
        <v>0</v>
      </c>
      <c r="I16" s="21">
        <f t="shared" si="1"/>
        <v>0</v>
      </c>
      <c r="J16" s="21">
        <f t="shared" si="1"/>
        <v>0</v>
      </c>
      <c r="K16" s="21">
        <f t="shared" si="1"/>
        <v>0</v>
      </c>
      <c r="L16" s="21">
        <f t="shared" ca="1" si="1"/>
        <v>0</v>
      </c>
      <c r="M16" s="21">
        <f t="shared" si="1"/>
        <v>0</v>
      </c>
      <c r="N16" s="21">
        <f t="shared" ca="1" si="1"/>
        <v>1595.2352376675331</v>
      </c>
      <c r="O16" s="21">
        <f>O5</f>
        <v>7.8166666666666664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0.19638696588966381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2573.0610451515454</v>
      </c>
      <c r="C20" s="23">
        <f t="shared" ref="C20:P20" ca="1" si="2">C16*C18</f>
        <v>0</v>
      </c>
      <c r="D20" s="23">
        <f t="shared" ca="1" si="2"/>
        <v>2573.3873472104679</v>
      </c>
      <c r="E20" s="23">
        <f t="shared" si="2"/>
        <v>30.215647972725709</v>
      </c>
      <c r="F20" s="23">
        <f t="shared" ca="1" si="2"/>
        <v>547.73820767675795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3196.569</v>
      </c>
      <c r="C26" s="39">
        <f>IF(ISERROR(B26*3.6/1000000/'E Balans VL '!Z12*100),0,B26*3.6/1000000/'E Balans VL '!Z12*100)</f>
        <v>7.0216333688831581E-2</v>
      </c>
      <c r="D26" s="237" t="s">
        <v>692</v>
      </c>
      <c r="F26" s="6"/>
    </row>
    <row r="27" spans="1:18">
      <c r="A27" s="231" t="s">
        <v>53</v>
      </c>
      <c r="B27" s="33">
        <f>IF(ISERROR(TER_horeca_ele_kWh/1000),0,TER_horeca_ele_kWh/1000)</f>
        <v>1515.655</v>
      </c>
      <c r="C27" s="39">
        <f>IF(ISERROR(B27*3.6/1000000/'E Balans VL '!Z9*100),0,B27*3.6/1000000/'E Balans VL '!Z9*100)</f>
        <v>0.12179798747748449</v>
      </c>
      <c r="D27" s="237" t="s">
        <v>692</v>
      </c>
      <c r="F27" s="6"/>
    </row>
    <row r="28" spans="1:18">
      <c r="A28" s="171" t="s">
        <v>52</v>
      </c>
      <c r="B28" s="33">
        <f>IF(ISERROR(TER_handel_ele_kWh/1000),0,TER_handel_ele_kWh/1000)</f>
        <v>4821.2179999999998</v>
      </c>
      <c r="C28" s="39">
        <f>IF(ISERROR(B28*3.6/1000000/'E Balans VL '!Z13*100),0,B28*3.6/1000000/'E Balans VL '!Z13*100)</f>
        <v>0.14256004808638509</v>
      </c>
      <c r="D28" s="237" t="s">
        <v>692</v>
      </c>
      <c r="F28" s="6"/>
    </row>
    <row r="29" spans="1:18">
      <c r="A29" s="231" t="s">
        <v>51</v>
      </c>
      <c r="B29" s="33">
        <f>IF(ISERROR(TER_gezond_ele_kWh/1000),0,TER_gezond_ele_kWh/1000)</f>
        <v>795.83100000000002</v>
      </c>
      <c r="C29" s="39">
        <f>IF(ISERROR(B29*3.6/1000000/'E Balans VL '!Z10*100),0,B29*3.6/1000000/'E Balans VL '!Z10*100)</f>
        <v>8.9669607154762548E-2</v>
      </c>
      <c r="D29" s="237" t="s">
        <v>692</v>
      </c>
      <c r="F29" s="6"/>
    </row>
    <row r="30" spans="1:18">
      <c r="A30" s="231" t="s">
        <v>50</v>
      </c>
      <c r="B30" s="33">
        <f>IF(ISERROR(TER_ander_ele_kWh/1000),0,TER_ander_ele_kWh/1000)</f>
        <v>2153.1550000000002</v>
      </c>
      <c r="C30" s="39">
        <f>IF(ISERROR(B30*3.6/1000000/'E Balans VL '!Z14*100),0,B30*3.6/1000000/'E Balans VL '!Z14*100)</f>
        <v>0.16283943199778281</v>
      </c>
      <c r="D30" s="237" t="s">
        <v>692</v>
      </c>
      <c r="F30" s="6"/>
    </row>
    <row r="31" spans="1:18">
      <c r="A31" s="231" t="s">
        <v>55</v>
      </c>
      <c r="B31" s="33">
        <f>IF(ISERROR(TER_onderwijs_ele_kWh/1000),0,TER_onderwijs_ele_kWh/1000)</f>
        <v>619.56700000000001</v>
      </c>
      <c r="C31" s="39">
        <f>IF(ISERROR(B31*3.6/1000000/'E Balans VL '!Z11*100),0,B31*3.6/1000000/'E Balans VL '!Z11*100)</f>
        <v>0.12860772656954744</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26225.175999999999</v>
      </c>
      <c r="C5" s="17">
        <f>IF(ISERROR('Eigen informatie GS &amp; warmtenet'!B59),0,'Eigen informatie GS &amp; warmtenet'!B59)</f>
        <v>0</v>
      </c>
      <c r="D5" s="30">
        <f>SUM(D6:D15)</f>
        <v>2882.0942319237793</v>
      </c>
      <c r="E5" s="17">
        <f>SUM(E6:E15)</f>
        <v>5317.1598483668313</v>
      </c>
      <c r="F5" s="17">
        <f>SUM(F6:F15)</f>
        <v>22819.34887598145</v>
      </c>
      <c r="G5" s="18"/>
      <c r="H5" s="17"/>
      <c r="I5" s="17"/>
      <c r="J5" s="17">
        <f>SUM(J6:J15)</f>
        <v>92.297429927765165</v>
      </c>
      <c r="K5" s="17"/>
      <c r="L5" s="17"/>
      <c r="M5" s="17"/>
      <c r="N5" s="17">
        <f>SUM(N6:N15)</f>
        <v>8946.6986792179978</v>
      </c>
      <c r="O5" s="17">
        <f>B43*B44*B45</f>
        <v>0</v>
      </c>
      <c r="P5" s="17">
        <f>B51*B52*B53/1000-B51*B52*B53/1000/B54</f>
        <v>0</v>
      </c>
      <c r="R5" s="32"/>
    </row>
    <row r="6" spans="1:18">
      <c r="A6" s="6" t="s">
        <v>35</v>
      </c>
      <c r="B6" s="37">
        <f>IF( ISERROR(IND_ijzer_ele_kWh/1000),0,IND_ijzer_ele_kWh/1000)</f>
        <v>32.429000000000002</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1603.6469999999999</v>
      </c>
      <c r="C8" s="33"/>
      <c r="D8" s="37">
        <f>IF( ISERROR(IND_metaal_Gas_kWH/1000),0,IND_metaal_Gas_kWH/1000)*0.902</f>
        <v>35.877239496138003</v>
      </c>
      <c r="E8" s="33">
        <f>C30*'E Balans VL '!I18/100/3.6*1000000</f>
        <v>40.133671765743067</v>
      </c>
      <c r="F8" s="33">
        <f>C30*'E Balans VL '!L18/100/3.6*1000000+C30*'E Balans VL '!N18/100/3.6*1000000</f>
        <v>502.59094675041644</v>
      </c>
      <c r="G8" s="34"/>
      <c r="H8" s="33"/>
      <c r="I8" s="33"/>
      <c r="J8" s="40">
        <f>C30*'E Balans VL '!D18/100/3.6*1000000+C30*'E Balans VL '!E18/100/3.6*1000000</f>
        <v>0</v>
      </c>
      <c r="K8" s="33"/>
      <c r="L8" s="33"/>
      <c r="M8" s="33"/>
      <c r="N8" s="33">
        <f>C30*'E Balans VL '!Y18/100/3.6*1000000</f>
        <v>40.287774466879114</v>
      </c>
      <c r="O8" s="33"/>
      <c r="P8" s="33"/>
      <c r="R8" s="32"/>
    </row>
    <row r="9" spans="1:18">
      <c r="A9" s="6" t="s">
        <v>33</v>
      </c>
      <c r="B9" s="37">
        <f t="shared" si="0"/>
        <v>19032.445</v>
      </c>
      <c r="C9" s="33"/>
      <c r="D9" s="37">
        <f>IF( ISERROR(IND_andere_gas_kWh/1000),0,IND_andere_gas_kWh/1000)*0.902</f>
        <v>1301.3873702373933</v>
      </c>
      <c r="E9" s="33">
        <f>C31*'E Balans VL '!I19/100/3.6*1000000</f>
        <v>5233.1417582102322</v>
      </c>
      <c r="F9" s="33">
        <f>C31*'E Balans VL '!L19/100/3.6*1000000+C31*'E Balans VL '!N19/100/3.6*1000000</f>
        <v>15000.878543216455</v>
      </c>
      <c r="G9" s="34"/>
      <c r="H9" s="33"/>
      <c r="I9" s="33"/>
      <c r="J9" s="40">
        <f>C31*'E Balans VL '!D19/100/3.6*1000000+C31*'E Balans VL '!E19/100/3.6*1000000</f>
        <v>0</v>
      </c>
      <c r="K9" s="33"/>
      <c r="L9" s="33"/>
      <c r="M9" s="33"/>
      <c r="N9" s="33">
        <f>C31*'E Balans VL '!Y19/100/3.6*1000000</f>
        <v>6161.3048189814181</v>
      </c>
      <c r="O9" s="33"/>
      <c r="P9" s="33"/>
      <c r="R9" s="32"/>
    </row>
    <row r="10" spans="1:18">
      <c r="A10" s="6" t="s">
        <v>41</v>
      </c>
      <c r="B10" s="37">
        <f t="shared" si="0"/>
        <v>3852.5680000000002</v>
      </c>
      <c r="C10" s="33"/>
      <c r="D10" s="37">
        <f>IF( ISERROR(IND_voed_gas_kWh/1000),0,IND_voed_gas_kWh/1000)*0.902</f>
        <v>420.29364293963175</v>
      </c>
      <c r="E10" s="33">
        <f>C32*'E Balans VL '!I20/100/3.6*1000000</f>
        <v>39.274808368178384</v>
      </c>
      <c r="F10" s="33">
        <f>C32*'E Balans VL '!L20/100/3.6*1000000+C32*'E Balans VL '!N20/100/3.6*1000000</f>
        <v>7277.4768565131208</v>
      </c>
      <c r="G10" s="34"/>
      <c r="H10" s="33"/>
      <c r="I10" s="33"/>
      <c r="J10" s="40">
        <f>C32*'E Balans VL '!D20/100/3.6*1000000+C32*'E Balans VL '!E20/100/3.6*1000000</f>
        <v>92.204557899566822</v>
      </c>
      <c r="K10" s="33"/>
      <c r="L10" s="33"/>
      <c r="M10" s="33"/>
      <c r="N10" s="33">
        <f>C32*'E Balans VL '!Y20/100/3.6*1000000</f>
        <v>2030.7470974179923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1681.95</v>
      </c>
      <c r="C13" s="33"/>
      <c r="D13" s="37">
        <f>IF( ISERROR(IND_papier_gas_kWh/1000),0,IND_papier_gas_kWh/1000)*0.902</f>
        <v>0</v>
      </c>
      <c r="E13" s="33">
        <f>C35*'E Balans VL '!I23/100/3.6*1000000</f>
        <v>3.483431978891272</v>
      </c>
      <c r="F13" s="33">
        <f>C35*'E Balans VL '!L23/100/3.6*1000000+C35*'E Balans VL '!N23/100/3.6*1000000</f>
        <v>33.356674314207076</v>
      </c>
      <c r="G13" s="34"/>
      <c r="H13" s="33"/>
      <c r="I13" s="33"/>
      <c r="J13" s="40">
        <f>C35*'E Balans VL '!D23/100/3.6*1000000+C35*'E Balans VL '!E23/100/3.6*1000000</f>
        <v>0</v>
      </c>
      <c r="K13" s="33"/>
      <c r="L13" s="33"/>
      <c r="M13" s="33"/>
      <c r="N13" s="33">
        <f>C35*'E Balans VL '!Y23/100/3.6*1000000</f>
        <v>710.1998028949489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22.137</v>
      </c>
      <c r="C15" s="33"/>
      <c r="D15" s="37">
        <f>IF( ISERROR(IND_rest_gas_kWh/1000),0,IND_rest_gas_kWh/1000)*0.902</f>
        <v>1124.5359792506163</v>
      </c>
      <c r="E15" s="33">
        <f>C37*'E Balans VL '!I15/100/3.6*1000000</f>
        <v>1.1261780437863935</v>
      </c>
      <c r="F15" s="33">
        <f>C37*'E Balans VL '!L15/100/3.6*1000000+C37*'E Balans VL '!N15/100/3.6*1000000</f>
        <v>5.0458551872493027</v>
      </c>
      <c r="G15" s="34"/>
      <c r="H15" s="33"/>
      <c r="I15" s="33"/>
      <c r="J15" s="40">
        <f>C37*'E Balans VL '!D15/100/3.6*1000000+C37*'E Balans VL '!E15/100/3.6*1000000</f>
        <v>9.2872028198345238E-2</v>
      </c>
      <c r="K15" s="33"/>
      <c r="L15" s="33"/>
      <c r="M15" s="33"/>
      <c r="N15" s="33">
        <f>C37*'E Balans VL '!Y15/100/3.6*1000000</f>
        <v>4.1591854567572764</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26225.175999999999</v>
      </c>
      <c r="C18" s="21">
        <f>C5+C16</f>
        <v>0</v>
      </c>
      <c r="D18" s="21">
        <f>MAX((D5+D16),0)</f>
        <v>2882.0942319237793</v>
      </c>
      <c r="E18" s="21">
        <f>MAX((E5+E16),0)</f>
        <v>5317.1598483668313</v>
      </c>
      <c r="F18" s="21">
        <f>MAX((F5+F16),0)</f>
        <v>22819.34887598145</v>
      </c>
      <c r="G18" s="21"/>
      <c r="H18" s="21"/>
      <c r="I18" s="21"/>
      <c r="J18" s="21">
        <f>MAX((J5+J16),0)</f>
        <v>92.297429927765165</v>
      </c>
      <c r="K18" s="21"/>
      <c r="L18" s="21">
        <f>MAX((L5+L16),0)</f>
        <v>0</v>
      </c>
      <c r="M18" s="21"/>
      <c r="N18" s="21">
        <f>MAX((N5+N16),0)</f>
        <v>8946.6986792179978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0.19638696588966381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5150.2827445624298</v>
      </c>
      <c r="C22" s="23">
        <f ca="1">C18*C20</f>
        <v>0</v>
      </c>
      <c r="D22" s="23">
        <f>D18*D20</f>
        <v>582.18303484860348</v>
      </c>
      <c r="E22" s="23">
        <f>E18*E20</f>
        <v>1206.9952855792708</v>
      </c>
      <c r="F22" s="23">
        <f>F18*F20</f>
        <v>6092.7661498870475</v>
      </c>
      <c r="G22" s="23"/>
      <c r="H22" s="23"/>
      <c r="I22" s="23"/>
      <c r="J22" s="23">
        <f>J18*J20</f>
        <v>32.673290194428866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1603.6469999999999</v>
      </c>
      <c r="C30" s="39">
        <f>IF(ISERROR(B30*3.6/1000000/'E Balans VL '!Z18*100),0,B30*3.6/1000000/'E Balans VL '!Z18*100)</f>
        <v>0.22445713787333355</v>
      </c>
      <c r="D30" s="237" t="s">
        <v>692</v>
      </c>
    </row>
    <row r="31" spans="1:18">
      <c r="A31" s="6" t="s">
        <v>33</v>
      </c>
      <c r="B31" s="37">
        <f>IF( ISERROR(IND_ander_ele_kWh/1000),0,IND_ander_ele_kWh/1000)</f>
        <v>19032.445</v>
      </c>
      <c r="C31" s="39">
        <f>IF(ISERROR(B31*3.6/1000000/'E Balans VL '!Z19*100),0,B31*3.6/1000000/'E Balans VL '!Z19*100)</f>
        <v>0.83304703014876624</v>
      </c>
      <c r="D31" s="237" t="s">
        <v>692</v>
      </c>
    </row>
    <row r="32" spans="1:18">
      <c r="A32" s="171" t="s">
        <v>41</v>
      </c>
      <c r="B32" s="37">
        <f>IF( ISERROR(IND_voed_ele_kWh/1000),0,IND_voed_ele_kWh/1000)</f>
        <v>3852.5680000000002</v>
      </c>
      <c r="C32" s="39">
        <f>IF(ISERROR(B32*3.6/1000000/'E Balans VL '!Z20*100),0,B32*3.6/1000000/'E Balans VL '!Z20*100)</f>
        <v>0.95376789932729733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1681.95</v>
      </c>
      <c r="C35" s="39">
        <f>IF(ISERROR(B35*3.6/1000000/'E Balans VL '!Z22*100),0,B35*3.6/1000000/'E Balans VL '!Z22*100)</f>
        <v>4.7726879012793766E-2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22.137</v>
      </c>
      <c r="C37" s="39">
        <f>IF(ISERROR(B37*3.6/1000000/'E Balans VL '!Z15*100),0,B37*3.6/1000000/'E Balans VL '!Z15*100)</f>
        <v>1.6414206498522005E-4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2928.174</v>
      </c>
      <c r="C5" s="17">
        <f>'Eigen informatie GS &amp; warmtenet'!B60</f>
        <v>0</v>
      </c>
      <c r="D5" s="30">
        <f>IF(ISERROR(SUM(LB_lb_gas_kWh,LB_rest_gas_kWh)/1000),0,SUM(LB_lb_gas_kWh,LB_rest_gas_kWh)/1000)*0.902</f>
        <v>164.05919316596777</v>
      </c>
      <c r="E5" s="17">
        <f>B17*'E Balans VL '!I25/3.6*1000000/100</f>
        <v>27.121974020007183</v>
      </c>
      <c r="F5" s="17">
        <f>B17*('E Balans VL '!L25/3.6*1000000+'E Balans VL '!N25/3.6*1000000)/100</f>
        <v>7429.3352545745565</v>
      </c>
      <c r="G5" s="18"/>
      <c r="H5" s="17"/>
      <c r="I5" s="17"/>
      <c r="J5" s="17">
        <f>('E Balans VL '!D25+'E Balans VL '!E25)/3.6*1000000*landbouw!B17/100</f>
        <v>448.92175271721527</v>
      </c>
      <c r="K5" s="17"/>
      <c r="L5" s="17">
        <f>L6*(-1)</f>
        <v>0</v>
      </c>
      <c r="M5" s="17"/>
      <c r="N5" s="17">
        <f>N6*(-1)</f>
        <v>124.71428571428569</v>
      </c>
      <c r="O5" s="17"/>
      <c r="P5" s="17"/>
      <c r="R5" s="32"/>
    </row>
    <row r="6" spans="1:18">
      <c r="A6" s="16" t="s">
        <v>494</v>
      </c>
      <c r="B6" s="17" t="s">
        <v>211</v>
      </c>
      <c r="C6" s="17">
        <f>'lokale energieproductie'!O92+'lokale energieproductie'!O61</f>
        <v>62.357142857142847</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2928.174</v>
      </c>
      <c r="C8" s="21">
        <f>C5+C6</f>
        <v>62.357142857142847</v>
      </c>
      <c r="D8" s="21">
        <f>MAX((D5+D6),0)</f>
        <v>164.05919316596777</v>
      </c>
      <c r="E8" s="21">
        <f>MAX((E5+E6),0)</f>
        <v>27.121974020007183</v>
      </c>
      <c r="F8" s="21">
        <f>MAX((F5+F6),0)</f>
        <v>7429.3352545745565</v>
      </c>
      <c r="G8" s="21"/>
      <c r="H8" s="21"/>
      <c r="I8" s="21"/>
      <c r="J8" s="21">
        <f>MAX((J5+J6),0)</f>
        <v>448.92175271721527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0.19638696588966381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575.05520745700039</v>
      </c>
      <c r="C12" s="23">
        <f ca="1">C8*C10</f>
        <v>0</v>
      </c>
      <c r="D12" s="23">
        <f>D8*D10</f>
        <v>33.13995701952549</v>
      </c>
      <c r="E12" s="23">
        <f>E8*E10</f>
        <v>6.1566881025416311</v>
      </c>
      <c r="F12" s="23">
        <f>F8*F10</f>
        <v>1983.6325129714066</v>
      </c>
      <c r="G12" s="23"/>
      <c r="H12" s="23"/>
      <c r="I12" s="23"/>
      <c r="J12" s="23">
        <f>J8*J10</f>
        <v>158.91830046189421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0.41632425477934332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838.28154014831716</v>
      </c>
      <c r="C26" s="247">
        <f>B26*'GWP N2O_CH4'!B5</f>
        <v>17603.912343114662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309.35266108161881</v>
      </c>
      <c r="C27" s="247">
        <f>B27*'GWP N2O_CH4'!B5</f>
        <v>6496.4058827139952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10.286432383814308</v>
      </c>
      <c r="C28" s="247">
        <f>B28*'GWP N2O_CH4'!B4</f>
        <v>3188.7940389824353</v>
      </c>
      <c r="D28" s="50"/>
    </row>
    <row r="29" spans="1:4">
      <c r="A29" s="41" t="s">
        <v>277</v>
      </c>
      <c r="B29" s="247">
        <f>B34*'ha_N2O bodem landbouw'!B4</f>
        <v>17.681451471211229</v>
      </c>
      <c r="C29" s="247">
        <f>B29*'GWP N2O_CH4'!B4</f>
        <v>5481.2499560754814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3.9656380653743826E-3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3.2970751930891159E-5</v>
      </c>
      <c r="C5" s="464" t="s">
        <v>211</v>
      </c>
      <c r="D5" s="449">
        <f>SUM(D6:D11)</f>
        <v>1.0561192704904425E-4</v>
      </c>
      <c r="E5" s="449">
        <f>SUM(E6:E11)</f>
        <v>6.5378036582114851E-4</v>
      </c>
      <c r="F5" s="462" t="s">
        <v>211</v>
      </c>
      <c r="G5" s="449">
        <f>SUM(G6:G11)</f>
        <v>0.15725473500388315</v>
      </c>
      <c r="H5" s="449">
        <f>SUM(H6:H11)</f>
        <v>3.9427002924371943E-2</v>
      </c>
      <c r="I5" s="464" t="s">
        <v>211</v>
      </c>
      <c r="J5" s="464" t="s">
        <v>211</v>
      </c>
      <c r="K5" s="464" t="s">
        <v>211</v>
      </c>
      <c r="L5" s="464" t="s">
        <v>211</v>
      </c>
      <c r="M5" s="449">
        <f>SUM(M6:M11)</f>
        <v>1.0310196014410156E-2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1.6466137844921534E-5</v>
      </c>
      <c r="C6" s="450"/>
      <c r="D6" s="893">
        <f>vkm_2011_GW_PW*SUMIFS(TableVerdeelsleutelVkm[CNG],TableVerdeelsleutelVkm[Voertuigtype],"Lichte voertuigen")*SUMIFS(TableECFTransport[EnergieConsumptieFactor (PJ per km)],TableECFTransport[Index],CONCATENATE($A6,"_CNG_CNG"))</f>
        <v>3.8087989681983612E-5</v>
      </c>
      <c r="E6" s="893">
        <f>vkm_2011_GW_PW*SUMIFS(TableVerdeelsleutelVkm[LPG],TableVerdeelsleutelVkm[Voertuigtype],"Lichte voertuigen")*SUMIFS(TableECFTransport[EnergieConsumptieFactor (PJ per km)],TableECFTransport[Index],CONCATENATE($A6,"_LPG_LPG"))</f>
        <v>2.4800598811637359E-4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5.1521409215936814E-2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1.4522820536240122E-2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3.4273531553549413E-3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1.504671023465151E-2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5.1457016392638332E-6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8.7053747569871165E-4</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1.6504614085969625E-5</v>
      </c>
      <c r="C8" s="450"/>
      <c r="D8" s="452">
        <f>vkm_2011_NGW_PW*SUMIFS(TableVerdeelsleutelVkm[CNG],TableVerdeelsleutelVkm[Voertuigtype],"Lichte voertuigen")*SUMIFS(TableECFTransport[EnergieConsumptieFactor (PJ per km)],TableECFTransport[Index],CONCATENATE($A8,"_CNG_CNG"))</f>
        <v>6.7523937367060637E-5</v>
      </c>
      <c r="E8" s="452">
        <f>vkm_2011_NGW_PW*SUMIFS(TableVerdeelsleutelVkm[LPG],TableVerdeelsleutelVkm[Voertuigtype],"Lichte voertuigen")*SUMIFS(TableECFTransport[EnergieConsumptieFactor (PJ per km)],TableECFTransport[Index],CONCATENATE($A8,"_LPG_LPG"))</f>
        <v>4.0577437770477492E-4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7.8800788041524239E-2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2.4895190571164006E-2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5.3246496202206881E-3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1.1885827511770581E-2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3.8461153285515845E-6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6.8765576313581617E-4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9.1585422030253216</v>
      </c>
      <c r="C14" s="21"/>
      <c r="D14" s="21">
        <f t="shared" ref="D14:M14" si="0">((D5)*10^9/3600)+D12</f>
        <v>29.33664640251229</v>
      </c>
      <c r="E14" s="21">
        <f t="shared" si="0"/>
        <v>181.60565717254124</v>
      </c>
      <c r="F14" s="21"/>
      <c r="G14" s="21">
        <f t="shared" si="0"/>
        <v>43681.870834411988</v>
      </c>
      <c r="H14" s="21">
        <f t="shared" si="0"/>
        <v>10951.945256769985</v>
      </c>
      <c r="I14" s="21"/>
      <c r="J14" s="21"/>
      <c r="K14" s="21"/>
      <c r="L14" s="21"/>
      <c r="M14" s="21">
        <f t="shared" si="0"/>
        <v>2863.9433373361549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0.19638696588966381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1.7986183152245803</v>
      </c>
      <c r="C18" s="23"/>
      <c r="D18" s="23">
        <f t="shared" ref="D18:M18" si="1">D14*D16</f>
        <v>5.9260025733074828</v>
      </c>
      <c r="E18" s="23">
        <f t="shared" si="1"/>
        <v>41.224484178166861</v>
      </c>
      <c r="F18" s="23"/>
      <c r="G18" s="23">
        <f t="shared" si="1"/>
        <v>11663.059512788001</v>
      </c>
      <c r="H18" s="23">
        <f t="shared" si="1"/>
        <v>2727.034368935726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2.0493189823334898E-3</v>
      </c>
      <c r="H50" s="321">
        <f t="shared" si="2"/>
        <v>0</v>
      </c>
      <c r="I50" s="321">
        <f t="shared" si="2"/>
        <v>0</v>
      </c>
      <c r="J50" s="321">
        <f t="shared" si="2"/>
        <v>0</v>
      </c>
      <c r="K50" s="321">
        <f t="shared" si="2"/>
        <v>0</v>
      </c>
      <c r="L50" s="321">
        <f t="shared" si="2"/>
        <v>0</v>
      </c>
      <c r="M50" s="321">
        <f t="shared" si="2"/>
        <v>1.1686668747492671E-4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2.0493189823334898E-3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1.1686668747492671E-4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569.25527287041382</v>
      </c>
      <c r="H54" s="21">
        <f t="shared" si="3"/>
        <v>0</v>
      </c>
      <c r="I54" s="21">
        <f t="shared" si="3"/>
        <v>0</v>
      </c>
      <c r="J54" s="21">
        <f t="shared" si="3"/>
        <v>0</v>
      </c>
      <c r="K54" s="21">
        <f t="shared" si="3"/>
        <v>0</v>
      </c>
      <c r="L54" s="21">
        <f t="shared" si="3"/>
        <v>0</v>
      </c>
      <c r="M54" s="21">
        <f t="shared" si="3"/>
        <v>32.462968743035198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0.19638696588966381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151.99115785640049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14491.154999999999</v>
      </c>
      <c r="D10" s="1025">
        <f ca="1">tertiair!C16</f>
        <v>0</v>
      </c>
      <c r="E10" s="1025">
        <f ca="1">tertiair!D16</f>
        <v>12739.541322824098</v>
      </c>
      <c r="F10" s="1025">
        <f>tertiair!E16</f>
        <v>133.10858137764629</v>
      </c>
      <c r="G10" s="1025">
        <f ca="1">tertiair!F16</f>
        <v>2051.4539613361721</v>
      </c>
      <c r="H10" s="1025">
        <f>tertiair!G16</f>
        <v>0</v>
      </c>
      <c r="I10" s="1025">
        <f>tertiair!H16</f>
        <v>0</v>
      </c>
      <c r="J10" s="1025">
        <f>tertiair!I16</f>
        <v>0</v>
      </c>
      <c r="K10" s="1025">
        <f>tertiair!J16</f>
        <v>0</v>
      </c>
      <c r="L10" s="1025">
        <f>tertiair!K16</f>
        <v>0</v>
      </c>
      <c r="M10" s="1025">
        <f ca="1">tertiair!L16</f>
        <v>0</v>
      </c>
      <c r="N10" s="1025">
        <f>tertiair!M16</f>
        <v>0</v>
      </c>
      <c r="O10" s="1025">
        <f ca="1">tertiair!N16</f>
        <v>1595.2352376675331</v>
      </c>
      <c r="P10" s="1025">
        <f>tertiair!O16</f>
        <v>7.8166666666666664</v>
      </c>
      <c r="Q10" s="1026">
        <f>tertiair!P16</f>
        <v>0</v>
      </c>
      <c r="R10" s="701">
        <f ca="1">SUM(C10:Q10)</f>
        <v>31018.310769872114</v>
      </c>
      <c r="S10" s="67"/>
    </row>
    <row r="11" spans="1:19" s="474" customFormat="1">
      <c r="A11" s="810" t="s">
        <v>225</v>
      </c>
      <c r="B11" s="815"/>
      <c r="C11" s="1025">
        <f>huishoudens!B8</f>
        <v>36708.12758344398</v>
      </c>
      <c r="D11" s="1025">
        <f>huishoudens!C8</f>
        <v>0</v>
      </c>
      <c r="E11" s="1025">
        <f>huishoudens!D8</f>
        <v>56618.951402517552</v>
      </c>
      <c r="F11" s="1025">
        <f>huishoudens!E8</f>
        <v>8487.2145137145217</v>
      </c>
      <c r="G11" s="1025">
        <f>huishoudens!F8</f>
        <v>26556.26504308005</v>
      </c>
      <c r="H11" s="1025">
        <f>huishoudens!G8</f>
        <v>0</v>
      </c>
      <c r="I11" s="1025">
        <f>huishoudens!H8</f>
        <v>0</v>
      </c>
      <c r="J11" s="1025">
        <f>huishoudens!I8</f>
        <v>0</v>
      </c>
      <c r="K11" s="1025">
        <f>huishoudens!J8</f>
        <v>0</v>
      </c>
      <c r="L11" s="1025">
        <f>huishoudens!K8</f>
        <v>0</v>
      </c>
      <c r="M11" s="1025">
        <f>huishoudens!L8</f>
        <v>0</v>
      </c>
      <c r="N11" s="1025">
        <f>huishoudens!M8</f>
        <v>0</v>
      </c>
      <c r="O11" s="1025">
        <f>huishoudens!N8</f>
        <v>18756.511702711628</v>
      </c>
      <c r="P11" s="1025">
        <f>huishoudens!O8</f>
        <v>200.10666666666668</v>
      </c>
      <c r="Q11" s="1026">
        <f>huishoudens!P8</f>
        <v>591.06666666666661</v>
      </c>
      <c r="R11" s="701">
        <f>SUM(C11:Q11)</f>
        <v>147918.24357880108</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26225.175999999999</v>
      </c>
      <c r="D13" s="1025">
        <f>industrie!C18</f>
        <v>0</v>
      </c>
      <c r="E13" s="1025">
        <f>industrie!D18</f>
        <v>2882.0942319237793</v>
      </c>
      <c r="F13" s="1025">
        <f>industrie!E18</f>
        <v>5317.1598483668313</v>
      </c>
      <c r="G13" s="1025">
        <f>industrie!F18</f>
        <v>22819.34887598145</v>
      </c>
      <c r="H13" s="1025">
        <f>industrie!G18</f>
        <v>0</v>
      </c>
      <c r="I13" s="1025">
        <f>industrie!H18</f>
        <v>0</v>
      </c>
      <c r="J13" s="1025">
        <f>industrie!I18</f>
        <v>0</v>
      </c>
      <c r="K13" s="1025">
        <f>industrie!J18</f>
        <v>92.297429927765165</v>
      </c>
      <c r="L13" s="1025">
        <f>industrie!K18</f>
        <v>0</v>
      </c>
      <c r="M13" s="1025">
        <f>industrie!L18</f>
        <v>0</v>
      </c>
      <c r="N13" s="1025">
        <f>industrie!M18</f>
        <v>0</v>
      </c>
      <c r="O13" s="1025">
        <f>industrie!N18</f>
        <v>8946.6986792179978</v>
      </c>
      <c r="P13" s="1025">
        <f>industrie!O18</f>
        <v>0</v>
      </c>
      <c r="Q13" s="1026">
        <f>industrie!P18</f>
        <v>0</v>
      </c>
      <c r="R13" s="701">
        <f>SUM(C13:Q13)</f>
        <v>66282.775065417823</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77424.458583443979</v>
      </c>
      <c r="D16" s="733">
        <f t="shared" ref="D16:R16" ca="1" si="0">SUM(D9:D15)</f>
        <v>0</v>
      </c>
      <c r="E16" s="733">
        <f t="shared" ca="1" si="0"/>
        <v>72240.586957265434</v>
      </c>
      <c r="F16" s="733">
        <f t="shared" si="0"/>
        <v>13937.482943458999</v>
      </c>
      <c r="G16" s="733">
        <f t="shared" ca="1" si="0"/>
        <v>51427.06788039767</v>
      </c>
      <c r="H16" s="733">
        <f t="shared" si="0"/>
        <v>0</v>
      </c>
      <c r="I16" s="733">
        <f t="shared" si="0"/>
        <v>0</v>
      </c>
      <c r="J16" s="733">
        <f t="shared" si="0"/>
        <v>0</v>
      </c>
      <c r="K16" s="733">
        <f t="shared" si="0"/>
        <v>92.297429927765165</v>
      </c>
      <c r="L16" s="733">
        <f t="shared" si="0"/>
        <v>0</v>
      </c>
      <c r="M16" s="733">
        <f t="shared" ca="1" si="0"/>
        <v>0</v>
      </c>
      <c r="N16" s="733">
        <f t="shared" si="0"/>
        <v>0</v>
      </c>
      <c r="O16" s="733">
        <f t="shared" ca="1" si="0"/>
        <v>29298.445619597158</v>
      </c>
      <c r="P16" s="733">
        <f t="shared" si="0"/>
        <v>207.92333333333335</v>
      </c>
      <c r="Q16" s="733">
        <f t="shared" si="0"/>
        <v>591.06666666666661</v>
      </c>
      <c r="R16" s="733">
        <f t="shared" ca="1" si="0"/>
        <v>245219.32941409101</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569.25527287041382</v>
      </c>
      <c r="I19" s="1025">
        <f>transport!H54</f>
        <v>0</v>
      </c>
      <c r="J19" s="1025">
        <f>transport!I54</f>
        <v>0</v>
      </c>
      <c r="K19" s="1025">
        <f>transport!J54</f>
        <v>0</v>
      </c>
      <c r="L19" s="1025">
        <f>transport!K54</f>
        <v>0</v>
      </c>
      <c r="M19" s="1025">
        <f>transport!L54</f>
        <v>0</v>
      </c>
      <c r="N19" s="1025">
        <f>transport!M54</f>
        <v>32.462968743035198</v>
      </c>
      <c r="O19" s="1025">
        <f>transport!N54</f>
        <v>0</v>
      </c>
      <c r="P19" s="1025">
        <f>transport!O54</f>
        <v>0</v>
      </c>
      <c r="Q19" s="1026">
        <f>transport!P54</f>
        <v>0</v>
      </c>
      <c r="R19" s="701">
        <f>SUM(C19:Q19)</f>
        <v>601.71824161344898</v>
      </c>
      <c r="S19" s="67"/>
    </row>
    <row r="20" spans="1:19" s="474" customFormat="1">
      <c r="A20" s="810" t="s">
        <v>307</v>
      </c>
      <c r="B20" s="815"/>
      <c r="C20" s="1025">
        <f>transport!B14</f>
        <v>9.1585422030253216</v>
      </c>
      <c r="D20" s="1025">
        <f>transport!C14</f>
        <v>0</v>
      </c>
      <c r="E20" s="1025">
        <f>transport!D14</f>
        <v>29.33664640251229</v>
      </c>
      <c r="F20" s="1025">
        <f>transport!E14</f>
        <v>181.60565717254124</v>
      </c>
      <c r="G20" s="1025">
        <f>transport!F14</f>
        <v>0</v>
      </c>
      <c r="H20" s="1025">
        <f>transport!G14</f>
        <v>43681.870834411988</v>
      </c>
      <c r="I20" s="1025">
        <f>transport!H14</f>
        <v>10951.945256769985</v>
      </c>
      <c r="J20" s="1025">
        <f>transport!I14</f>
        <v>0</v>
      </c>
      <c r="K20" s="1025">
        <f>transport!J14</f>
        <v>0</v>
      </c>
      <c r="L20" s="1025">
        <f>transport!K14</f>
        <v>0</v>
      </c>
      <c r="M20" s="1025">
        <f>transport!L14</f>
        <v>0</v>
      </c>
      <c r="N20" s="1025">
        <f>transport!M14</f>
        <v>2863.9433373361549</v>
      </c>
      <c r="O20" s="1025">
        <f>transport!N14</f>
        <v>0</v>
      </c>
      <c r="P20" s="1025">
        <f>transport!O14</f>
        <v>0</v>
      </c>
      <c r="Q20" s="1026">
        <f>transport!P14</f>
        <v>0</v>
      </c>
      <c r="R20" s="701">
        <f>SUM(C20:Q20)</f>
        <v>57717.860274296203</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9.1585422030253216</v>
      </c>
      <c r="D22" s="813">
        <f t="shared" ref="D22:R22" si="1">SUM(D18:D21)</f>
        <v>0</v>
      </c>
      <c r="E22" s="813">
        <f t="shared" si="1"/>
        <v>29.33664640251229</v>
      </c>
      <c r="F22" s="813">
        <f t="shared" si="1"/>
        <v>181.60565717254124</v>
      </c>
      <c r="G22" s="813">
        <f t="shared" si="1"/>
        <v>0</v>
      </c>
      <c r="H22" s="813">
        <f t="shared" si="1"/>
        <v>44251.126107282398</v>
      </c>
      <c r="I22" s="813">
        <f t="shared" si="1"/>
        <v>10951.945256769985</v>
      </c>
      <c r="J22" s="813">
        <f t="shared" si="1"/>
        <v>0</v>
      </c>
      <c r="K22" s="813">
        <f t="shared" si="1"/>
        <v>0</v>
      </c>
      <c r="L22" s="813">
        <f t="shared" si="1"/>
        <v>0</v>
      </c>
      <c r="M22" s="813">
        <f t="shared" si="1"/>
        <v>0</v>
      </c>
      <c r="N22" s="813">
        <f t="shared" si="1"/>
        <v>2896.40630607919</v>
      </c>
      <c r="O22" s="813">
        <f t="shared" si="1"/>
        <v>0</v>
      </c>
      <c r="P22" s="813">
        <f t="shared" si="1"/>
        <v>0</v>
      </c>
      <c r="Q22" s="813">
        <f t="shared" si="1"/>
        <v>0</v>
      </c>
      <c r="R22" s="813">
        <f t="shared" si="1"/>
        <v>58319.578515909649</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2928.174</v>
      </c>
      <c r="D24" s="1025">
        <f>+landbouw!C8</f>
        <v>62.357142857142847</v>
      </c>
      <c r="E24" s="1025">
        <f>+landbouw!D8</f>
        <v>164.05919316596777</v>
      </c>
      <c r="F24" s="1025">
        <f>+landbouw!E8</f>
        <v>27.121974020007183</v>
      </c>
      <c r="G24" s="1025">
        <f>+landbouw!F8</f>
        <v>7429.3352545745565</v>
      </c>
      <c r="H24" s="1025">
        <f>+landbouw!G8</f>
        <v>0</v>
      </c>
      <c r="I24" s="1025">
        <f>+landbouw!H8</f>
        <v>0</v>
      </c>
      <c r="J24" s="1025">
        <f>+landbouw!I8</f>
        <v>0</v>
      </c>
      <c r="K24" s="1025">
        <f>+landbouw!J8</f>
        <v>448.92175271721527</v>
      </c>
      <c r="L24" s="1025">
        <f>+landbouw!K8</f>
        <v>0</v>
      </c>
      <c r="M24" s="1025">
        <f>+landbouw!L8</f>
        <v>0</v>
      </c>
      <c r="N24" s="1025">
        <f>+landbouw!M8</f>
        <v>0</v>
      </c>
      <c r="O24" s="1025">
        <f>+landbouw!N8</f>
        <v>0</v>
      </c>
      <c r="P24" s="1025">
        <f>+landbouw!O8</f>
        <v>0</v>
      </c>
      <c r="Q24" s="1026">
        <f>+landbouw!P8</f>
        <v>0</v>
      </c>
      <c r="R24" s="701">
        <f>SUM(C24:Q24)</f>
        <v>11059.96931733489</v>
      </c>
      <c r="S24" s="67"/>
    </row>
    <row r="25" spans="1:19" s="474" customFormat="1" ht="15" thickBot="1">
      <c r="A25" s="832" t="s">
        <v>864</v>
      </c>
      <c r="B25" s="1028"/>
      <c r="C25" s="1029">
        <f>IF(Onbekend_ele_kWh="---",0,Onbekend_ele_kWh)/1000+IF(REST_rest_ele_kWh="---",0,REST_rest_ele_kWh)/1000</f>
        <v>909.59</v>
      </c>
      <c r="D25" s="1029"/>
      <c r="E25" s="1029">
        <f>IF(onbekend_gas_kWh="---",0,onbekend_gas_kWh)/1000+IF(REST_rest_gas_kWh="---",0,REST_rest_gas_kWh)/1000</f>
        <v>2249.6650044612297</v>
      </c>
      <c r="F25" s="1029"/>
      <c r="G25" s="1029"/>
      <c r="H25" s="1029"/>
      <c r="I25" s="1029"/>
      <c r="J25" s="1029"/>
      <c r="K25" s="1029"/>
      <c r="L25" s="1029"/>
      <c r="M25" s="1029"/>
      <c r="N25" s="1029"/>
      <c r="O25" s="1029"/>
      <c r="P25" s="1029"/>
      <c r="Q25" s="1030"/>
      <c r="R25" s="701">
        <f>SUM(C25:Q25)</f>
        <v>3159.2550044612299</v>
      </c>
      <c r="S25" s="67"/>
    </row>
    <row r="26" spans="1:19" s="474" customFormat="1" ht="15.75" thickBot="1">
      <c r="A26" s="706" t="s">
        <v>865</v>
      </c>
      <c r="B26" s="818"/>
      <c r="C26" s="813">
        <f>SUM(C24:C25)</f>
        <v>3837.7640000000001</v>
      </c>
      <c r="D26" s="813">
        <f t="shared" ref="D26:R26" si="2">SUM(D24:D25)</f>
        <v>62.357142857142847</v>
      </c>
      <c r="E26" s="813">
        <f t="shared" si="2"/>
        <v>2413.7241976271976</v>
      </c>
      <c r="F26" s="813">
        <f t="shared" si="2"/>
        <v>27.121974020007183</v>
      </c>
      <c r="G26" s="813">
        <f t="shared" si="2"/>
        <v>7429.3352545745565</v>
      </c>
      <c r="H26" s="813">
        <f t="shared" si="2"/>
        <v>0</v>
      </c>
      <c r="I26" s="813">
        <f t="shared" si="2"/>
        <v>0</v>
      </c>
      <c r="J26" s="813">
        <f t="shared" si="2"/>
        <v>0</v>
      </c>
      <c r="K26" s="813">
        <f t="shared" si="2"/>
        <v>448.92175271721527</v>
      </c>
      <c r="L26" s="813">
        <f t="shared" si="2"/>
        <v>0</v>
      </c>
      <c r="M26" s="813">
        <f t="shared" si="2"/>
        <v>0</v>
      </c>
      <c r="N26" s="813">
        <f t="shared" si="2"/>
        <v>0</v>
      </c>
      <c r="O26" s="813">
        <f t="shared" si="2"/>
        <v>0</v>
      </c>
      <c r="P26" s="813">
        <f t="shared" si="2"/>
        <v>0</v>
      </c>
      <c r="Q26" s="813">
        <f t="shared" si="2"/>
        <v>0</v>
      </c>
      <c r="R26" s="813">
        <f t="shared" si="2"/>
        <v>14219.224321796119</v>
      </c>
      <c r="S26" s="67"/>
    </row>
    <row r="27" spans="1:19" s="474" customFormat="1" ht="17.25" thickTop="1" thickBot="1">
      <c r="A27" s="707" t="s">
        <v>116</v>
      </c>
      <c r="B27" s="806"/>
      <c r="C27" s="708">
        <f ca="1">C22+C16+C26</f>
        <v>81271.381125646993</v>
      </c>
      <c r="D27" s="708">
        <f t="shared" ref="D27:R27" ca="1" si="3">D22+D16+D26</f>
        <v>62.357142857142847</v>
      </c>
      <c r="E27" s="708">
        <f t="shared" ca="1" si="3"/>
        <v>74683.647801295141</v>
      </c>
      <c r="F27" s="708">
        <f t="shared" si="3"/>
        <v>14146.210574651548</v>
      </c>
      <c r="G27" s="708">
        <f t="shared" ca="1" si="3"/>
        <v>58856.403134972228</v>
      </c>
      <c r="H27" s="708">
        <f t="shared" si="3"/>
        <v>44251.126107282398</v>
      </c>
      <c r="I27" s="708">
        <f t="shared" si="3"/>
        <v>10951.945256769985</v>
      </c>
      <c r="J27" s="708">
        <f t="shared" si="3"/>
        <v>0</v>
      </c>
      <c r="K27" s="708">
        <f t="shared" si="3"/>
        <v>541.21918264498049</v>
      </c>
      <c r="L27" s="708">
        <f t="shared" si="3"/>
        <v>0</v>
      </c>
      <c r="M27" s="708">
        <f t="shared" ca="1" si="3"/>
        <v>0</v>
      </c>
      <c r="N27" s="708">
        <f t="shared" si="3"/>
        <v>2896.40630607919</v>
      </c>
      <c r="O27" s="708">
        <f t="shared" ca="1" si="3"/>
        <v>29298.445619597158</v>
      </c>
      <c r="P27" s="708">
        <f t="shared" si="3"/>
        <v>207.92333333333335</v>
      </c>
      <c r="Q27" s="708">
        <f t="shared" si="3"/>
        <v>591.06666666666661</v>
      </c>
      <c r="R27" s="708">
        <f t="shared" ca="1" si="3"/>
        <v>317758.13225179678</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2845.873962686831</v>
      </c>
      <c r="D40" s="1025">
        <f ca="1">tertiair!C20</f>
        <v>0</v>
      </c>
      <c r="E40" s="1025">
        <f ca="1">tertiair!D20</f>
        <v>2573.3873472104679</v>
      </c>
      <c r="F40" s="1025">
        <f>tertiair!E20</f>
        <v>30.215647972725709</v>
      </c>
      <c r="G40" s="1025">
        <f ca="1">tertiair!F20</f>
        <v>547.73820767675795</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5997.2151655467824</v>
      </c>
    </row>
    <row r="41" spans="1:18">
      <c r="A41" s="823" t="s">
        <v>225</v>
      </c>
      <c r="B41" s="830"/>
      <c r="C41" s="1025">
        <f ca="1">huishoudens!B12</f>
        <v>7208.9977996032403</v>
      </c>
      <c r="D41" s="1025">
        <f ca="1">huishoudens!C12</f>
        <v>0</v>
      </c>
      <c r="E41" s="1025">
        <f>huishoudens!D12</f>
        <v>11437.028183308546</v>
      </c>
      <c r="F41" s="1025">
        <f>huishoudens!E12</f>
        <v>1926.5976946131964</v>
      </c>
      <c r="G41" s="1025">
        <f>huishoudens!F12</f>
        <v>7090.522766502374</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27663.146444027356</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5150.2827445624298</v>
      </c>
      <c r="D43" s="1025">
        <f ca="1">industrie!C22</f>
        <v>0</v>
      </c>
      <c r="E43" s="1025">
        <f>industrie!D22</f>
        <v>582.18303484860348</v>
      </c>
      <c r="F43" s="1025">
        <f>industrie!E22</f>
        <v>1206.9952855792708</v>
      </c>
      <c r="G43" s="1025">
        <f>industrie!F22</f>
        <v>6092.7661498870475</v>
      </c>
      <c r="H43" s="1025">
        <f>industrie!G22</f>
        <v>0</v>
      </c>
      <c r="I43" s="1025">
        <f>industrie!H22</f>
        <v>0</v>
      </c>
      <c r="J43" s="1025">
        <f>industrie!I22</f>
        <v>0</v>
      </c>
      <c r="K43" s="1025">
        <f>industrie!J22</f>
        <v>32.673290194428866</v>
      </c>
      <c r="L43" s="1025">
        <f>industrie!K22</f>
        <v>0</v>
      </c>
      <c r="M43" s="1025">
        <f>industrie!L22</f>
        <v>0</v>
      </c>
      <c r="N43" s="1025">
        <f>industrie!M22</f>
        <v>0</v>
      </c>
      <c r="O43" s="1025">
        <f>industrie!N22</f>
        <v>0</v>
      </c>
      <c r="P43" s="1025">
        <f>industrie!O22</f>
        <v>0</v>
      </c>
      <c r="Q43" s="775">
        <f>industrie!P22</f>
        <v>0</v>
      </c>
      <c r="R43" s="850">
        <f t="shared" ca="1" si="4"/>
        <v>13064.900505071781</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15205.154506852501</v>
      </c>
      <c r="D46" s="733">
        <f t="shared" ref="D46:Q46" ca="1" si="5">SUM(D39:D45)</f>
        <v>0</v>
      </c>
      <c r="E46" s="733">
        <f t="shared" ca="1" si="5"/>
        <v>14592.598565367618</v>
      </c>
      <c r="F46" s="733">
        <f t="shared" si="5"/>
        <v>3163.8086281651931</v>
      </c>
      <c r="G46" s="733">
        <f t="shared" ca="1" si="5"/>
        <v>13731.027124066179</v>
      </c>
      <c r="H46" s="733">
        <f t="shared" si="5"/>
        <v>0</v>
      </c>
      <c r="I46" s="733">
        <f t="shared" si="5"/>
        <v>0</v>
      </c>
      <c r="J46" s="733">
        <f t="shared" si="5"/>
        <v>0</v>
      </c>
      <c r="K46" s="733">
        <f t="shared" si="5"/>
        <v>32.673290194428866</v>
      </c>
      <c r="L46" s="733">
        <f t="shared" si="5"/>
        <v>0</v>
      </c>
      <c r="M46" s="733">
        <f t="shared" ca="1" si="5"/>
        <v>0</v>
      </c>
      <c r="N46" s="733">
        <f t="shared" si="5"/>
        <v>0</v>
      </c>
      <c r="O46" s="733">
        <f t="shared" ca="1" si="5"/>
        <v>0</v>
      </c>
      <c r="P46" s="733">
        <f t="shared" si="5"/>
        <v>0</v>
      </c>
      <c r="Q46" s="733">
        <f t="shared" si="5"/>
        <v>0</v>
      </c>
      <c r="R46" s="733">
        <f ca="1">SUM(R39:R45)</f>
        <v>46725.262114645921</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151.99115785640049</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151.99115785640049</v>
      </c>
    </row>
    <row r="50" spans="1:18">
      <c r="A50" s="826" t="s">
        <v>307</v>
      </c>
      <c r="B50" s="836"/>
      <c r="C50" s="704">
        <f ca="1">transport!B18</f>
        <v>1.7986183152245803</v>
      </c>
      <c r="D50" s="704">
        <f>transport!C18</f>
        <v>0</v>
      </c>
      <c r="E50" s="704">
        <f>transport!D18</f>
        <v>5.9260025733074828</v>
      </c>
      <c r="F50" s="704">
        <f>transport!E18</f>
        <v>41.224484178166861</v>
      </c>
      <c r="G50" s="704">
        <f>transport!F18</f>
        <v>0</v>
      </c>
      <c r="H50" s="704">
        <f>transport!G18</f>
        <v>11663.059512788001</v>
      </c>
      <c r="I50" s="704">
        <f>transport!H18</f>
        <v>2727.034368935726</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14439.042986790424</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1.7986183152245803</v>
      </c>
      <c r="D52" s="733">
        <f t="shared" ref="D52:Q52" ca="1" si="6">SUM(D48:D51)</f>
        <v>0</v>
      </c>
      <c r="E52" s="733">
        <f t="shared" si="6"/>
        <v>5.9260025733074828</v>
      </c>
      <c r="F52" s="733">
        <f t="shared" si="6"/>
        <v>41.224484178166861</v>
      </c>
      <c r="G52" s="733">
        <f t="shared" si="6"/>
        <v>0</v>
      </c>
      <c r="H52" s="733">
        <f t="shared" si="6"/>
        <v>11815.050670644401</v>
      </c>
      <c r="I52" s="733">
        <f t="shared" si="6"/>
        <v>2727.034368935726</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14591.034144646825</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575.05520745700039</v>
      </c>
      <c r="D54" s="704">
        <f ca="1">+landbouw!C12</f>
        <v>0</v>
      </c>
      <c r="E54" s="704">
        <f>+landbouw!D12</f>
        <v>33.13995701952549</v>
      </c>
      <c r="F54" s="704">
        <f>+landbouw!E12</f>
        <v>6.1566881025416311</v>
      </c>
      <c r="G54" s="704">
        <f>+landbouw!F12</f>
        <v>1983.6325129714066</v>
      </c>
      <c r="H54" s="704">
        <f>+landbouw!G12</f>
        <v>0</v>
      </c>
      <c r="I54" s="704">
        <f>+landbouw!H12</f>
        <v>0</v>
      </c>
      <c r="J54" s="704">
        <f>+landbouw!I12</f>
        <v>0</v>
      </c>
      <c r="K54" s="704">
        <f>+landbouw!J12</f>
        <v>158.91830046189421</v>
      </c>
      <c r="L54" s="704">
        <f>+landbouw!K12</f>
        <v>0</v>
      </c>
      <c r="M54" s="704">
        <f>+landbouw!L12</f>
        <v>0</v>
      </c>
      <c r="N54" s="704">
        <f>+landbouw!M12</f>
        <v>0</v>
      </c>
      <c r="O54" s="704">
        <f>+landbouw!N12</f>
        <v>0</v>
      </c>
      <c r="P54" s="704">
        <f>+landbouw!O12</f>
        <v>0</v>
      </c>
      <c r="Q54" s="705">
        <f>+landbouw!P12</f>
        <v>0</v>
      </c>
      <c r="R54" s="732">
        <f ca="1">SUM(C54:Q54)</f>
        <v>2756.9026660123682</v>
      </c>
    </row>
    <row r="55" spans="1:18" ht="15" thickBot="1">
      <c r="A55" s="826" t="s">
        <v>864</v>
      </c>
      <c r="B55" s="836"/>
      <c r="C55" s="704">
        <f ca="1">C25*'EF ele_warmte'!B12</f>
        <v>178.63162030357933</v>
      </c>
      <c r="D55" s="704"/>
      <c r="E55" s="704">
        <f>E25*EF_CO2_aardgas</f>
        <v>454.43233090116843</v>
      </c>
      <c r="F55" s="704"/>
      <c r="G55" s="704"/>
      <c r="H55" s="704"/>
      <c r="I55" s="704"/>
      <c r="J55" s="704"/>
      <c r="K55" s="704"/>
      <c r="L55" s="704"/>
      <c r="M55" s="704"/>
      <c r="N55" s="704"/>
      <c r="O55" s="704"/>
      <c r="P55" s="704"/>
      <c r="Q55" s="705"/>
      <c r="R55" s="732">
        <f ca="1">SUM(C55:Q55)</f>
        <v>633.06395120474781</v>
      </c>
    </row>
    <row r="56" spans="1:18" ht="15.75" thickBot="1">
      <c r="A56" s="824" t="s">
        <v>865</v>
      </c>
      <c r="B56" s="837"/>
      <c r="C56" s="733">
        <f ca="1">SUM(C54:C55)</f>
        <v>753.68682776057972</v>
      </c>
      <c r="D56" s="733">
        <f t="shared" ref="D56:Q56" ca="1" si="7">SUM(D54:D55)</f>
        <v>0</v>
      </c>
      <c r="E56" s="733">
        <f t="shared" si="7"/>
        <v>487.5722879206939</v>
      </c>
      <c r="F56" s="733">
        <f t="shared" si="7"/>
        <v>6.1566881025416311</v>
      </c>
      <c r="G56" s="733">
        <f t="shared" si="7"/>
        <v>1983.6325129714066</v>
      </c>
      <c r="H56" s="733">
        <f t="shared" si="7"/>
        <v>0</v>
      </c>
      <c r="I56" s="733">
        <f t="shared" si="7"/>
        <v>0</v>
      </c>
      <c r="J56" s="733">
        <f t="shared" si="7"/>
        <v>0</v>
      </c>
      <c r="K56" s="733">
        <f t="shared" si="7"/>
        <v>158.91830046189421</v>
      </c>
      <c r="L56" s="733">
        <f t="shared" si="7"/>
        <v>0</v>
      </c>
      <c r="M56" s="733">
        <f t="shared" si="7"/>
        <v>0</v>
      </c>
      <c r="N56" s="733">
        <f t="shared" si="7"/>
        <v>0</v>
      </c>
      <c r="O56" s="733">
        <f t="shared" si="7"/>
        <v>0</v>
      </c>
      <c r="P56" s="733">
        <f t="shared" si="7"/>
        <v>0</v>
      </c>
      <c r="Q56" s="734">
        <f t="shared" si="7"/>
        <v>0</v>
      </c>
      <c r="R56" s="735">
        <f ca="1">SUM(R54:R55)</f>
        <v>3389.966617217116</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15960.639952928304</v>
      </c>
      <c r="D61" s="741">
        <f t="shared" ref="D61:Q61" ca="1" si="8">D46+D52+D56</f>
        <v>0</v>
      </c>
      <c r="E61" s="741">
        <f t="shared" ca="1" si="8"/>
        <v>15086.096855861619</v>
      </c>
      <c r="F61" s="741">
        <f t="shared" si="8"/>
        <v>3211.1898004459013</v>
      </c>
      <c r="G61" s="741">
        <f t="shared" ca="1" si="8"/>
        <v>15714.659637037585</v>
      </c>
      <c r="H61" s="741">
        <f t="shared" si="8"/>
        <v>11815.050670644401</v>
      </c>
      <c r="I61" s="741">
        <f t="shared" si="8"/>
        <v>2727.034368935726</v>
      </c>
      <c r="J61" s="741">
        <f t="shared" si="8"/>
        <v>0</v>
      </c>
      <c r="K61" s="741">
        <f t="shared" si="8"/>
        <v>191.59159065632306</v>
      </c>
      <c r="L61" s="741">
        <f t="shared" si="8"/>
        <v>0</v>
      </c>
      <c r="M61" s="741">
        <f t="shared" ca="1" si="8"/>
        <v>0</v>
      </c>
      <c r="N61" s="741">
        <f t="shared" si="8"/>
        <v>0</v>
      </c>
      <c r="O61" s="741">
        <f t="shared" ca="1" si="8"/>
        <v>0</v>
      </c>
      <c r="P61" s="741">
        <f t="shared" si="8"/>
        <v>0</v>
      </c>
      <c r="Q61" s="741">
        <f t="shared" si="8"/>
        <v>0</v>
      </c>
      <c r="R61" s="741">
        <f ca="1">R46+R52+R56</f>
        <v>64706.262876509856</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0.19638696588966384</v>
      </c>
      <c r="D63" s="782">
        <f t="shared" ca="1" si="9"/>
        <v>0</v>
      </c>
      <c r="E63" s="1036">
        <f t="shared" ca="1" si="9"/>
        <v>0.20200000000000001</v>
      </c>
      <c r="F63" s="782">
        <f t="shared" si="9"/>
        <v>0.22699999999999998</v>
      </c>
      <c r="G63" s="782">
        <f t="shared" ca="1" si="9"/>
        <v>0.26700000000000002</v>
      </c>
      <c r="H63" s="782">
        <f t="shared" si="9"/>
        <v>0.26700000000000002</v>
      </c>
      <c r="I63" s="782">
        <f t="shared" si="9"/>
        <v>0.24899999999999997</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3591.4782873349286</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5416.1625535686126</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43.649999999999991</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51.35294117647058</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9051.2908409035408</v>
      </c>
      <c r="C78" s="756">
        <f>SUM(C72:C77)</f>
        <v>0</v>
      </c>
      <c r="D78" s="757">
        <f t="shared" ref="D78:H78" si="10">SUM(D76:D77)</f>
        <v>0</v>
      </c>
      <c r="E78" s="757">
        <f t="shared" si="10"/>
        <v>0</v>
      </c>
      <c r="F78" s="757">
        <f t="shared" si="10"/>
        <v>0</v>
      </c>
      <c r="G78" s="757">
        <f t="shared" si="10"/>
        <v>0</v>
      </c>
      <c r="H78" s="757">
        <f t="shared" si="10"/>
        <v>0</v>
      </c>
      <c r="I78" s="757">
        <f>SUM(I76:I77)</f>
        <v>0</v>
      </c>
      <c r="J78" s="757">
        <f>SUM(J76:J77)</f>
        <v>51.35294117647058</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62.357142857142847</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73.361344537815114</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62.357142857142847</v>
      </c>
      <c r="C90" s="756">
        <f>SUM(C87:C89)</f>
        <v>0</v>
      </c>
      <c r="D90" s="756">
        <f t="shared" ref="D90:H90" si="12">SUM(D87:D89)</f>
        <v>0</v>
      </c>
      <c r="E90" s="756">
        <f t="shared" si="12"/>
        <v>0</v>
      </c>
      <c r="F90" s="756">
        <f t="shared" si="12"/>
        <v>0</v>
      </c>
      <c r="G90" s="756">
        <f t="shared" si="12"/>
        <v>0</v>
      </c>
      <c r="H90" s="756">
        <f t="shared" si="12"/>
        <v>0</v>
      </c>
      <c r="I90" s="756">
        <f>SUM(I87:I89)</f>
        <v>0</v>
      </c>
      <c r="J90" s="756">
        <f>SUM(J87:J89)</f>
        <v>73.361344537815114</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3591.4782873349286</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5416.1625535686126</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43.649999999999991</v>
      </c>
      <c r="C8" s="571">
        <f>B101</f>
        <v>0</v>
      </c>
      <c r="D8" s="1056"/>
      <c r="E8" s="1056">
        <f>E101</f>
        <v>0</v>
      </c>
      <c r="F8" s="1057"/>
      <c r="G8" s="572"/>
      <c r="H8" s="1056">
        <f>I101</f>
        <v>0</v>
      </c>
      <c r="I8" s="1056">
        <f>G101+F101</f>
        <v>0</v>
      </c>
      <c r="J8" s="1056">
        <f>H101+D101+C101</f>
        <v>51.35294117647058</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9051.2908409035408</v>
      </c>
      <c r="C10" s="584">
        <f t="shared" ref="C10:L10" si="0">SUM(C8:C9)</f>
        <v>0</v>
      </c>
      <c r="D10" s="584">
        <f t="shared" si="0"/>
        <v>0</v>
      </c>
      <c r="E10" s="584">
        <f t="shared" si="0"/>
        <v>0</v>
      </c>
      <c r="F10" s="584">
        <f t="shared" si="0"/>
        <v>0</v>
      </c>
      <c r="G10" s="584">
        <f t="shared" si="0"/>
        <v>0</v>
      </c>
      <c r="H10" s="584">
        <f t="shared" si="0"/>
        <v>0</v>
      </c>
      <c r="I10" s="584">
        <f t="shared" si="0"/>
        <v>0</v>
      </c>
      <c r="J10" s="584">
        <f t="shared" si="0"/>
        <v>51.35294117647058</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62.357142857142847</v>
      </c>
      <c r="C17" s="596">
        <f>B102</f>
        <v>0</v>
      </c>
      <c r="D17" s="597"/>
      <c r="E17" s="597">
        <f>E102</f>
        <v>0</v>
      </c>
      <c r="F17" s="1062"/>
      <c r="G17" s="598"/>
      <c r="H17" s="596">
        <f>I102</f>
        <v>0</v>
      </c>
      <c r="I17" s="597">
        <f>G102+F102</f>
        <v>0</v>
      </c>
      <c r="J17" s="597">
        <f>H102+D102+C102</f>
        <v>73.361344537815114</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62.357142857142847</v>
      </c>
      <c r="C20" s="583">
        <f>SUM(C17:C19)</f>
        <v>0</v>
      </c>
      <c r="D20" s="583">
        <f t="shared" ref="D20:L20" si="1">SUM(D17:D19)</f>
        <v>0</v>
      </c>
      <c r="E20" s="583">
        <f t="shared" si="1"/>
        <v>0</v>
      </c>
      <c r="F20" s="583">
        <f t="shared" si="1"/>
        <v>0</v>
      </c>
      <c r="G20" s="583">
        <f t="shared" si="1"/>
        <v>0</v>
      </c>
      <c r="H20" s="583">
        <f t="shared" si="1"/>
        <v>0</v>
      </c>
      <c r="I20" s="583">
        <f t="shared" si="1"/>
        <v>0</v>
      </c>
      <c r="J20" s="583">
        <f t="shared" si="1"/>
        <v>73.361344537815114</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11016</v>
      </c>
      <c r="C28" s="797">
        <v>2910</v>
      </c>
      <c r="D28" s="654" t="s">
        <v>907</v>
      </c>
      <c r="E28" s="653" t="s">
        <v>908</v>
      </c>
      <c r="F28" s="653" t="s">
        <v>909</v>
      </c>
      <c r="G28" s="653" t="s">
        <v>910</v>
      </c>
      <c r="H28" s="653" t="s">
        <v>911</v>
      </c>
      <c r="I28" s="653" t="s">
        <v>912</v>
      </c>
      <c r="J28" s="796">
        <v>41338</v>
      </c>
      <c r="K28" s="796">
        <v>41338</v>
      </c>
      <c r="L28" s="653" t="s">
        <v>913</v>
      </c>
      <c r="M28" s="653">
        <v>9.6999999999999993</v>
      </c>
      <c r="N28" s="653">
        <v>43.649999999999991</v>
      </c>
      <c r="O28" s="653">
        <v>62.357142857142847</v>
      </c>
      <c r="P28" s="653">
        <v>0</v>
      </c>
      <c r="Q28" s="653">
        <v>124.71428571428569</v>
      </c>
      <c r="R28" s="653">
        <v>0</v>
      </c>
      <c r="S28" s="653">
        <v>0</v>
      </c>
      <c r="T28" s="653">
        <v>0</v>
      </c>
      <c r="U28" s="653">
        <v>0</v>
      </c>
      <c r="V28" s="653">
        <v>0</v>
      </c>
      <c r="W28" s="653">
        <v>0</v>
      </c>
      <c r="X28" s="653">
        <v>10</v>
      </c>
      <c r="Y28" s="653" t="s">
        <v>112</v>
      </c>
      <c r="Z28" s="655" t="s">
        <v>112</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9.6999999999999993</v>
      </c>
      <c r="N58" s="611">
        <f>SUM(N28:N57)</f>
        <v>43.649999999999991</v>
      </c>
      <c r="O58" s="611">
        <f t="shared" ref="O58:W58" si="2">SUM(O28:O57)</f>
        <v>62.357142857142847</v>
      </c>
      <c r="P58" s="611">
        <f t="shared" si="2"/>
        <v>0</v>
      </c>
      <c r="Q58" s="611">
        <f t="shared" si="2"/>
        <v>124.71428571428569</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9.6999999999999993</v>
      </c>
      <c r="N61" s="616">
        <f t="shared" si="4"/>
        <v>43.649999999999991</v>
      </c>
      <c r="O61" s="616">
        <f t="shared" si="4"/>
        <v>62.357142857142847</v>
      </c>
      <c r="P61" s="616">
        <f t="shared" si="4"/>
        <v>0</v>
      </c>
      <c r="Q61" s="616">
        <f t="shared" si="4"/>
        <v>124.71428571428569</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51.35294117647058</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73.361344537815114</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36708.12758344398</v>
      </c>
      <c r="C4" s="478">
        <f>huishoudens!C8</f>
        <v>0</v>
      </c>
      <c r="D4" s="478">
        <f>huishoudens!D8</f>
        <v>56618.951402517552</v>
      </c>
      <c r="E4" s="478">
        <f>huishoudens!E8</f>
        <v>8487.2145137145217</v>
      </c>
      <c r="F4" s="478">
        <f>huishoudens!F8</f>
        <v>26556.26504308005</v>
      </c>
      <c r="G4" s="478">
        <f>huishoudens!G8</f>
        <v>0</v>
      </c>
      <c r="H4" s="478">
        <f>huishoudens!H8</f>
        <v>0</v>
      </c>
      <c r="I4" s="478">
        <f>huishoudens!I8</f>
        <v>0</v>
      </c>
      <c r="J4" s="478">
        <f>huishoudens!J8</f>
        <v>0</v>
      </c>
      <c r="K4" s="478">
        <f>huishoudens!K8</f>
        <v>0</v>
      </c>
      <c r="L4" s="478">
        <f>huishoudens!L8</f>
        <v>0</v>
      </c>
      <c r="M4" s="478">
        <f>huishoudens!M8</f>
        <v>0</v>
      </c>
      <c r="N4" s="478">
        <f>huishoudens!N8</f>
        <v>18756.511702711628</v>
      </c>
      <c r="O4" s="478">
        <f>huishoudens!O8</f>
        <v>200.10666666666668</v>
      </c>
      <c r="P4" s="479">
        <f>huishoudens!P8</f>
        <v>591.06666666666661</v>
      </c>
      <c r="Q4" s="480">
        <f>SUM(B4:P4)</f>
        <v>147918.24357880108</v>
      </c>
    </row>
    <row r="5" spans="1:17">
      <c r="A5" s="477" t="s">
        <v>156</v>
      </c>
      <c r="B5" s="478">
        <f ca="1">tertiair!B16</f>
        <v>13101.994999999999</v>
      </c>
      <c r="C5" s="478">
        <f ca="1">tertiair!C16</f>
        <v>0</v>
      </c>
      <c r="D5" s="478">
        <f ca="1">tertiair!D16</f>
        <v>12739.541322824098</v>
      </c>
      <c r="E5" s="478">
        <f>tertiair!E16</f>
        <v>133.10858137764629</v>
      </c>
      <c r="F5" s="478">
        <f ca="1">tertiair!F16</f>
        <v>2051.4539613361721</v>
      </c>
      <c r="G5" s="478">
        <f>tertiair!G16</f>
        <v>0</v>
      </c>
      <c r="H5" s="478">
        <f>tertiair!H16</f>
        <v>0</v>
      </c>
      <c r="I5" s="478">
        <f>tertiair!I16</f>
        <v>0</v>
      </c>
      <c r="J5" s="478">
        <f>tertiair!J16</f>
        <v>0</v>
      </c>
      <c r="K5" s="478">
        <f>tertiair!K16</f>
        <v>0</v>
      </c>
      <c r="L5" s="478">
        <f ca="1">tertiair!L16</f>
        <v>0</v>
      </c>
      <c r="M5" s="478">
        <f>tertiair!M16</f>
        <v>0</v>
      </c>
      <c r="N5" s="478">
        <f ca="1">tertiair!N16</f>
        <v>1595.2352376675331</v>
      </c>
      <c r="O5" s="478">
        <f>tertiair!O16</f>
        <v>7.8166666666666664</v>
      </c>
      <c r="P5" s="479">
        <f>tertiair!P16</f>
        <v>0</v>
      </c>
      <c r="Q5" s="477">
        <f t="shared" ref="Q5:Q14" ca="1" si="0">SUM(B5:P5)</f>
        <v>29629.150769872118</v>
      </c>
    </row>
    <row r="6" spans="1:17">
      <c r="A6" s="477" t="s">
        <v>194</v>
      </c>
      <c r="B6" s="478">
        <f>'openbare verlichting'!B8</f>
        <v>1389.16</v>
      </c>
      <c r="C6" s="478"/>
      <c r="D6" s="478"/>
      <c r="E6" s="478"/>
      <c r="F6" s="478"/>
      <c r="G6" s="478"/>
      <c r="H6" s="478"/>
      <c r="I6" s="478"/>
      <c r="J6" s="478"/>
      <c r="K6" s="478"/>
      <c r="L6" s="478"/>
      <c r="M6" s="478"/>
      <c r="N6" s="478"/>
      <c r="O6" s="478"/>
      <c r="P6" s="479"/>
      <c r="Q6" s="477">
        <f t="shared" si="0"/>
        <v>1389.16</v>
      </c>
    </row>
    <row r="7" spans="1:17">
      <c r="A7" s="477" t="s">
        <v>112</v>
      </c>
      <c r="B7" s="478">
        <f>landbouw!B8</f>
        <v>2928.174</v>
      </c>
      <c r="C7" s="478">
        <f>landbouw!C8</f>
        <v>62.357142857142847</v>
      </c>
      <c r="D7" s="478">
        <f>landbouw!D8</f>
        <v>164.05919316596777</v>
      </c>
      <c r="E7" s="478">
        <f>landbouw!E8</f>
        <v>27.121974020007183</v>
      </c>
      <c r="F7" s="478">
        <f>landbouw!F8</f>
        <v>7429.3352545745565</v>
      </c>
      <c r="G7" s="478">
        <f>landbouw!G8</f>
        <v>0</v>
      </c>
      <c r="H7" s="478">
        <f>landbouw!H8</f>
        <v>0</v>
      </c>
      <c r="I7" s="478">
        <f>landbouw!I8</f>
        <v>0</v>
      </c>
      <c r="J7" s="478">
        <f>landbouw!J8</f>
        <v>448.92175271721527</v>
      </c>
      <c r="K7" s="478">
        <f>landbouw!K8</f>
        <v>0</v>
      </c>
      <c r="L7" s="478">
        <f>landbouw!L8</f>
        <v>0</v>
      </c>
      <c r="M7" s="478">
        <f>landbouw!M8</f>
        <v>0</v>
      </c>
      <c r="N7" s="478">
        <f>landbouw!N8</f>
        <v>0</v>
      </c>
      <c r="O7" s="478">
        <f>landbouw!O8</f>
        <v>0</v>
      </c>
      <c r="P7" s="479">
        <f>landbouw!P8</f>
        <v>0</v>
      </c>
      <c r="Q7" s="477">
        <f t="shared" si="0"/>
        <v>11059.96931733489</v>
      </c>
    </row>
    <row r="8" spans="1:17">
      <c r="A8" s="477" t="s">
        <v>650</v>
      </c>
      <c r="B8" s="478">
        <f>industrie!B18</f>
        <v>26225.175999999999</v>
      </c>
      <c r="C8" s="478">
        <f>industrie!C18</f>
        <v>0</v>
      </c>
      <c r="D8" s="478">
        <f>industrie!D18</f>
        <v>2882.0942319237793</v>
      </c>
      <c r="E8" s="478">
        <f>industrie!E18</f>
        <v>5317.1598483668313</v>
      </c>
      <c r="F8" s="478">
        <f>industrie!F18</f>
        <v>22819.34887598145</v>
      </c>
      <c r="G8" s="478">
        <f>industrie!G18</f>
        <v>0</v>
      </c>
      <c r="H8" s="478">
        <f>industrie!H18</f>
        <v>0</v>
      </c>
      <c r="I8" s="478">
        <f>industrie!I18</f>
        <v>0</v>
      </c>
      <c r="J8" s="478">
        <f>industrie!J18</f>
        <v>92.297429927765165</v>
      </c>
      <c r="K8" s="478">
        <f>industrie!K18</f>
        <v>0</v>
      </c>
      <c r="L8" s="478">
        <f>industrie!L18</f>
        <v>0</v>
      </c>
      <c r="M8" s="478">
        <f>industrie!M18</f>
        <v>0</v>
      </c>
      <c r="N8" s="478">
        <f>industrie!N18</f>
        <v>8946.6986792179978</v>
      </c>
      <c r="O8" s="478">
        <f>industrie!O18</f>
        <v>0</v>
      </c>
      <c r="P8" s="479">
        <f>industrie!P18</f>
        <v>0</v>
      </c>
      <c r="Q8" s="477">
        <f t="shared" si="0"/>
        <v>66282.775065417823</v>
      </c>
    </row>
    <row r="9" spans="1:17" s="483" customFormat="1">
      <c r="A9" s="481" t="s">
        <v>571</v>
      </c>
      <c r="B9" s="482">
        <f>transport!B14</f>
        <v>9.1585422030253216</v>
      </c>
      <c r="C9" s="482">
        <f>transport!C14</f>
        <v>0</v>
      </c>
      <c r="D9" s="482">
        <f>transport!D14</f>
        <v>29.33664640251229</v>
      </c>
      <c r="E9" s="482">
        <f>transport!E14</f>
        <v>181.60565717254124</v>
      </c>
      <c r="F9" s="482">
        <f>transport!F14</f>
        <v>0</v>
      </c>
      <c r="G9" s="482">
        <f>transport!G14</f>
        <v>43681.870834411988</v>
      </c>
      <c r="H9" s="482">
        <f>transport!H14</f>
        <v>10951.945256769985</v>
      </c>
      <c r="I9" s="482">
        <f>transport!I14</f>
        <v>0</v>
      </c>
      <c r="J9" s="482">
        <f>transport!J14</f>
        <v>0</v>
      </c>
      <c r="K9" s="482">
        <f>transport!K14</f>
        <v>0</v>
      </c>
      <c r="L9" s="482">
        <f>transport!L14</f>
        <v>0</v>
      </c>
      <c r="M9" s="482">
        <f>transport!M14</f>
        <v>2863.9433373361549</v>
      </c>
      <c r="N9" s="482">
        <f>transport!N14</f>
        <v>0</v>
      </c>
      <c r="O9" s="482">
        <f>transport!O14</f>
        <v>0</v>
      </c>
      <c r="P9" s="482">
        <f>transport!P14</f>
        <v>0</v>
      </c>
      <c r="Q9" s="481">
        <f>SUM(B9:P9)</f>
        <v>57717.860274296203</v>
      </c>
    </row>
    <row r="10" spans="1:17">
      <c r="A10" s="477" t="s">
        <v>561</v>
      </c>
      <c r="B10" s="478">
        <f>transport!B54</f>
        <v>0</v>
      </c>
      <c r="C10" s="478">
        <f>transport!C54</f>
        <v>0</v>
      </c>
      <c r="D10" s="478">
        <f>transport!D54</f>
        <v>0</v>
      </c>
      <c r="E10" s="478">
        <f>transport!E54</f>
        <v>0</v>
      </c>
      <c r="F10" s="478">
        <f>transport!F54</f>
        <v>0</v>
      </c>
      <c r="G10" s="478">
        <f>transport!G54</f>
        <v>569.25527287041382</v>
      </c>
      <c r="H10" s="478">
        <f>transport!H54</f>
        <v>0</v>
      </c>
      <c r="I10" s="478">
        <f>transport!I54</f>
        <v>0</v>
      </c>
      <c r="J10" s="478">
        <f>transport!J54</f>
        <v>0</v>
      </c>
      <c r="K10" s="478">
        <f>transport!K54</f>
        <v>0</v>
      </c>
      <c r="L10" s="478">
        <f>transport!L54</f>
        <v>0</v>
      </c>
      <c r="M10" s="478">
        <f>transport!M54</f>
        <v>32.462968743035198</v>
      </c>
      <c r="N10" s="478">
        <f>transport!N54</f>
        <v>0</v>
      </c>
      <c r="O10" s="478">
        <f>transport!O54</f>
        <v>0</v>
      </c>
      <c r="P10" s="479">
        <f>transport!P54</f>
        <v>0</v>
      </c>
      <c r="Q10" s="477">
        <f t="shared" si="0"/>
        <v>601.71824161344898</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909.59</v>
      </c>
      <c r="C14" s="485"/>
      <c r="D14" s="485">
        <f>'SEAP template'!E25</f>
        <v>2249.6650044612297</v>
      </c>
      <c r="E14" s="485"/>
      <c r="F14" s="485"/>
      <c r="G14" s="485"/>
      <c r="H14" s="485"/>
      <c r="I14" s="485"/>
      <c r="J14" s="485"/>
      <c r="K14" s="485"/>
      <c r="L14" s="485"/>
      <c r="M14" s="485"/>
      <c r="N14" s="485"/>
      <c r="O14" s="485"/>
      <c r="P14" s="486"/>
      <c r="Q14" s="477">
        <f t="shared" si="0"/>
        <v>3159.2550044612299</v>
      </c>
    </row>
    <row r="15" spans="1:17" s="487" customFormat="1">
      <c r="A15" s="1051" t="s">
        <v>565</v>
      </c>
      <c r="B15" s="991">
        <f ca="1">SUM(B4:B14)</f>
        <v>81271.381125646993</v>
      </c>
      <c r="C15" s="991">
        <f t="shared" ref="C15:Q15" ca="1" si="1">SUM(C4:C14)</f>
        <v>62.357142857142847</v>
      </c>
      <c r="D15" s="991">
        <f t="shared" ca="1" si="1"/>
        <v>74683.647801295156</v>
      </c>
      <c r="E15" s="991">
        <f t="shared" si="1"/>
        <v>14146.210574651548</v>
      </c>
      <c r="F15" s="991">
        <f t="shared" ca="1" si="1"/>
        <v>58856.403134972228</v>
      </c>
      <c r="G15" s="991">
        <f t="shared" si="1"/>
        <v>44251.126107282398</v>
      </c>
      <c r="H15" s="991">
        <f t="shared" si="1"/>
        <v>10951.945256769985</v>
      </c>
      <c r="I15" s="991">
        <f t="shared" si="1"/>
        <v>0</v>
      </c>
      <c r="J15" s="991">
        <f t="shared" si="1"/>
        <v>541.21918264498049</v>
      </c>
      <c r="K15" s="991">
        <f t="shared" si="1"/>
        <v>0</v>
      </c>
      <c r="L15" s="991">
        <f t="shared" ca="1" si="1"/>
        <v>0</v>
      </c>
      <c r="M15" s="991">
        <f t="shared" si="1"/>
        <v>2896.40630607919</v>
      </c>
      <c r="N15" s="991">
        <f t="shared" ca="1" si="1"/>
        <v>29298.445619597158</v>
      </c>
      <c r="O15" s="991">
        <f t="shared" si="1"/>
        <v>207.92333333333335</v>
      </c>
      <c r="P15" s="991">
        <f t="shared" si="1"/>
        <v>591.06666666666661</v>
      </c>
      <c r="Q15" s="991">
        <f t="shared" ca="1" si="1"/>
        <v>317758.13225179678</v>
      </c>
    </row>
    <row r="17" spans="1:17">
      <c r="A17" s="488" t="s">
        <v>566</v>
      </c>
      <c r="B17" s="787">
        <f ca="1">huishoudens!B10</f>
        <v>0.19638696588966381</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7208.9977996032403</v>
      </c>
      <c r="C22" s="478">
        <f t="shared" ref="C22:C32" ca="1" si="3">C4*$C$17</f>
        <v>0</v>
      </c>
      <c r="D22" s="478">
        <f t="shared" ref="D22:D32" si="4">D4*$D$17</f>
        <v>11437.028183308546</v>
      </c>
      <c r="E22" s="478">
        <f t="shared" ref="E22:E32" si="5">E4*$E$17</f>
        <v>1926.5976946131964</v>
      </c>
      <c r="F22" s="478">
        <f t="shared" ref="F22:F32" si="6">F4*$F$17</f>
        <v>7090.522766502374</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27663.146444027356</v>
      </c>
    </row>
    <row r="23" spans="1:17">
      <c r="A23" s="477" t="s">
        <v>156</v>
      </c>
      <c r="B23" s="478">
        <f t="shared" ca="1" si="2"/>
        <v>2573.0610451515454</v>
      </c>
      <c r="C23" s="478">
        <f t="shared" ca="1" si="3"/>
        <v>0</v>
      </c>
      <c r="D23" s="478">
        <f t="shared" ca="1" si="4"/>
        <v>2573.3873472104679</v>
      </c>
      <c r="E23" s="478">
        <f t="shared" si="5"/>
        <v>30.215647972725709</v>
      </c>
      <c r="F23" s="478">
        <f t="shared" ca="1" si="6"/>
        <v>547.73820767675795</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5724.4022480114972</v>
      </c>
    </row>
    <row r="24" spans="1:17">
      <c r="A24" s="477" t="s">
        <v>194</v>
      </c>
      <c r="B24" s="478">
        <f t="shared" ca="1" si="2"/>
        <v>272.81291753528541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272.81291753528541</v>
      </c>
    </row>
    <row r="25" spans="1:17">
      <c r="A25" s="477" t="s">
        <v>112</v>
      </c>
      <c r="B25" s="478">
        <f t="shared" ca="1" si="2"/>
        <v>575.05520745700039</v>
      </c>
      <c r="C25" s="478">
        <f t="shared" ca="1" si="3"/>
        <v>0</v>
      </c>
      <c r="D25" s="478">
        <f t="shared" si="4"/>
        <v>33.13995701952549</v>
      </c>
      <c r="E25" s="478">
        <f t="shared" si="5"/>
        <v>6.1566881025416311</v>
      </c>
      <c r="F25" s="478">
        <f t="shared" si="6"/>
        <v>1983.6325129714066</v>
      </c>
      <c r="G25" s="478">
        <f t="shared" si="7"/>
        <v>0</v>
      </c>
      <c r="H25" s="478">
        <f t="shared" si="8"/>
        <v>0</v>
      </c>
      <c r="I25" s="478">
        <f t="shared" si="9"/>
        <v>0</v>
      </c>
      <c r="J25" s="478">
        <f t="shared" si="10"/>
        <v>158.91830046189421</v>
      </c>
      <c r="K25" s="478">
        <f t="shared" si="11"/>
        <v>0</v>
      </c>
      <c r="L25" s="478">
        <f t="shared" si="12"/>
        <v>0</v>
      </c>
      <c r="M25" s="478">
        <f t="shared" si="13"/>
        <v>0</v>
      </c>
      <c r="N25" s="478">
        <f t="shared" si="14"/>
        <v>0</v>
      </c>
      <c r="O25" s="478">
        <f t="shared" si="15"/>
        <v>0</v>
      </c>
      <c r="P25" s="479">
        <f t="shared" si="16"/>
        <v>0</v>
      </c>
      <c r="Q25" s="477">
        <f t="shared" ca="1" si="17"/>
        <v>2756.9026660123682</v>
      </c>
    </row>
    <row r="26" spans="1:17">
      <c r="A26" s="477" t="s">
        <v>650</v>
      </c>
      <c r="B26" s="478">
        <f t="shared" ca="1" si="2"/>
        <v>5150.2827445624298</v>
      </c>
      <c r="C26" s="478">
        <f t="shared" ca="1" si="3"/>
        <v>0</v>
      </c>
      <c r="D26" s="478">
        <f t="shared" si="4"/>
        <v>582.18303484860348</v>
      </c>
      <c r="E26" s="478">
        <f t="shared" si="5"/>
        <v>1206.9952855792708</v>
      </c>
      <c r="F26" s="478">
        <f t="shared" si="6"/>
        <v>6092.7661498870475</v>
      </c>
      <c r="G26" s="478">
        <f t="shared" si="7"/>
        <v>0</v>
      </c>
      <c r="H26" s="478">
        <f t="shared" si="8"/>
        <v>0</v>
      </c>
      <c r="I26" s="478">
        <f t="shared" si="9"/>
        <v>0</v>
      </c>
      <c r="J26" s="478">
        <f t="shared" si="10"/>
        <v>32.673290194428866</v>
      </c>
      <c r="K26" s="478">
        <f t="shared" si="11"/>
        <v>0</v>
      </c>
      <c r="L26" s="478">
        <f t="shared" si="12"/>
        <v>0</v>
      </c>
      <c r="M26" s="478">
        <f t="shared" si="13"/>
        <v>0</v>
      </c>
      <c r="N26" s="478">
        <f t="shared" si="14"/>
        <v>0</v>
      </c>
      <c r="O26" s="478">
        <f t="shared" si="15"/>
        <v>0</v>
      </c>
      <c r="P26" s="479">
        <f t="shared" si="16"/>
        <v>0</v>
      </c>
      <c r="Q26" s="477">
        <f t="shared" ca="1" si="17"/>
        <v>13064.900505071781</v>
      </c>
    </row>
    <row r="27" spans="1:17" s="483" customFormat="1">
      <c r="A27" s="481" t="s">
        <v>571</v>
      </c>
      <c r="B27" s="781">
        <f t="shared" ca="1" si="2"/>
        <v>1.7986183152245803</v>
      </c>
      <c r="C27" s="482">
        <f t="shared" ca="1" si="3"/>
        <v>0</v>
      </c>
      <c r="D27" s="482">
        <f t="shared" si="4"/>
        <v>5.9260025733074828</v>
      </c>
      <c r="E27" s="482">
        <f t="shared" si="5"/>
        <v>41.224484178166861</v>
      </c>
      <c r="F27" s="482">
        <f t="shared" si="6"/>
        <v>0</v>
      </c>
      <c r="G27" s="482">
        <f t="shared" si="7"/>
        <v>11663.059512788001</v>
      </c>
      <c r="H27" s="482">
        <f t="shared" si="8"/>
        <v>2727.034368935726</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14439.042986790424</v>
      </c>
    </row>
    <row r="28" spans="1:17">
      <c r="A28" s="477" t="s">
        <v>561</v>
      </c>
      <c r="B28" s="478">
        <f t="shared" ca="1" si="2"/>
        <v>0</v>
      </c>
      <c r="C28" s="478">
        <f t="shared" ca="1" si="3"/>
        <v>0</v>
      </c>
      <c r="D28" s="478">
        <f t="shared" si="4"/>
        <v>0</v>
      </c>
      <c r="E28" s="478">
        <f t="shared" si="5"/>
        <v>0</v>
      </c>
      <c r="F28" s="478">
        <f t="shared" si="6"/>
        <v>0</v>
      </c>
      <c r="G28" s="478">
        <f t="shared" si="7"/>
        <v>151.99115785640049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151.99115785640049</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178.63162030357933</v>
      </c>
      <c r="C32" s="478">
        <f t="shared" ca="1" si="3"/>
        <v>0</v>
      </c>
      <c r="D32" s="478">
        <f t="shared" si="4"/>
        <v>454.43233090116843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633.06395120474781</v>
      </c>
    </row>
    <row r="33" spans="1:17" s="487" customFormat="1">
      <c r="A33" s="1051" t="s">
        <v>565</v>
      </c>
      <c r="B33" s="991">
        <f ca="1">SUM(B22:B32)</f>
        <v>15960.639952928304</v>
      </c>
      <c r="C33" s="991">
        <f t="shared" ref="C33:Q33" ca="1" si="18">SUM(C22:C32)</f>
        <v>0</v>
      </c>
      <c r="D33" s="991">
        <f t="shared" ca="1" si="18"/>
        <v>15086.09685586162</v>
      </c>
      <c r="E33" s="991">
        <f t="shared" si="18"/>
        <v>3211.1898004459013</v>
      </c>
      <c r="F33" s="991">
        <f t="shared" ca="1" si="18"/>
        <v>15714.659637037586</v>
      </c>
      <c r="G33" s="991">
        <f t="shared" si="18"/>
        <v>11815.050670644401</v>
      </c>
      <c r="H33" s="991">
        <f t="shared" si="18"/>
        <v>2727.034368935726</v>
      </c>
      <c r="I33" s="991">
        <f t="shared" si="18"/>
        <v>0</v>
      </c>
      <c r="J33" s="991">
        <f t="shared" si="18"/>
        <v>191.59159065632306</v>
      </c>
      <c r="K33" s="991">
        <f t="shared" si="18"/>
        <v>0</v>
      </c>
      <c r="L33" s="991">
        <f t="shared" ca="1" si="18"/>
        <v>0</v>
      </c>
      <c r="M33" s="991">
        <f t="shared" si="18"/>
        <v>0</v>
      </c>
      <c r="N33" s="991">
        <f t="shared" ca="1" si="18"/>
        <v>0</v>
      </c>
      <c r="O33" s="991">
        <f t="shared" si="18"/>
        <v>0</v>
      </c>
      <c r="P33" s="991">
        <f t="shared" si="18"/>
        <v>0</v>
      </c>
      <c r="Q33" s="991">
        <f t="shared" ca="1" si="18"/>
        <v>64706.262876509863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3591.4782873349286</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5416.1625535686126</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43.649999999999991</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51.35294117647058</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9051.2908409035408</v>
      </c>
      <c r="C10" s="1072">
        <f>SUM(C4:C9)</f>
        <v>0</v>
      </c>
      <c r="D10" s="1072">
        <f t="shared" ref="D10:H10" si="0">SUM(D8:D9)</f>
        <v>0</v>
      </c>
      <c r="E10" s="1072">
        <f t="shared" si="0"/>
        <v>0</v>
      </c>
      <c r="F10" s="1072">
        <f t="shared" si="0"/>
        <v>0</v>
      </c>
      <c r="G10" s="1072">
        <f t="shared" si="0"/>
        <v>0</v>
      </c>
      <c r="H10" s="1072">
        <f t="shared" si="0"/>
        <v>0</v>
      </c>
      <c r="I10" s="1072">
        <f>SUM(I8:I9)</f>
        <v>0</v>
      </c>
      <c r="J10" s="1072">
        <f>SUM(J8:J9)</f>
        <v>51.35294117647058</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0.19638696588966381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62.357142857142847</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73.361344537815114</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62.357142857142847</v>
      </c>
      <c r="C20" s="1072">
        <f>SUM(C17:C19)</f>
        <v>0</v>
      </c>
      <c r="D20" s="1072">
        <f t="shared" ref="D20:H20" si="2">SUM(D17:D19)</f>
        <v>0</v>
      </c>
      <c r="E20" s="1072">
        <f t="shared" si="2"/>
        <v>0</v>
      </c>
      <c r="F20" s="1072">
        <f t="shared" si="2"/>
        <v>0</v>
      </c>
      <c r="G20" s="1072">
        <f t="shared" si="2"/>
        <v>0</v>
      </c>
      <c r="H20" s="1072">
        <f t="shared" si="2"/>
        <v>0</v>
      </c>
      <c r="I20" s="1072">
        <f>SUM(I17:I19)</f>
        <v>0</v>
      </c>
      <c r="J20" s="1072">
        <f>SUM(J17:J19)</f>
        <v>73.361344537815114</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0.19638696588966381</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2019-08-12T08:06:20Z</dcterms:modified>
</cp:coreProperties>
</file>