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I9" i="18"/>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2"/>
  <c r="R44"/>
  <c r="E25"/>
  <c r="E55" s="1"/>
  <c r="C25"/>
  <c r="B14" i="48" s="1"/>
  <c r="Q26" i="14"/>
  <c r="N26"/>
  <c r="L26"/>
  <c r="J26"/>
  <c r="I26"/>
  <c r="H26"/>
  <c r="K22"/>
  <c r="G22"/>
  <c r="R12"/>
  <c r="N78" l="1"/>
  <c r="N9" i="59"/>
  <c r="L90" i="14"/>
  <c r="L18" i="59"/>
  <c r="L20" s="1"/>
  <c r="H90" i="14"/>
  <c r="H18" i="59"/>
  <c r="C98" i="18"/>
  <c r="G101" s="1"/>
  <c r="P22" i="14"/>
  <c r="L78"/>
  <c r="E89"/>
  <c r="E19" i="59" s="1"/>
  <c r="D14" i="48"/>
  <c r="K10" i="18"/>
  <c r="K78" i="14"/>
  <c r="B17" i="18"/>
  <c r="B20" s="1"/>
  <c r="M77" i="14"/>
  <c r="M9" i="59" s="1"/>
  <c r="H9" i="18"/>
  <c r="O10" i="59"/>
  <c r="N10"/>
  <c r="D22" i="14"/>
  <c r="L22"/>
  <c r="E10" i="59"/>
  <c r="B8" i="18"/>
  <c r="F13" i="15"/>
  <c r="H20" i="59"/>
  <c r="E20"/>
  <c r="L10" i="18"/>
  <c r="Q22" i="14"/>
  <c r="L10" i="59"/>
  <c r="I77" i="14"/>
  <c r="I9" i="59" s="1"/>
  <c r="B13" i="15"/>
  <c r="B10" i="18"/>
  <c r="N13" i="15"/>
  <c r="L13"/>
  <c r="F77" i="14"/>
  <c r="F9" i="59" s="1"/>
  <c r="C101" i="18"/>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I101" i="18"/>
  <c r="H8" s="1"/>
  <c r="M76" i="14" s="1"/>
  <c r="E101" i="18"/>
  <c r="E8" s="1"/>
  <c r="Q77" i="14"/>
  <c r="P9" i="59" s="1"/>
  <c r="F101" i="18"/>
  <c r="I8" s="1"/>
  <c r="N90" i="14"/>
  <c r="N18" i="59"/>
  <c r="N20" s="1"/>
  <c r="B101" i="18"/>
  <c r="C8" s="1"/>
  <c r="H101"/>
  <c r="D101"/>
  <c r="Q14" i="48"/>
  <c r="B89" i="14"/>
  <c r="B19" i="59" s="1"/>
  <c r="J17" i="18"/>
  <c r="J20" s="1"/>
  <c r="C77" i="14"/>
  <c r="C9" i="59" s="1"/>
  <c r="H20" i="18"/>
  <c r="M87" i="14"/>
  <c r="F76"/>
  <c r="E10" i="18"/>
  <c r="C20"/>
  <c r="D87" i="14"/>
  <c r="D17" i="59" s="1"/>
  <c r="D20" s="1"/>
  <c r="H10" i="18"/>
  <c r="B88" i="14"/>
  <c r="B18" i="59" s="1"/>
  <c r="I17" i="18"/>
  <c r="O17" s="1"/>
  <c r="O20" s="1"/>
  <c r="D76" i="14"/>
  <c r="D8" i="59" s="1"/>
  <c r="D10" s="1"/>
  <c r="C10" i="18"/>
  <c r="J8"/>
  <c r="C88" i="14"/>
  <c r="C18" i="59" s="1"/>
  <c r="B77" i="14"/>
  <c r="B9" i="59" s="1"/>
  <c r="E20" i="18"/>
  <c r="F87" i="14"/>
  <c r="Q88"/>
  <c r="P18" i="59" s="1"/>
  <c r="H14" i="15"/>
  <c r="H16" s="1"/>
  <c r="G14"/>
  <c r="G16" s="1"/>
  <c r="M78" i="14" l="1"/>
  <c r="M8" i="59"/>
  <c r="M10" s="1"/>
  <c r="I76" i="14"/>
  <c r="I8" i="59" s="1"/>
  <c r="I10" s="1"/>
  <c r="I10" i="18"/>
  <c r="I10" i="14"/>
  <c r="I16" s="1"/>
  <c r="H5" i="48"/>
  <c r="J87" i="14"/>
  <c r="F78"/>
  <c r="F8" i="59"/>
  <c r="F10" s="1"/>
  <c r="F90" i="14"/>
  <c r="F17" i="59"/>
  <c r="F20" s="1"/>
  <c r="H10" i="14"/>
  <c r="H16" s="1"/>
  <c r="G5" i="48"/>
  <c r="M90" i="14"/>
  <c r="M17" i="59"/>
  <c r="M20" s="1"/>
  <c r="O8" i="18"/>
  <c r="O10" s="1"/>
  <c r="Q76" i="14"/>
  <c r="D78"/>
  <c r="J10" i="18"/>
  <c r="J76" i="14"/>
  <c r="I87"/>
  <c r="I17" i="59" s="1"/>
  <c r="I20" s="1"/>
  <c r="I20" i="18"/>
  <c r="Q87" i="14"/>
  <c r="D90"/>
  <c r="C87"/>
  <c r="A31" i="23"/>
  <c r="A32"/>
  <c r="A33"/>
  <c r="Q90" i="14" l="1"/>
  <c r="B17" i="6" s="1"/>
  <c r="P17" i="59"/>
  <c r="P20" s="1"/>
  <c r="C90" i="14"/>
  <c r="C17" i="59"/>
  <c r="C20" s="1"/>
  <c r="B76" i="14"/>
  <c r="Q78"/>
  <c r="B9" i="6" s="1"/>
  <c r="P8" i="59"/>
  <c r="P10" s="1"/>
  <c r="J90" i="14"/>
  <c r="J17" i="59"/>
  <c r="J20" s="1"/>
  <c r="I78" i="14"/>
  <c r="J78"/>
  <c r="J8" i="59"/>
  <c r="J10" s="1"/>
  <c r="B87" i="14"/>
  <c r="I90"/>
  <c r="C76"/>
  <c r="B11" i="44"/>
  <c r="B25"/>
  <c r="B24"/>
  <c r="B90" i="14" l="1"/>
  <c r="B17" i="59"/>
  <c r="B20" s="1"/>
  <c r="B78" i="14"/>
  <c r="B4" i="6" s="1"/>
  <c r="B8" i="59"/>
  <c r="B1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D11" i="14"/>
  <c r="C4" i="48"/>
  <c r="G30"/>
  <c r="G29"/>
  <c r="G25"/>
  <c r="G32"/>
  <c r="G22"/>
  <c r="G26"/>
  <c r="G24"/>
  <c r="G23"/>
  <c r="N46" i="14"/>
  <c r="Q11"/>
  <c r="P4" i="48"/>
  <c r="P11" i="14"/>
  <c r="O4" i="48"/>
  <c r="C11" i="14"/>
  <c r="B4" i="48"/>
  <c r="N30"/>
  <c r="N31"/>
  <c r="N24"/>
  <c r="N32"/>
  <c r="N29"/>
  <c r="N28"/>
  <c r="N27"/>
  <c r="B8" i="9"/>
  <c r="B6" i="48" s="1"/>
  <c r="Q6" s="1"/>
  <c r="K28"/>
  <c r="K32"/>
  <c r="K25"/>
  <c r="K24"/>
  <c r="K22"/>
  <c r="K31"/>
  <c r="K26"/>
  <c r="K27"/>
  <c r="K30"/>
  <c r="K29"/>
  <c r="J24"/>
  <c r="J27"/>
  <c r="J32"/>
  <c r="J30"/>
  <c r="J29"/>
  <c r="J28"/>
  <c r="J31"/>
  <c r="I31"/>
  <c r="I28"/>
  <c r="I22"/>
  <c r="I32"/>
  <c r="I26"/>
  <c r="I25"/>
  <c r="I27"/>
  <c r="I24"/>
  <c r="I30"/>
  <c r="I29"/>
  <c r="D4"/>
  <c r="D22" s="1"/>
  <c r="E11" i="14"/>
  <c r="H28" i="48"/>
  <c r="H32"/>
  <c r="H26"/>
  <c r="H29"/>
  <c r="H24"/>
  <c r="H30"/>
  <c r="H25"/>
  <c r="H22"/>
  <c r="H23"/>
  <c r="F24"/>
  <c r="F32"/>
  <c r="F29"/>
  <c r="F30"/>
  <c r="F31"/>
  <c r="F27"/>
  <c r="F28"/>
  <c r="B10"/>
  <c r="C19" i="14"/>
  <c r="E32" i="48"/>
  <c r="E24"/>
  <c r="E31"/>
  <c r="E29"/>
  <c r="E28"/>
  <c r="E30"/>
  <c r="M22"/>
  <c r="M26"/>
  <c r="M32"/>
  <c r="M25"/>
  <c r="M24"/>
  <c r="M30"/>
  <c r="M29"/>
  <c r="M23"/>
  <c r="L10" i="14"/>
  <c r="L16" s="1"/>
  <c r="L27" s="1"/>
  <c r="K5" i="48"/>
  <c r="D30"/>
  <c r="D31"/>
  <c r="D29"/>
  <c r="D24"/>
  <c r="D28"/>
  <c r="D32"/>
  <c r="L32"/>
  <c r="L27"/>
  <c r="L28"/>
  <c r="L30"/>
  <c r="L31"/>
  <c r="L24"/>
  <c r="L29"/>
  <c r="L22"/>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P22" i="16"/>
  <c r="Q43" i="14" s="1"/>
  <c r="Q13"/>
  <c r="P8" i="48"/>
  <c r="P26" s="1"/>
  <c r="I5"/>
  <c r="J10" i="14"/>
  <c r="J16" s="1"/>
  <c r="J27" s="1"/>
  <c r="E9" i="48"/>
  <c r="E27" s="1"/>
  <c r="F20" i="14"/>
  <c r="F22" s="1"/>
  <c r="K23" i="48"/>
  <c r="K15"/>
  <c r="L63" i="14"/>
  <c r="Q16"/>
  <c r="Q27" s="1"/>
  <c r="D9" i="48"/>
  <c r="D27" s="1"/>
  <c r="E20" i="14"/>
  <c r="E22" s="1"/>
  <c r="P10"/>
  <c r="O5" i="48"/>
  <c r="O23" s="1"/>
  <c r="J7"/>
  <c r="J25" s="1"/>
  <c r="K24" i="14"/>
  <c r="K26" s="1"/>
  <c r="C20"/>
  <c r="B9" i="48"/>
  <c r="D10" i="14"/>
  <c r="J12" i="17"/>
  <c r="K54" i="14" s="1"/>
  <c r="K56" s="1"/>
  <c r="L46"/>
  <c r="L61" s="1"/>
  <c r="P15" i="48"/>
  <c r="P22"/>
  <c r="G13"/>
  <c r="H18" i="14"/>
  <c r="R18" s="1"/>
  <c r="H13" i="48"/>
  <c r="H31" s="1"/>
  <c r="I18" i="14"/>
  <c r="O22" i="48"/>
  <c r="F4"/>
  <c r="F22" s="1"/>
  <c r="G11" i="14"/>
  <c r="K33" i="48"/>
  <c r="J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13"/>
  <c r="P16" s="1"/>
  <c r="P27" s="1"/>
  <c r="P63" s="1"/>
  <c r="O8" i="48"/>
  <c r="O26" s="1"/>
  <c r="E12" i="13"/>
  <c r="F41" i="14" s="1"/>
  <c r="F11"/>
  <c r="R11" s="1"/>
  <c r="E4" i="48"/>
  <c r="O15"/>
  <c r="P46" i="14"/>
  <c r="P61" s="1"/>
  <c r="O33" i="48"/>
  <c r="N20" i="14"/>
  <c r="M9" i="48"/>
  <c r="G9"/>
  <c r="H20" i="14"/>
  <c r="H22" s="1"/>
  <c r="H27" s="1"/>
  <c r="I23" i="48"/>
  <c r="I33" s="1"/>
  <c r="I15"/>
  <c r="N22" i="14"/>
  <c r="N27" s="1"/>
  <c r="Q63"/>
  <c r="P33" i="48"/>
  <c r="H19" i="14"/>
  <c r="G10" i="48"/>
  <c r="K11" i="14"/>
  <c r="J4" i="48"/>
  <c r="E7"/>
  <c r="E25" s="1"/>
  <c r="F24" i="14"/>
  <c r="F26" s="1"/>
  <c r="Q13" i="48"/>
  <c r="G31"/>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Q9" i="48" l="1"/>
  <c r="J22"/>
  <c r="M27"/>
  <c r="M33" s="1"/>
  <c r="M15"/>
  <c r="J5"/>
  <c r="J23" s="1"/>
  <c r="K10" i="14"/>
  <c r="G27" i="48"/>
  <c r="G33" s="1"/>
  <c r="G15"/>
  <c r="H9"/>
  <c r="I20" i="14"/>
  <c r="I22" s="1"/>
  <c r="I27" s="1"/>
  <c r="G28" i="48"/>
  <c r="Q10"/>
  <c r="R19" i="14"/>
  <c r="E22" i="48"/>
  <c r="Q4"/>
  <c r="F10" i="14"/>
  <c r="E5" i="48"/>
  <c r="E23" s="1"/>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R22" l="1"/>
  <c r="F46"/>
  <c r="F61" s="1"/>
  <c r="F63" s="1"/>
  <c r="F16"/>
  <c r="F27" s="1"/>
  <c r="I63"/>
  <c r="F13"/>
  <c r="E8" i="48"/>
  <c r="H27"/>
  <c r="H33" s="1"/>
  <c r="H15"/>
  <c r="J22" i="16"/>
  <c r="K43" i="14" s="1"/>
  <c r="K46" s="1"/>
  <c r="K61" s="1"/>
  <c r="K63" s="1"/>
  <c r="K13"/>
  <c r="K16" s="1"/>
  <c r="K27" s="1"/>
  <c r="J8" i="48"/>
  <c r="R20" i="14"/>
  <c r="O13"/>
  <c r="N8" i="48"/>
  <c r="N26" s="1"/>
  <c r="F8"/>
  <c r="G13" i="14"/>
  <c r="J26" i="48" l="1"/>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<sst xmlns="http://schemas.openxmlformats.org/spreadsheetml/2006/main" count="2473" uniqueCount="936">
  <si>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</si>
  <si>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</si>
  <si>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</si>
  <si>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</si>
  <si>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</si>
  <si>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</si>
  <si>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</si>
  <si>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</si>
  <si>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</si>
  <si>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</si>
  <si>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</si>
  <si>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</si>
  <si>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</si>
  <si>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</si>
  <si>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</si>
  <si>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</si>
  <si>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</si>
  <si>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</si>
  <si>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</si>
  <si>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</si>
  <si>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</si>
  <si>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</si>
  <si>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</si>
  <si>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</si>
  <si>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</si>
  <si>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</si>
  <si>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</si>
  <si>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</si>
  <si>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</si>
  <si>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</si>
  <si>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</si>
  <si>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</si>
  <si>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</si>
  <si>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</si>
  <si>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</si>
  <si>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</si>
  <si>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</si>
  <si>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</si>
  <si>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</si>
  <si>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</si>
  <si>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</si>
  <si>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</si>
  <si>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</si>
  <si>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</si>
  <si>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</si>
  <si>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</si>
  <si>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</si>
  <si>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</si>
  <si>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</si>
  <si>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</si>
  <si>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</si>
  <si>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</si>
  <si>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</si>
  <si>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</si>
  <si>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</si>
  <si>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</si>
  <si>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</si>
  <si>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</si>
  <si>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</si>
  <si>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</si>
  <si>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</si>
  <si>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</si>
  <si>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</si>
  <si>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</si>
  <si>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</si>
  <si>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</si>
  <si>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</si>
  <si>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</si>
  <si>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</si>
  <si>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</si>
  <si>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</si>
  <si>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</si>
  <si>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</si>
  <si>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</si>
  <si>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</si>
  <si>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</si>
  <si>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</si>
  <si>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</si>
  <si>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</si>
  <si>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</si>
  <si>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</si>
  <si>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</si>
  <si>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</si>
  <si>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</si>
  <si>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</si>
  <si>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</si>
  <si>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</si>
  <si>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</si>
  <si>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</si>
  <si>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</si>
  <si>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</si>
  <si>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</si>
  <si>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</si>
  <si>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</si>
  <si>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</si>
  <si>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</si>
  <si>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</si>
  <si>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</si>
  <si>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</si>
  <si>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</si>
  <si>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</si>
  <si>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</si>
  <si>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</si>
  <si>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</si>
  <si>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</si>
  <si>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</si>
  <si>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</si>
  <si>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</si>
  <si>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</si>
  <si>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</si>
  <si>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</si>
  <si>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</si>
  <si>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</si>
  <si>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</si>
  <si>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</si>
  <si>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</si>
  <si>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</si>
  <si>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</si>
  <si>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</si>
  <si>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</si>
  <si>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</si>
  <si>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</si>
  <si>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</si>
  <si>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</si>
  <si>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</si>
  <si>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</si>
  <si>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</si>
  <si>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</si>
  <si>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</si>
  <si>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</si>
  <si>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</si>
  <si>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</si>
  <si>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</si>
  <si>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</si>
  <si>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</si>
  <si>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</si>
  <si>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</si>
  <si>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</si>
  <si>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</si>
  <si>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</si>
  <si>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</si>
  <si>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</si>
  <si>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</si>
  <si>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</si>
  <si>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</si>
  <si>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</si>
  <si>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</si>
  <si>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</si>
  <si>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</si>
  <si>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</si>
  <si>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</si>
  <si>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</si>
  <si>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</si>
  <si>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</si>
  <si>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</si>
  <si>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</si>
  <si>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</si>
  <si>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</si>
  <si>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</si>
  <si>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</si>
  <si>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</si>
  <si>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</si>
  <si>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</si>
  <si>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</si>
  <si>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</si>
  <si>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</si>
  <si>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</si>
  <si>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</si>
  <si>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</si>
  <si>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</si>
  <si>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</si>
  <si>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</si>
  <si>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</si>
  <si>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</si>
  <si>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</si>
  <si>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</si>
  <si>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</si>
  <si>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</si>
  <si>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</si>
  <si>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</si>
  <si>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</si>
  <si>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</si>
  <si>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</si>
  <si>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</si>
  <si>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</si>
  <si>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</si>
  <si>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</si>
  <si>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</si>
  <si>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</si>
  <si>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</si>
  <si>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</si>
  <si>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</si>
  <si>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</si>
  <si>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</si>
  <si>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</si>
  <si>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</si>
  <si>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</si>
  <si>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</si>
  <si>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</si>
  <si>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</si>
  <si>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</si>
  <si>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</si>
  <si>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</si>
  <si>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</si>
  <si>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</si>
  <si>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</si>
  <si>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</si>
  <si>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</si>
  <si>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</si>
  <si>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</si>
  <si>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</si>
  <si>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</si>
  <si>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</si>
  <si>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</si>
  <si>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</si>
  <si>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</si>
  <si>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</si>
  <si>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</si>
  <si>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</si>
  <si>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</si>
  <si>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</si>
  <si>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</si>
  <si>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</si>
  <si>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</si>
  <si>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</si>
  <si>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</si>
  <si>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</si>
  <si>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</si>
  <si>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</si>
  <si>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</si>
  <si>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</si>
  <si>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</si>
  <si>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</si>
  <si>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</si>
  <si>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</si>
  <si>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</si>
  <si>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</si>
  <si>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</si>
  <si>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</si>
  <si>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</si>
  <si>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</si>
  <si>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</si>
  <si>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</si>
  <si>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</si>
  <si>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</si>
  <si>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</si>
  <si>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</si>
  <si>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</si>
  <si>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</si>
  <si>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</si>
  <si>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</si>
  <si>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</si>
  <si>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</si>
  <si>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</si>
  <si>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</si>
  <si>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</si>
  <si>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</si>
  <si>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</si>
  <si>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</si>
  <si>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</si>
  <si>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</si>
  <si>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</si>
  <si>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</si>
  <si>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</si>
  <si>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</si>
  <si>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</si>
  <si>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</si>
  <si>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</si>
  <si>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</si>
  <si>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</si>
  <si>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</si>
  <si>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</si>
  <si>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</si>
  <si>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</si>
  <si>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</si>
  <si>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</si>
  <si>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</si>
  <si>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</si>
  <si>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</si>
  <si>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</si>
  <si>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</si>
  <si>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</si>
  <si>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</si>
  <si>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</si>
  <si>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</si>
  <si>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</si>
  <si>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</si>
  <si>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</si>
  <si>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</si>
  <si>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</si>
  <si>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</si>
  <si>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</si>
  <si>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</si>
  <si>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</si>
  <si>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</si>
  <si>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</si>
  <si>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</si>
  <si>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</si>
  <si>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</si>
  <si>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</si>
  <si>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</si>
  <si>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</si>
  <si>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</si>
  <si>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</si>
  <si>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</si>
  <si>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</si>
  <si>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</si>
  <si>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</si>
  <si>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</si>
  <si>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</si>
  <si>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</si>
  <si>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</si>
  <si>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</si>
  <si>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</si>
  <si>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</si>
  <si>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</si>
  <si>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</si>
  <si>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</si>
  <si>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</si>
  <si>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</si>
  <si>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</si>
  <si>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</si>
  <si>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</si>
  <si>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</si>
  <si>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</si>
  <si>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</si>
  <si>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</si>
  <si>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</si>
  <si>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</si>
  <si>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</si>
  <si>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</si>
  <si>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</si>
  <si>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</si>
  <si>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</si>
  <si>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</si>
  <si>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</si>
  <si>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</si>
  <si>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</si>
  <si>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</si>
  <si>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</si>
  <si>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</si>
  <si>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</si>
  <si>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</si>
  <si>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</si>
  <si>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</si>
  <si>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</si>
  <si>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</si>
  <si>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</si>
  <si>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</si>
  <si>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</si>
  <si>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</si>
  <si>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</si>
  <si>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</si>
  <si>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</si>
  <si>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</si>
  <si>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</si>
  <si>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</si>
  <si>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</si>
  <si>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</si>
  <si>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</si>
  <si>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</si>
  <si>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</si>
  <si>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</si>
  <si>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</si>
  <si>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</si>
  <si>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</si>
  <si>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</si>
  <si>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</si>
  <si>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</si>
  <si>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</si>
  <si>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</si>
  <si>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</si>
  <si>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</si>
  <si>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</si>
  <si>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</si>
  <si>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</si>
  <si>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</si>
  <si>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</si>
  <si>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</si>
  <si>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</si>
  <si>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</si>
  <si>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</si>
  <si>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</si>
  <si>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</si>
  <si>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</si>
  <si>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</si>
  <si>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</si>
  <si>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</si>
  <si>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</si>
  <si>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</si>
  <si>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</si>
  <si>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</si>
  <si>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</si>
  <si>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</si>
  <si>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</si>
  <si>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</si>
  <si>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</si>
  <si>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</si>
  <si>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</si>
  <si>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</si>
  <si>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</si>
  <si>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</si>
  <si>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</si>
  <si>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</si>
  <si>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</si>
  <si>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</si>
  <si>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</si>
  <si>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</si>
  <si>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</si>
  <si>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</si>
  <si>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</si>
  <si>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</si>
  <si>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</si>
  <si>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</si>
  <si>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</si>
  <si>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</si>
  <si>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</si>
  <si>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</si>
  <si>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</si>
  <si>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</si>
  <si>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</si>
  <si>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</si>
  <si>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</si>
  <si>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</si>
  <si>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</si>
  <si>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</si>
  <si>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</si>
  <si>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</si>
  <si>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</si>
  <si>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</si>
  <si>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</si>
  <si>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</si>
  <si>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</si>
  <si>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</si>
  <si>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</si>
  <si>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</si>
  <si>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</si>
  <si>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</si>
  <si>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</si>
  <si>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</si>
  <si>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</si>
  <si>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</si>
  <si>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</si>
  <si>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</si>
  <si>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</si>
  <si>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</si>
  <si>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</si>
  <si>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</si>
  <si>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</si>
  <si>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</si>
  <si>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</si>
  <si>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</si>
  <si>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</si>
  <si>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</si>
  <si>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</si>
  <si>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</si>
  <si>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</si>
  <si>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</si>
  <si>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</si>
  <si>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</si>
  <si>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</si>
  <si>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</si>
  <si>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</si>
  <si>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</si>
  <si>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</si>
  <si>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</si>
  <si>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</si>
  <si>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</si>
  <si>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</si>
  <si>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</si>
  <si>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</si>
  <si>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</si>
  <si>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</si>
  <si>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</si>
  <si>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</si>
  <si>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</si>
  <si>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</si>
  <si>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</si>
  <si>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</si>
  <si>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</si>
  <si>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</si>
  <si>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</si>
  <si>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</si>
  <si>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</si>
  <si>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</si>
  <si>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</si>
  <si>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</si>
  <si>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</si>
  <si>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</si>
  <si>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</si>
  <si>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</si>
  <si>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</si>
  <si>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</si>
  <si>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</si>
  <si>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</si>
  <si>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</si>
  <si>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</si>
  <si>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</si>
  <si>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</si>
  <si>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</si>
  <si>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</si>
  <si>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</si>
  <si>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</si>
  <si>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</si>
  <si>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</si>
  <si>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</si>
  <si>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</si>
  <si>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</si>
  <si>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</si>
  <si>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</si>
  <si>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</si>
  <si>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</si>
  <si>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</si>
  <si>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</si>
  <si>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</si>
  <si>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</si>
  <si>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</si>
  <si>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</si>
  <si>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</si>
  <si>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</si>
  <si>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</si>
  <si>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</si>
  <si>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</si>
  <si>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</si>
  <si>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</si>
  <si>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</si>
  <si>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</si>
  <si>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</si>
  <si>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</si>
  <si>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</si>
  <si>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</si>
  <si>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</si>
  <si>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</si>
  <si>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</si>
  <si>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</si>
  <si>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</si>
  <si>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</si>
  <si>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</si>
  <si>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</si>
  <si>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</si>
  <si>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</si>
  <si>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</si>
  <si>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</si>
  <si>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</si>
  <si>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</si>
  <si>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</si>
  <si>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</si>
  <si>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</si>
  <si>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</si>
  <si>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</si>
  <si>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</si>
  <si>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</si>
  <si>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</si>
  <si>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</si>
  <si>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</si>
  <si>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</si>
  <si>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</si>
  <si>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</si>
  <si>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</si>
  <si>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</si>
  <si>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</si>
  <si>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</si>
  <si>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</si>
  <si>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</si>
  <si>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</si>
  <si>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</si>
  <si>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</si>
  <si>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</si>
  <si>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</si>
  <si>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</si>
  <si>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</si>
  <si>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</si>
  <si>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</si>
  <si>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</si>
  <si>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</si>
  <si>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</si>
  <si>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</si>
  <si>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</si>
  <si>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</si>
  <si>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</si>
  <si>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</si>
  <si>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</si>
  <si>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</si>
  <si>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</si>
  <si>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</si>
  <si>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</si>
  <si>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</si>
  <si>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</si>
  <si>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</si>
  <si>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</si>
  <si>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</si>
  <si>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</si>
  <si>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</si>
  <si>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</si>
  <si>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</si>
  <si>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</si>
  <si>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</si>
  <si>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</si>
  <si>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</si>
  <si>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</si>
  <si>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</si>
  <si>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</si>
  <si>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</si>
  <si>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</si>
  <si>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</si>
  <si>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</si>
  <si>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</si>
  <si>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</si>
  <si>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</si>
  <si>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</si>
  <si>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</si>
  <si>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</si>
  <si>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</si>
  <si>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</si>
  <si>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</si>
  <si>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</si>
  <si>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</si>
  <si>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</si>
  <si>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</si>
  <si>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</si>
  <si>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</si>
  <si>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</si>
  <si>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</si>
  <si>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</si>
  <si>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</si>
  <si>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</si>
  <si>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</si>
  <si>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</si>
  <si>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</si>
  <si>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</si>
  <si>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</si>
  <si>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</si>
  <si>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</si>
  <si>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</si>
  <si>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</si>
  <si>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</si>
  <si>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</si>
  <si>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</si>
  <si>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</si>
  <si>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</si>
  <si>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</si>
  <si>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</si>
  <si>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</si>
  <si>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</si>
  <si>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</si>
  <si>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</si>
  <si>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</si>
  <si>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</si>
  <si>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</si>
  <si>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</si>
  <si>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</si>
  <si>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</si>
  <si>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</si>
  <si>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</si>
  <si>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</si>
  <si>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</si>
  <si>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</si>
  <si>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</si>
  <si>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</si>
  <si>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</si>
  <si>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</si>
  <si>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</si>
  <si>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</si>
  <si>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</si>
  <si>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</si>
  <si>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</si>
  <si>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</si>
  <si>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</si>
  <si>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</si>
  <si>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</si>
  <si>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</si>
  <si>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</si>
  <si>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</si>
  <si>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</si>
  <si>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</si>
  <si>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</si>
  <si>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</si>
  <si>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</si>
  <si>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</si>
  <si>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</si>
  <si>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</si>
  <si>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</si>
  <si>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</si>
  <si>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</si>
  <si>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</si>
  <si>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</si>
  <si>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</si>
  <si>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</si>
  <si>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</si>
  <si>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</si>
  <si>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</si>
  <si>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</si>
  <si>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</si>
  <si>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</si>
  <si>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</si>
  <si>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</si>
  <si>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</si>
  <si>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</si>
  <si>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</si>
  <si>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</si>
  <si>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</si>
  <si>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</si>
  <si>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</si>
  <si>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</si>
  <si>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</si>
  <si>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</si>
  <si>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</si>
  <si>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</si>
  <si>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</si>
  <si>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</si>
  <si>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</si>
  <si>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</si>
  <si>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</si>
  <si>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</si>
  <si>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</si>
  <si>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</si>
  <si>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</si>
  <si>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</si>
  <si>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</si>
  <si>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</si>
  <si>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</si>
  <si>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</si>
  <si>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</si>
  <si>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</si>
  <si>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</si>
  <si>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</si>
  <si>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</si>
  <si>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</si>
  <si>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</si>
  <si>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</si>
  <si>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</si>
  <si>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</si>
  <si>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</si>
  <si>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</si>
  <si>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</si>
  <si>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</si>
  <si>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</si>
  <si>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</si>
  <si>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</si>
  <si>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</si>
  <si>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</si>
  <si>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</si>
  <si>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</si>
  <si>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</si>
  <si>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</si>
  <si>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</si>
  <si>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</si>
  <si>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</si>
  <si>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</si>
  <si>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</si>
  <si>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</si>
  <si>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</si>
  <si>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</si>
  <si>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</si>
  <si>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</si>
  <si>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</si>
  <si>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</si>
  <si>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</si>
  <si>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</si>
  <si>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</si>
  <si>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</si>
  <si>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</si>
  <si>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</si>
  <si>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</si>
  <si>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</si>
  <si>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</si>
  <si>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</si>
  <si>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</si>
  <si>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</si>
  <si>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</si>
  <si>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</si>
  <si>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</si>
  <si>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</si>
  <si>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</si>
  <si>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</si>
  <si>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</si>
  <si>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</si>
  <si>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</si>
  <si>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</si>
  <si>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</si>
  <si>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</si>
  <si>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</si>
  <si>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</si>
  <si>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</si>
  <si>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</si>
  <si>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</si>
  <si>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</si>
  <si>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</si>
  <si>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</si>
  <si>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</si>
  <si>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</si>
  <si>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</si>
  <si>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</si>
  <si>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</si>
  <si>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</si>
  <si>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</si>
  <si>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</si>
  <si>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</si>
  <si>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</si>
  <si>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</si>
  <si>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</si>
  <si>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</si>
  <si>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</si>
  <si>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</si>
  <si>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</si>
  <si>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</si>
  <si>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</si>
  <si>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</si>
  <si>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</si>
  <si>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</si>
  <si>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</si>
  <si>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</si>
  <si>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</si>
  <si>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</si>
  <si>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</si>
  <si>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</si>
  <si>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</si>
  <si>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</si>
  <si>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</si>
  <si>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</si>
  <si>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</si>
  <si>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</si>
  <si>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</si>
  <si>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</si>
  <si>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</si>
  <si>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</si>
  <si>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</si>
  <si>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</si>
  <si>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</si>
  <si>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</si>
  <si>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</si>
  <si>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</si>
  <si>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</si>
  <si>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</si>
  <si>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</si>
  <si>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</si>
  <si>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</si>
  <si>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</si>
  <si>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</si>
  <si>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</si>
  <si>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</si>
  <si>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</si>
  <si>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</si>
  <si>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</si>
  <si>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</si>
  <si>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</si>
  <si>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</si>
  <si>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</si>
  <si>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</si>
  <si>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</si>
  <si>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</si>
  <si>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</si>
  <si>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</si>
  <si>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</si>
  <si>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</si>
  <si>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</si>
  <si>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</si>
  <si>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</si>
  <si>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</si>
  <si>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</si>
  <si>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</si>
  <si>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</si>
  <si>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</si>
  <si>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</si>
  <si>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</si>
  <si>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</si>
  <si>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</si>
  <si>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</si>
  <si>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</si>
  <si>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</si>
  <si>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</si>
  <si>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</si>
  <si>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</si>
  <si>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</si>
  <si>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</si>
  <si>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</si>
  <si>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</si>
  <si>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</si>
  <si>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</si>
  <si>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</si>
  <si>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</si>
  <si>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</si>
  <si>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</si>
  <si>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</si>
  <si>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</si>
  <si>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</si>
  <si>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</si>
  <si>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</si>
  <si>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</si>
  <si>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</si>
  <si>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</si>
  <si>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</si>
  <si>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</si>
  <si>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</si>
  <si>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</si>
  <si>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</si>
  <si>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</si>
  <si>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</si>
  <si>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</si>
  <si>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11009</t>
  </si>
  <si>
    <t>BRECHT</t>
  </si>
  <si>
    <t>Paarden&amp;pony's 200 - 600 kg</t>
  </si>
  <si>
    <t>Paarden&amp;pony's &lt; 200 kg</t>
  </si>
  <si>
    <t>referentietaak LNE (2017); Jaarverslag De Lijn (2014)</t>
  </si>
  <si>
    <t>op basis van VEA (maart 2018) en Inventaris Hernieuwbare Energiebronnen (juni 2018)</t>
  </si>
  <si>
    <t>VEA (maart 2016)</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</si>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</sst>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209068.11569137985</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184"/>
        <c:axId val="181982720"/>
      </c:barChart>
      <c:catAx>
        <c:axId val="181981184"/>
        <c:scaling>
          <c:orientation val="minMax"/>
        </c:scaling>
        <c:axPos val="b"/>
        <c:numFmt formatCode="General" sourceLinked="0"/>
        <c:tickLblPos val="nextTo"/>
        <c:crossAx val="181982720"/>
        <c:crosses val="autoZero"/>
        <c:auto val="1"/>
        <c:lblAlgn val="ctr"/>
        <c:lblOffset val="100"/>
      </c:catAx>
      <c:valAx>
        <c:axId val="181982720"/>
        <c:scaling>
          <c:orientation val="minMax"/>
        </c:scaling>
        <c:axPos val="l"/>
        <c:majorGridlines/>
        <c:numFmt formatCode="#,##0" sourceLinked="1"/>
        <c:tickLblPos val="nextTo"/>
        <c:crossAx val="181981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209068.11569137985</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33341.618655568396</c:v>
                </c:pt>
                <c:pt idx="2">
                  <c:v>13258.576755443088</c:v>
                </c:pt>
                <c:pt idx="3">
                  <c:v>260.59342672050008</c:v>
                </c:pt>
                <c:pt idx="4">
                  <c:v>5925.6123360067195</c:v>
                </c:pt>
                <c:pt idx="5">
                  <c:v>7025.7463777232542</c:v>
                </c:pt>
                <c:pt idx="6">
                  <c:v>91165.175994838108</c:v>
                </c:pt>
                <c:pt idx="7">
                  <c:v>905.51233590135678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59008"/>
        <c:axId val="182464896"/>
      </c:barChart>
      <c:catAx>
        <c:axId val="182459008"/>
        <c:scaling>
          <c:orientation val="minMax"/>
        </c:scaling>
        <c:axPos val="b"/>
        <c:numFmt formatCode="General" sourceLinked="0"/>
        <c:tickLblPos val="nextTo"/>
        <c:crossAx val="182464896"/>
        <c:crosses val="autoZero"/>
        <c:auto val="1"/>
        <c:lblAlgn val="ctr"/>
        <c:lblOffset val="100"/>
      </c:catAx>
      <c:valAx>
        <c:axId val="182464896"/>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33341.618655568396</c:v>
                </c:pt>
                <c:pt idx="2">
                  <c:v>13258.576755443088</c:v>
                </c:pt>
                <c:pt idx="3">
                  <c:v>260.59342672050008</c:v>
                </c:pt>
                <c:pt idx="4">
                  <c:v>5925.6123360067195</c:v>
                </c:pt>
                <c:pt idx="5">
                  <c:v>7025.7463777232542</c:v>
                </c:pt>
                <c:pt idx="6">
                  <c:v>91165.175994838108</c:v>
                </c:pt>
                <c:pt idx="7">
                  <c:v>905.51233590135678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11009</v>
      </c>
      <c r="B6" s="416"/>
      <c r="C6" s="417"/>
    </row>
    <row r="7" spans="1:7" s="414" customFormat="1" ht="15.75" customHeight="1">
      <c r="A7" s="418" t="str">
        <f>txtMunicipality</f>
        <v>BRECHT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0.15137667179042577</v>
      </c>
      <c r="C17" s="525">
        <f ca="1">'EF ele_warmte'!B22</f>
        <v>0.2337675965707724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0.15137667179042577</v>
      </c>
      <c r="C29" s="526">
        <f ca="1">'EF ele_warmte'!B22</f>
        <v>0.2337675965707724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11087</v>
      </c>
      <c r="C9" s="342">
        <v>12313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4481</v>
      </c>
    </row>
    <row r="15" spans="1:6">
      <c r="A15" s="348" t="s">
        <v>184</v>
      </c>
      <c r="B15" s="334">
        <v>7102</v>
      </c>
    </row>
    <row r="16" spans="1:6">
      <c r="A16" s="348" t="s">
        <v>6</v>
      </c>
      <c r="B16" s="334">
        <v>4248</v>
      </c>
    </row>
    <row r="17" spans="1:6">
      <c r="A17" s="348" t="s">
        <v>7</v>
      </c>
      <c r="B17" s="334">
        <v>923</v>
      </c>
    </row>
    <row r="18" spans="1:6">
      <c r="A18" s="348" t="s">
        <v>8</v>
      </c>
      <c r="B18" s="334">
        <v>2967</v>
      </c>
    </row>
    <row r="19" spans="1:6">
      <c r="A19" s="348" t="s">
        <v>9</v>
      </c>
      <c r="B19" s="334">
        <v>2740</v>
      </c>
    </row>
    <row r="20" spans="1:6">
      <c r="A20" s="348" t="s">
        <v>10</v>
      </c>
      <c r="B20" s="334">
        <v>1801</v>
      </c>
    </row>
    <row r="21" spans="1:6">
      <c r="A21" s="348" t="s">
        <v>11</v>
      </c>
      <c r="B21" s="334">
        <v>10955</v>
      </c>
    </row>
    <row r="22" spans="1:6">
      <c r="A22" s="348" t="s">
        <v>12</v>
      </c>
      <c r="B22" s="334">
        <v>35780</v>
      </c>
    </row>
    <row r="23" spans="1:6">
      <c r="A23" s="348" t="s">
        <v>13</v>
      </c>
      <c r="B23" s="334">
        <v>495</v>
      </c>
    </row>
    <row r="24" spans="1:6">
      <c r="A24" s="348" t="s">
        <v>14</v>
      </c>
      <c r="B24" s="334">
        <v>31</v>
      </c>
    </row>
    <row r="25" spans="1:6">
      <c r="A25" s="348" t="s">
        <v>15</v>
      </c>
      <c r="B25" s="334">
        <v>2988</v>
      </c>
    </row>
    <row r="26" spans="1:6">
      <c r="A26" s="348" t="s">
        <v>16</v>
      </c>
      <c r="B26" s="334">
        <v>27</v>
      </c>
    </row>
    <row r="27" spans="1:6">
      <c r="A27" s="348" t="s">
        <v>17</v>
      </c>
      <c r="B27" s="334">
        <v>2737</v>
      </c>
    </row>
    <row r="28" spans="1:6" s="356" customFormat="1">
      <c r="A28" s="355" t="s">
        <v>18</v>
      </c>
      <c r="B28" s="355">
        <v>461294</v>
      </c>
    </row>
    <row r="29" spans="1:6">
      <c r="A29" s="355" t="s">
        <v>901</v>
      </c>
      <c r="B29" s="355">
        <v>541</v>
      </c>
      <c r="C29" s="356"/>
      <c r="D29" s="356"/>
      <c r="E29" s="356"/>
      <c r="F29" s="356"/>
    </row>
    <row r="30" spans="1:6">
      <c r="A30" s="341" t="s">
        <v>902</v>
      </c>
      <c r="B30" s="341">
        <v>123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54864.66</v>
      </c>
    </row>
    <row r="36" spans="1:6">
      <c r="A36" s="348" t="s">
        <v>25</v>
      </c>
      <c r="B36" s="348" t="s">
        <v>27</v>
      </c>
      <c r="C36" s="334">
        <v>0</v>
      </c>
      <c r="D36" s="334">
        <v>0</v>
      </c>
      <c r="E36" s="334">
        <v>5</v>
      </c>
      <c r="F36" s="334">
        <v>33875.379999999997</v>
      </c>
    </row>
    <row r="37" spans="1:6">
      <c r="A37" s="348" t="s">
        <v>25</v>
      </c>
      <c r="B37" s="348" t="s">
        <v>28</v>
      </c>
      <c r="C37" s="334">
        <v>0</v>
      </c>
      <c r="D37" s="334">
        <v>0</v>
      </c>
      <c r="E37" s="334">
        <v>0</v>
      </c>
      <c r="F37" s="334">
        <v>0</v>
      </c>
    </row>
    <row r="38" spans="1:6">
      <c r="A38" s="348" t="s">
        <v>25</v>
      </c>
      <c r="B38" s="348" t="s">
        <v>29</v>
      </c>
      <c r="C38" s="334">
        <v>3</v>
      </c>
      <c r="D38" s="334">
        <v>76316.788295545804</v>
      </c>
      <c r="E38" s="334">
        <v>2</v>
      </c>
      <c r="F38" s="334">
        <v>41132.339999999997</v>
      </c>
    </row>
    <row r="39" spans="1:6">
      <c r="A39" s="348" t="s">
        <v>30</v>
      </c>
      <c r="B39" s="348" t="s">
        <v>31</v>
      </c>
      <c r="C39" s="334">
        <v>7418</v>
      </c>
      <c r="D39" s="334">
        <v>125454016.814336</v>
      </c>
      <c r="E39" s="334">
        <v>10840</v>
      </c>
      <c r="F39" s="334">
        <v>55477314</v>
      </c>
    </row>
    <row r="40" spans="1:6">
      <c r="A40" s="348" t="s">
        <v>30</v>
      </c>
      <c r="B40" s="348" t="s">
        <v>29</v>
      </c>
      <c r="C40" s="334">
        <v>0</v>
      </c>
      <c r="D40" s="334">
        <v>0</v>
      </c>
      <c r="E40" s="334">
        <v>0</v>
      </c>
      <c r="F40" s="334">
        <v>0</v>
      </c>
    </row>
    <row r="41" spans="1:6">
      <c r="A41" s="348" t="s">
        <v>32</v>
      </c>
      <c r="B41" s="348" t="s">
        <v>33</v>
      </c>
      <c r="C41" s="334">
        <v>123</v>
      </c>
      <c r="D41" s="334">
        <v>2738547.8710960201</v>
      </c>
      <c r="E41" s="334">
        <v>265</v>
      </c>
      <c r="F41" s="334">
        <v>3035758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476934.874938806</v>
      </c>
      <c r="E44" s="334">
        <v>33</v>
      </c>
      <c r="F44" s="334">
        <v>1484182</v>
      </c>
    </row>
    <row r="45" spans="1:6">
      <c r="A45" s="348" t="s">
        <v>32</v>
      </c>
      <c r="B45" s="348" t="s">
        <v>37</v>
      </c>
      <c r="C45" s="334">
        <v>0</v>
      </c>
      <c r="D45" s="334">
        <v>0</v>
      </c>
      <c r="E45" s="334">
        <v>10</v>
      </c>
      <c r="F45" s="334">
        <v>2109946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20368327.447147299</v>
      </c>
      <c r="E48" s="334">
        <v>40</v>
      </c>
      <c r="F48" s="334">
        <v>1550247</v>
      </c>
    </row>
    <row r="49" spans="1:6">
      <c r="A49" s="348" t="s">
        <v>32</v>
      </c>
      <c r="B49" s="348" t="s">
        <v>40</v>
      </c>
      <c r="C49" s="334">
        <v>0</v>
      </c>
      <c r="D49" s="334">
        <v>0</v>
      </c>
      <c r="E49" s="334">
        <v>0</v>
      </c>
      <c r="F49" s="334">
        <v>0</v>
      </c>
    </row>
    <row r="50" spans="1:6">
      <c r="A50" s="348" t="s">
        <v>32</v>
      </c>
      <c r="B50" s="348" t="s">
        <v>41</v>
      </c>
      <c r="C50" s="334">
        <v>9</v>
      </c>
      <c r="D50" s="334">
        <v>750858.89737581403</v>
      </c>
      <c r="E50" s="334">
        <v>10</v>
      </c>
      <c r="F50" s="334">
        <v>386959</v>
      </c>
    </row>
    <row r="51" spans="1:6">
      <c r="A51" s="348" t="s">
        <v>42</v>
      </c>
      <c r="B51" s="348" t="s">
        <v>43</v>
      </c>
      <c r="C51" s="334">
        <v>15</v>
      </c>
      <c r="D51" s="334">
        <v>367119.58203985001</v>
      </c>
      <c r="E51" s="334">
        <v>205</v>
      </c>
      <c r="F51" s="334">
        <v>4420085</v>
      </c>
    </row>
    <row r="52" spans="1:6">
      <c r="A52" s="348" t="s">
        <v>42</v>
      </c>
      <c r="B52" s="348" t="s">
        <v>29</v>
      </c>
      <c r="C52" s="334">
        <v>7</v>
      </c>
      <c r="D52" s="334">
        <v>10990895.8789453</v>
      </c>
      <c r="E52" s="334">
        <v>10</v>
      </c>
      <c r="F52" s="334">
        <v>256578.3</v>
      </c>
    </row>
    <row r="53" spans="1:6">
      <c r="A53" s="348" t="s">
        <v>44</v>
      </c>
      <c r="B53" s="348" t="s">
        <v>45</v>
      </c>
      <c r="C53" s="334">
        <v>145</v>
      </c>
      <c r="D53" s="334">
        <v>2954305.2860441799</v>
      </c>
      <c r="E53" s="334">
        <v>340</v>
      </c>
      <c r="F53" s="334">
        <v>1466039</v>
      </c>
    </row>
    <row r="54" spans="1:6">
      <c r="A54" s="348" t="s">
        <v>46</v>
      </c>
      <c r="B54" s="348" t="s">
        <v>47</v>
      </c>
      <c r="C54" s="334">
        <v>0</v>
      </c>
      <c r="D54" s="334">
        <v>0</v>
      </c>
      <c r="E54" s="334">
        <v>1</v>
      </c>
      <c r="F54" s="334">
        <v>1721490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5087267.9211512096</v>
      </c>
      <c r="E57" s="334">
        <v>242</v>
      </c>
      <c r="F57" s="334">
        <v>3476362</v>
      </c>
    </row>
    <row r="58" spans="1:6">
      <c r="A58" s="348" t="s">
        <v>49</v>
      </c>
      <c r="B58" s="348" t="s">
        <v>51</v>
      </c>
      <c r="C58" s="334">
        <v>27</v>
      </c>
      <c r="D58" s="334">
        <v>1591759.3245250599</v>
      </c>
      <c r="E58" s="334">
        <v>79</v>
      </c>
      <c r="F58" s="334">
        <v>669050.30000000005</v>
      </c>
    </row>
    <row r="59" spans="1:6">
      <c r="A59" s="348" t="s">
        <v>49</v>
      </c>
      <c r="B59" s="348" t="s">
        <v>52</v>
      </c>
      <c r="C59" s="334">
        <v>146</v>
      </c>
      <c r="D59" s="334">
        <v>5082202.0192333004</v>
      </c>
      <c r="E59" s="334">
        <v>293</v>
      </c>
      <c r="F59" s="334">
        <v>8364763</v>
      </c>
    </row>
    <row r="60" spans="1:6">
      <c r="A60" s="348" t="s">
        <v>49</v>
      </c>
      <c r="B60" s="348" t="s">
        <v>53</v>
      </c>
      <c r="C60" s="334">
        <v>74</v>
      </c>
      <c r="D60" s="334">
        <v>8063241.5613125898</v>
      </c>
      <c r="E60" s="334">
        <v>111</v>
      </c>
      <c r="F60" s="334">
        <v>3794988</v>
      </c>
    </row>
    <row r="61" spans="1:6">
      <c r="A61" s="348" t="s">
        <v>49</v>
      </c>
      <c r="B61" s="348" t="s">
        <v>54</v>
      </c>
      <c r="C61" s="334">
        <v>170</v>
      </c>
      <c r="D61" s="334">
        <v>7272157.0783628803</v>
      </c>
      <c r="E61" s="334">
        <v>398</v>
      </c>
      <c r="F61" s="334">
        <v>7459685</v>
      </c>
    </row>
    <row r="62" spans="1:6">
      <c r="A62" s="348" t="s">
        <v>49</v>
      </c>
      <c r="B62" s="348" t="s">
        <v>55</v>
      </c>
      <c r="C62" s="334">
        <v>7</v>
      </c>
      <c r="D62" s="334">
        <v>958848.50141612894</v>
      </c>
      <c r="E62" s="334">
        <v>11</v>
      </c>
      <c r="F62" s="334">
        <v>178074.6</v>
      </c>
    </row>
    <row r="63" spans="1:6">
      <c r="A63" s="348" t="s">
        <v>49</v>
      </c>
      <c r="B63" s="348" t="s">
        <v>29</v>
      </c>
      <c r="C63" s="334">
        <v>88</v>
      </c>
      <c r="D63" s="334">
        <v>2920310.0995140602</v>
      </c>
      <c r="E63" s="334">
        <v>77</v>
      </c>
      <c r="F63" s="334">
        <v>2027639</v>
      </c>
    </row>
    <row r="64" spans="1:6">
      <c r="A64" s="348" t="s">
        <v>56</v>
      </c>
      <c r="B64" s="348" t="s">
        <v>57</v>
      </c>
      <c r="C64" s="334">
        <v>0</v>
      </c>
      <c r="D64" s="334">
        <v>0</v>
      </c>
      <c r="E64" s="334">
        <v>0</v>
      </c>
      <c r="F64" s="334">
        <v>0</v>
      </c>
    </row>
    <row r="65" spans="1:6">
      <c r="A65" s="348" t="s">
        <v>56</v>
      </c>
      <c r="B65" s="348" t="s">
        <v>29</v>
      </c>
      <c r="C65" s="334">
        <v>1</v>
      </c>
      <c r="D65" s="334">
        <v>45255.390254506201</v>
      </c>
      <c r="E65" s="334">
        <v>2</v>
      </c>
      <c r="F65" s="334">
        <v>26177.94</v>
      </c>
    </row>
    <row r="66" spans="1:6">
      <c r="A66" s="348" t="s">
        <v>56</v>
      </c>
      <c r="B66" s="348" t="s">
        <v>58</v>
      </c>
      <c r="C66" s="334">
        <v>6</v>
      </c>
      <c r="D66" s="334">
        <v>138142.92878836201</v>
      </c>
      <c r="E66" s="334">
        <v>24</v>
      </c>
      <c r="F66" s="334">
        <v>540997.30000000005</v>
      </c>
    </row>
    <row r="67" spans="1:6">
      <c r="A67" s="355" t="s">
        <v>56</v>
      </c>
      <c r="B67" s="355" t="s">
        <v>59</v>
      </c>
      <c r="C67" s="334">
        <v>0</v>
      </c>
      <c r="D67" s="334">
        <v>0</v>
      </c>
      <c r="E67" s="334">
        <v>0</v>
      </c>
      <c r="F67" s="334">
        <v>0</v>
      </c>
    </row>
    <row r="68" spans="1:6">
      <c r="A68" s="341" t="s">
        <v>56</v>
      </c>
      <c r="B68" s="341" t="s">
        <v>60</v>
      </c>
      <c r="C68" s="334">
        <v>9</v>
      </c>
      <c r="D68" s="334">
        <v>247562.58038043001</v>
      </c>
      <c r="E68" s="334">
        <v>37</v>
      </c>
      <c r="F68" s="334">
        <v>354038.3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117678666</v>
      </c>
      <c r="E73" s="476">
        <v>122009116.17076428</v>
      </c>
    </row>
    <row r="74" spans="1:6">
      <c r="A74" s="348" t="s">
        <v>64</v>
      </c>
      <c r="B74" s="348" t="s">
        <v>714</v>
      </c>
      <c r="C74" s="1311" t="s">
        <v>716</v>
      </c>
      <c r="D74" s="476">
        <v>9572877.1909396462</v>
      </c>
      <c r="E74" s="476">
        <v>10091871.408505796</v>
      </c>
    </row>
    <row r="75" spans="1:6">
      <c r="A75" s="348" t="s">
        <v>65</v>
      </c>
      <c r="B75" s="348" t="s">
        <v>713</v>
      </c>
      <c r="C75" s="1311" t="s">
        <v>717</v>
      </c>
      <c r="D75" s="476">
        <v>16622222</v>
      </c>
      <c r="E75" s="476">
        <v>17226447.44583476</v>
      </c>
    </row>
    <row r="76" spans="1:6">
      <c r="A76" s="348" t="s">
        <v>65</v>
      </c>
      <c r="B76" s="348" t="s">
        <v>714</v>
      </c>
      <c r="C76" s="1311" t="s">
        <v>718</v>
      </c>
      <c r="D76" s="476">
        <v>289047.19093964633</v>
      </c>
      <c r="E76" s="476">
        <v>323965.17197442643</v>
      </c>
    </row>
    <row r="77" spans="1:6">
      <c r="A77" s="348" t="s">
        <v>66</v>
      </c>
      <c r="B77" s="348" t="s">
        <v>713</v>
      </c>
      <c r="C77" s="1311" t="s">
        <v>719</v>
      </c>
      <c r="D77" s="476">
        <v>178290029</v>
      </c>
      <c r="E77" s="476">
        <v>214082982.7748175</v>
      </c>
    </row>
    <row r="78" spans="1:6">
      <c r="A78" s="341" t="s">
        <v>66</v>
      </c>
      <c r="B78" s="341" t="s">
        <v>714</v>
      </c>
      <c r="C78" s="341" t="s">
        <v>720</v>
      </c>
      <c r="D78" s="1307">
        <v>50558987</v>
      </c>
      <c r="E78" s="1307">
        <v>53660822.021152258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957953.61812070734</v>
      </c>
      <c r="C83" s="476">
        <v>947099.92364242917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10511.643767809548</v>
      </c>
    </row>
    <row r="91" spans="1:6">
      <c r="A91" s="348" t="s">
        <v>68</v>
      </c>
      <c r="B91" s="334">
        <v>5989.1146270768522</v>
      </c>
    </row>
    <row r="92" spans="1:6">
      <c r="A92" s="341" t="s">
        <v>69</v>
      </c>
      <c r="B92" s="342">
        <v>4954.5494596344097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67</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8</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120831.11651291414</v>
      </c>
      <c r="C3" s="43" t="s">
        <v>170</v>
      </c>
      <c r="D3" s="43"/>
      <c r="E3" s="154"/>
      <c r="F3" s="43"/>
      <c r="G3" s="43"/>
      <c r="H3" s="43"/>
      <c r="I3" s="43"/>
      <c r="J3" s="43"/>
      <c r="K3" s="96"/>
    </row>
    <row r="4" spans="1:11">
      <c r="A4" s="384" t="s">
        <v>171</v>
      </c>
      <c r="B4" s="49">
        <f>IF(ISERROR('SEAP template'!B78+'SEAP template'!C78),0,'SEAP template'!B78+'SEAP template'!C78)</f>
        <v>43723.107854520815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1250.1423529411763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0.15137667179042577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1785.9176470588238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7639.7142857142862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0.2337675965707724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1721.49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1721.49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0.15137667179042577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260.59342672050008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55477.313999999998</v>
      </c>
      <c r="C5" s="17">
        <f>IF(ISERROR('Eigen informatie GS &amp; warmtenet'!B57),0,'Eigen informatie GS &amp; warmtenet'!B57)</f>
        <v>0</v>
      </c>
      <c r="D5" s="30">
        <f>(SUM(HH_hh_gas_kWh,HH_rest_gas_kWh)/1000)*0.902</f>
        <v>113159.52316653109</v>
      </c>
      <c r="E5" s="17">
        <f>B46*B57</f>
        <v>5193.0025705659646</v>
      </c>
      <c r="F5" s="17">
        <f>B51*B62</f>
        <v>0</v>
      </c>
      <c r="G5" s="18"/>
      <c r="H5" s="17"/>
      <c r="I5" s="17"/>
      <c r="J5" s="17">
        <f>B50*B61+C50*C61</f>
        <v>0</v>
      </c>
      <c r="K5" s="17"/>
      <c r="L5" s="17"/>
      <c r="M5" s="17"/>
      <c r="N5" s="17">
        <f>B48*B59+C48*C59</f>
        <v>26987.004660539307</v>
      </c>
      <c r="O5" s="17">
        <f>B69*B70*B71</f>
        <v>317.35666666666668</v>
      </c>
      <c r="P5" s="17">
        <f>B77*B78*B79/1000-B77*B78*B79/1000/B80</f>
        <v>1944.8</v>
      </c>
    </row>
    <row r="6" spans="1:16">
      <c r="A6" s="16" t="s">
        <v>631</v>
      </c>
      <c r="B6" s="789">
        <f>kWh_PV_kleiner_dan_10kW</f>
        <v>5989.1146270768522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61466.42862707685</v>
      </c>
      <c r="C8" s="21">
        <f>C5</f>
        <v>0</v>
      </c>
      <c r="D8" s="21">
        <f>D5</f>
        <v>113159.52316653109</v>
      </c>
      <c r="E8" s="21">
        <f>E5</f>
        <v>5193.0025705659646</v>
      </c>
      <c r="F8" s="21">
        <f>F5</f>
        <v>0</v>
      </c>
      <c r="G8" s="21"/>
      <c r="H8" s="21"/>
      <c r="I8" s="21"/>
      <c r="J8" s="21">
        <f>J5</f>
        <v>0</v>
      </c>
      <c r="K8" s="21"/>
      <c r="L8" s="21">
        <f>L5</f>
        <v>0</v>
      </c>
      <c r="M8" s="21">
        <f>M5</f>
        <v>0</v>
      </c>
      <c r="N8" s="21">
        <f>N5</f>
        <v>26987.004660539307</v>
      </c>
      <c r="O8" s="21">
        <f>O5</f>
        <v>317.35666666666668</v>
      </c>
      <c r="P8" s="21">
        <f>P5</f>
        <v>1944.8</v>
      </c>
    </row>
    <row r="9" spans="1:16">
      <c r="B9" s="19"/>
      <c r="C9" s="19"/>
      <c r="D9" s="258"/>
      <c r="E9" s="19"/>
      <c r="F9" s="19"/>
      <c r="G9" s="19"/>
      <c r="H9" s="19"/>
      <c r="I9" s="19"/>
      <c r="J9" s="19"/>
      <c r="K9" s="19"/>
      <c r="L9" s="19"/>
      <c r="M9" s="19"/>
      <c r="N9" s="19"/>
      <c r="O9" s="19"/>
      <c r="P9" s="19"/>
    </row>
    <row r="10" spans="1:16">
      <c r="A10" s="24" t="s">
        <v>214</v>
      </c>
      <c r="B10" s="25">
        <f ca="1">'EF ele_warmte'!B12</f>
        <v>0.15137667179042577</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9304.5833924106428</v>
      </c>
      <c r="C12" s="23">
        <f ca="1">C10*C8</f>
        <v>0</v>
      </c>
      <c r="D12" s="23">
        <f>D8*D10</f>
        <v>22858.223679639279</v>
      </c>
      <c r="E12" s="23">
        <f>E10*E8</f>
        <v>1178.811583518474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11087</v>
      </c>
      <c r="C28" s="36"/>
      <c r="D28" s="228"/>
    </row>
    <row r="29" spans="1:7" s="15" customFormat="1">
      <c r="A29" s="230" t="s">
        <v>741</v>
      </c>
      <c r="B29" s="37">
        <f>SUM(HH_hh_gas_aantal,HH_rest_gas_aantal)</f>
        <v>7418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7418</v>
      </c>
      <c r="C32" s="167">
        <f>IF(ISERROR(B32/SUM($B$32,$B$34,$B$35,$B$36,$B$38,$B$39)*100),0,B32/SUM($B$32,$B$34,$B$35,$B$36,$B$38,$B$39)*100)</f>
        <v>67.528447883477469</v>
      </c>
      <c r="D32" s="233"/>
      <c r="G32" s="15"/>
    </row>
    <row r="33" spans="1:7">
      <c r="A33" s="171" t="s">
        <v>72</v>
      </c>
      <c r="B33" s="34" t="s">
        <v>111</v>
      </c>
      <c r="C33" s="167"/>
      <c r="D33" s="233"/>
      <c r="G33" s="15"/>
    </row>
    <row r="34" spans="1:7">
      <c r="A34" s="171" t="s">
        <v>73</v>
      </c>
      <c r="B34" s="33">
        <f>IF((($B$28-$B$32-$B$39-$B$77-$B$38)*C20/100)&lt;0,0,($B$28-$B$32-$B$39-$B$77-$B$38)*C20/100)</f>
        <v>348.04491481672687</v>
      </c>
      <c r="C34" s="167">
        <f>IF(ISERROR(B34/SUM($B$32,$B$34,$B$35,$B$36,$B$38,$B$39)*100),0,B34/SUM($B$32,$B$34,$B$35,$B$36,$B$38,$B$39)*100)</f>
        <v>3.1683651781222286</v>
      </c>
      <c r="D34" s="233"/>
      <c r="G34" s="15"/>
    </row>
    <row r="35" spans="1:7">
      <c r="A35" s="171" t="s">
        <v>74</v>
      </c>
      <c r="B35" s="33">
        <f>IF((($B$28-$B$32-$B$39-$B$77-$B$38)*C21/100)&lt;0,0,($B$28-$B$32-$B$39-$B$77-$B$38)*C21/100)</f>
        <v>2742.0046463603517</v>
      </c>
      <c r="C35" s="167">
        <f>IF(ISERROR(B35/SUM($B$32,$B$34,$B$35,$B$36,$B$38,$B$39)*100),0,B35/SUM($B$32,$B$34,$B$35,$B$36,$B$38,$B$39)*100)</f>
        <v>24.961353175788361</v>
      </c>
      <c r="D35" s="233"/>
      <c r="G35" s="15"/>
    </row>
    <row r="36" spans="1:7">
      <c r="A36" s="171" t="s">
        <v>75</v>
      </c>
      <c r="B36" s="33">
        <f>IF((($B$28-$B$32-$B$39-$B$77-$B$38)*C22/100)&lt;0,0,($B$28-$B$32-$B$39-$B$77-$B$38)*C22/100)</f>
        <v>476.95043882292208</v>
      </c>
      <c r="C36" s="167">
        <f>IF(ISERROR(B36/SUM($B$32,$B$34,$B$35,$B$36,$B$38,$B$39)*100),0,B36/SUM($B$32,$B$34,$B$35,$B$36,$B$38,$B$39)*100)</f>
        <v>4.3418337626119445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7418</v>
      </c>
      <c r="C44" s="34" t="s">
        <v>111</v>
      </c>
      <c r="D44" s="174"/>
    </row>
    <row r="45" spans="1:7">
      <c r="A45" s="171" t="s">
        <v>72</v>
      </c>
      <c r="B45" s="33" t="str">
        <f t="shared" si="0"/>
        <v>-</v>
      </c>
      <c r="C45" s="34" t="s">
        <v>111</v>
      </c>
      <c r="D45" s="174"/>
    </row>
    <row r="46" spans="1:7">
      <c r="A46" s="171" t="s">
        <v>73</v>
      </c>
      <c r="B46" s="33">
        <f t="shared" si="0"/>
        <v>348.04491481672687</v>
      </c>
      <c r="C46" s="34" t="s">
        <v>111</v>
      </c>
      <c r="D46" s="174"/>
    </row>
    <row r="47" spans="1:7">
      <c r="A47" s="171" t="s">
        <v>74</v>
      </c>
      <c r="B47" s="33">
        <f t="shared" si="0"/>
        <v>2742.0046463603517</v>
      </c>
      <c r="C47" s="34" t="s">
        <v>111</v>
      </c>
      <c r="D47" s="174"/>
    </row>
    <row r="48" spans="1:7">
      <c r="A48" s="171" t="s">
        <v>75</v>
      </c>
      <c r="B48" s="33">
        <f t="shared" si="0"/>
        <v>476.95043882292208</v>
      </c>
      <c r="C48" s="33">
        <f>B48*10</f>
        <v>4769.5043882292211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25970.561900000001</v>
      </c>
      <c r="C5" s="17">
        <f>IF(ISERROR('Eigen informatie GS &amp; warmtenet'!B58),0,'Eigen informatie GS &amp; warmtenet'!B58)</f>
        <v>0</v>
      </c>
      <c r="D5" s="30">
        <f>SUM(D6:D12)</f>
        <v>27940.159427974737</v>
      </c>
      <c r="E5" s="17">
        <f>SUM(E6:E12)</f>
        <v>301.66088063361758</v>
      </c>
      <c r="F5" s="17">
        <f>SUM(F6:F12)</f>
        <v>3945.9064398693608</v>
      </c>
      <c r="G5" s="18"/>
      <c r="H5" s="17"/>
      <c r="I5" s="17"/>
      <c r="J5" s="17">
        <f>SUM(J6:J12)</f>
        <v>0</v>
      </c>
      <c r="K5" s="17"/>
      <c r="L5" s="17"/>
      <c r="M5" s="17"/>
      <c r="N5" s="17">
        <f>SUM(N6:N12)</f>
        <v>2770.7798364513496</v>
      </c>
      <c r="O5" s="17">
        <f>B38*B39*B40</f>
        <v>12.506666666666668</v>
      </c>
      <c r="P5" s="17">
        <f>B46*B47*B48/1000-B46*B47*B48/1000/B49</f>
        <v>57.2</v>
      </c>
      <c r="R5" s="32"/>
    </row>
    <row r="6" spans="1:18">
      <c r="A6" s="32" t="s">
        <v>54</v>
      </c>
      <c r="B6" s="37">
        <f>B26</f>
        <v>7459.6850000000004</v>
      </c>
      <c r="C6" s="33"/>
      <c r="D6" s="37">
        <f>IF(ISERROR(TER_kantoor_gas_kWh/1000),0,TER_kantoor_gas_kWh/1000)*0.902</f>
        <v>6559.4856846833181</v>
      </c>
      <c r="E6" s="33">
        <f>$C$26*'E Balans VL '!I12/100/3.6*1000000</f>
        <v>21.611801935980218</v>
      </c>
      <c r="F6" s="33">
        <f>$C$26*('E Balans VL '!L12+'E Balans VL '!N12)/100/3.6*1000000</f>
        <v>844.27199239703998</v>
      </c>
      <c r="G6" s="34"/>
      <c r="H6" s="33"/>
      <c r="I6" s="33"/>
      <c r="J6" s="33">
        <f>$C$26*('E Balans VL '!D12+'E Balans VL '!E12)/100/3.6*1000000</f>
        <v>0</v>
      </c>
      <c r="K6" s="33"/>
      <c r="L6" s="33"/>
      <c r="M6" s="33"/>
      <c r="N6" s="33">
        <f>$C$26*'E Balans VL '!Y12/100/3.6*1000000</f>
        <v>74.665950308678191</v>
      </c>
      <c r="O6" s="33"/>
      <c r="P6" s="33"/>
      <c r="R6" s="32"/>
    </row>
    <row r="7" spans="1:18">
      <c r="A7" s="32" t="s">
        <v>53</v>
      </c>
      <c r="B7" s="37">
        <f t="shared" ref="B7:B12" si="0">B27</f>
        <v>3794.9879999999998</v>
      </c>
      <c r="C7" s="33"/>
      <c r="D7" s="37">
        <f>IF(ISERROR(TER_horeca_gas_kWh/1000),0,TER_horeca_gas_kWh/1000)*0.902</f>
        <v>7273.043888303956</v>
      </c>
      <c r="E7" s="33">
        <f>$C$27*'E Balans VL '!I9/100/3.6*1000000</f>
        <v>159.30299325308366</v>
      </c>
      <c r="F7" s="33">
        <f>$C$27*('E Balans VL '!L9+'E Balans VL '!N9)/100/3.6*1000000</f>
        <v>815.43099535859199</v>
      </c>
      <c r="G7" s="34"/>
      <c r="H7" s="33"/>
      <c r="I7" s="33"/>
      <c r="J7" s="33">
        <f>$C$27*('E Balans VL '!D9+'E Balans VL '!E9)/100/3.6*1000000</f>
        <v>0</v>
      </c>
      <c r="K7" s="33"/>
      <c r="L7" s="33"/>
      <c r="M7" s="33"/>
      <c r="N7" s="33">
        <f>$C$27*'E Balans VL '!Y9/100/3.6*1000000</f>
        <v>0.97793521922595483</v>
      </c>
      <c r="O7" s="33"/>
      <c r="P7" s="33"/>
      <c r="R7" s="32"/>
    </row>
    <row r="8" spans="1:18">
      <c r="A8" s="6" t="s">
        <v>52</v>
      </c>
      <c r="B8" s="37">
        <f t="shared" si="0"/>
        <v>8364.7630000000008</v>
      </c>
      <c r="C8" s="33"/>
      <c r="D8" s="37">
        <f>IF(ISERROR(TER_handel_gas_kWh/1000),0,TER_handel_gas_kWh/1000)*0.902</f>
        <v>4584.1462213484365</v>
      </c>
      <c r="E8" s="33">
        <f>$C$28*'E Balans VL '!I13/100/3.6*1000000</f>
        <v>89.844516414344824</v>
      </c>
      <c r="F8" s="33">
        <f>$C$28*('E Balans VL '!L13+'E Balans VL '!N13)/100/3.6*1000000</f>
        <v>1082.8876451388915</v>
      </c>
      <c r="G8" s="34"/>
      <c r="H8" s="33"/>
      <c r="I8" s="33"/>
      <c r="J8" s="33">
        <f>$C$28*('E Balans VL '!D13+'E Balans VL '!E13)/100/3.6*1000000</f>
        <v>0</v>
      </c>
      <c r="K8" s="33"/>
      <c r="L8" s="33"/>
      <c r="M8" s="33"/>
      <c r="N8" s="33">
        <f>$C$28*'E Balans VL '!Y13/100/3.6*1000000</f>
        <v>67.855414191918456</v>
      </c>
      <c r="O8" s="33"/>
      <c r="P8" s="33"/>
      <c r="R8" s="32"/>
    </row>
    <row r="9" spans="1:18">
      <c r="A9" s="32" t="s">
        <v>51</v>
      </c>
      <c r="B9" s="37">
        <f t="shared" si="0"/>
        <v>669.05029999999999</v>
      </c>
      <c r="C9" s="33"/>
      <c r="D9" s="37">
        <f>IF(ISERROR(TER_gezond_gas_kWh/1000),0,TER_gezond_gas_kWh/1000)*0.902</f>
        <v>1435.7669107216041</v>
      </c>
      <c r="E9" s="33">
        <f>$C$29*'E Balans VL '!I10/100/3.6*1000000</f>
        <v>0.5326073118140856</v>
      </c>
      <c r="F9" s="33">
        <f>$C$29*('E Balans VL '!L10+'E Balans VL '!N10)/100/3.6*1000000</f>
        <v>81.332732612694002</v>
      </c>
      <c r="G9" s="34"/>
      <c r="H9" s="33"/>
      <c r="I9" s="33"/>
      <c r="J9" s="33">
        <f>$C$29*('E Balans VL '!D10+'E Balans VL '!E10)/100/3.6*1000000</f>
        <v>0</v>
      </c>
      <c r="K9" s="33"/>
      <c r="L9" s="33"/>
      <c r="M9" s="33"/>
      <c r="N9" s="33">
        <f>$C$29*'E Balans VL '!Y10/100/3.6*1000000</f>
        <v>5.4044110701692079</v>
      </c>
      <c r="O9" s="33"/>
      <c r="P9" s="33"/>
      <c r="R9" s="32"/>
    </row>
    <row r="10" spans="1:18">
      <c r="A10" s="32" t="s">
        <v>50</v>
      </c>
      <c r="B10" s="37">
        <f t="shared" si="0"/>
        <v>3476.3620000000001</v>
      </c>
      <c r="C10" s="33"/>
      <c r="D10" s="37">
        <f>IF(ISERROR(TER_ander_gas_kWh/1000),0,TER_ander_gas_kWh/1000)*0.902</f>
        <v>4588.7156648783912</v>
      </c>
      <c r="E10" s="33">
        <f>$C$30*'E Balans VL '!I14/100/3.6*1000000</f>
        <v>11.913675198649564</v>
      </c>
      <c r="F10" s="33">
        <f>$C$30*('E Balans VL '!L14+'E Balans VL '!N14)/100/3.6*1000000</f>
        <v>776.47800808857312</v>
      </c>
      <c r="G10" s="34"/>
      <c r="H10" s="33"/>
      <c r="I10" s="33"/>
      <c r="J10" s="33">
        <f>$C$30*('E Balans VL '!D14+'E Balans VL '!E14)/100/3.6*1000000</f>
        <v>0</v>
      </c>
      <c r="K10" s="33"/>
      <c r="L10" s="33"/>
      <c r="M10" s="33"/>
      <c r="N10" s="33">
        <f>$C$30*'E Balans VL '!Y14/100/3.6*1000000</f>
        <v>2448.7683837943832</v>
      </c>
      <c r="O10" s="33"/>
      <c r="P10" s="33"/>
      <c r="R10" s="32"/>
    </row>
    <row r="11" spans="1:18">
      <c r="A11" s="32" t="s">
        <v>55</v>
      </c>
      <c r="B11" s="37">
        <f t="shared" si="0"/>
        <v>178.0746</v>
      </c>
      <c r="C11" s="33"/>
      <c r="D11" s="37">
        <f>IF(ISERROR(TER_onderwijs_gas_kWh/1000),0,TER_onderwijs_gas_kWh/1000)*0.902</f>
        <v>864.88134827734825</v>
      </c>
      <c r="E11" s="33">
        <f>$C$31*'E Balans VL '!I11/100/3.6*1000000</f>
        <v>0.12309748671393855</v>
      </c>
      <c r="F11" s="33">
        <f>$C$31*('E Balans VL '!L11+'E Balans VL '!N11)/100/3.6*1000000</f>
        <v>46.614757563847213</v>
      </c>
      <c r="G11" s="34"/>
      <c r="H11" s="33"/>
      <c r="I11" s="33"/>
      <c r="J11" s="33">
        <f>$C$31*('E Balans VL '!D11+'E Balans VL '!E11)/100/3.6*1000000</f>
        <v>0</v>
      </c>
      <c r="K11" s="33"/>
      <c r="L11" s="33"/>
      <c r="M11" s="33"/>
      <c r="N11" s="33">
        <f>$C$31*'E Balans VL '!Y11/100/3.6*1000000</f>
        <v>0.17725809708873977</v>
      </c>
      <c r="O11" s="33"/>
      <c r="P11" s="33"/>
      <c r="R11" s="32"/>
    </row>
    <row r="12" spans="1:18">
      <c r="A12" s="32" t="s">
        <v>260</v>
      </c>
      <c r="B12" s="37">
        <f t="shared" si="0"/>
        <v>2027.6389999999999</v>
      </c>
      <c r="C12" s="33"/>
      <c r="D12" s="37">
        <f>IF(ISERROR(TER_rest_gas_kWh/1000),0,TER_rest_gas_kWh/1000)*0.902</f>
        <v>2634.1197097616823</v>
      </c>
      <c r="E12" s="33">
        <f>$C$32*'E Balans VL '!I8/100/3.6*1000000</f>
        <v>18.332189033031224</v>
      </c>
      <c r="F12" s="33">
        <f>$C$32*('E Balans VL '!L8+'E Balans VL '!N8)/100/3.6*1000000</f>
        <v>298.89030870972289</v>
      </c>
      <c r="G12" s="34"/>
      <c r="H12" s="33"/>
      <c r="I12" s="33"/>
      <c r="J12" s="33">
        <f>$C$32*('E Balans VL '!D8+'E Balans VL '!E8)/100/3.6*1000000</f>
        <v>0</v>
      </c>
      <c r="K12" s="33"/>
      <c r="L12" s="33"/>
      <c r="M12" s="33"/>
      <c r="N12" s="33">
        <f>$C$32*'E Balans VL '!Y8/100/3.6*1000000</f>
        <v>172.93048376988597</v>
      </c>
      <c r="O12" s="33"/>
      <c r="P12" s="33"/>
      <c r="R12" s="32"/>
    </row>
    <row r="13" spans="1:18">
      <c r="A13" s="16" t="s">
        <v>494</v>
      </c>
      <c r="B13" s="247">
        <f ca="1">'lokale energieproductie'!N91+'lokale energieproductie'!N60</f>
        <v>16920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-48342.857142857152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42890.561900000001</v>
      </c>
      <c r="C16" s="21">
        <f t="shared" ca="1" si="1"/>
        <v>0</v>
      </c>
      <c r="D16" s="21">
        <f t="shared" ca="1" si="1"/>
        <v>27940.159427974737</v>
      </c>
      <c r="E16" s="21">
        <f t="shared" si="1"/>
        <v>301.66088063361758</v>
      </c>
      <c r="F16" s="21">
        <f t="shared" ca="1" si="1"/>
        <v>3945.9064398693608</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0.15137667179042577</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6492.6305116432404</v>
      </c>
      <c r="C20" s="23">
        <f t="shared" ref="C20:P20" ca="1" si="2">C16*C18</f>
        <v>0</v>
      </c>
      <c r="D20" s="23">
        <f t="shared" ca="1" si="2"/>
        <v>5643.9122044508977</v>
      </c>
      <c r="E20" s="23">
        <f t="shared" si="2"/>
        <v>68.477019903831192</v>
      </c>
      <c r="F20" s="23">
        <f t="shared" ca="1" si="2"/>
        <v>1053.5570194451193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7459.6850000000004</v>
      </c>
      <c r="C26" s="39">
        <f>IF(ISERROR(B26*3.6/1000000/'E Balans VL '!Z12*100),0,B26*3.6/1000000/'E Balans VL '!Z12*100)</f>
        <v>0.16386060528446958</v>
      </c>
      <c r="D26" s="237" t="s">
        <v>692</v>
      </c>
      <c r="F26" s="6"/>
    </row>
    <row r="27" spans="1:18">
      <c r="A27" s="231" t="s">
        <v>53</v>
      </c>
      <c r="B27" s="33">
        <f>IF(ISERROR(TER_horeca_ele_kWh/1000),0,TER_horeca_ele_kWh/1000)</f>
        <v>3794.9879999999998</v>
      </c>
      <c r="C27" s="39">
        <f>IF(ISERROR(B27*3.6/1000000/'E Balans VL '!Z9*100),0,B27*3.6/1000000/'E Balans VL '!Z9*100)</f>
        <v>0.30496511468718396</v>
      </c>
      <c r="D27" s="237" t="s">
        <v>692</v>
      </c>
      <c r="F27" s="6"/>
    </row>
    <row r="28" spans="1:18">
      <c r="A28" s="171" t="s">
        <v>52</v>
      </c>
      <c r="B28" s="33">
        <f>IF(ISERROR(TER_handel_ele_kWh/1000),0,TER_handel_ele_kWh/1000)</f>
        <v>8364.7630000000008</v>
      </c>
      <c r="C28" s="39">
        <f>IF(ISERROR(B28*3.6/1000000/'E Balans VL '!Z13*100),0,B28*3.6/1000000/'E Balans VL '!Z13*100)</f>
        <v>0.24734019816386957</v>
      </c>
      <c r="D28" s="237" t="s">
        <v>692</v>
      </c>
      <c r="F28" s="6"/>
    </row>
    <row r="29" spans="1:18">
      <c r="A29" s="231" t="s">
        <v>51</v>
      </c>
      <c r="B29" s="33">
        <f>IF(ISERROR(TER_gezond_ele_kWh/1000),0,TER_gezond_ele_kWh/1000)</f>
        <v>669.05029999999999</v>
      </c>
      <c r="C29" s="39">
        <f>IF(ISERROR(B29*3.6/1000000/'E Balans VL '!Z10*100),0,B29*3.6/1000000/'E Balans VL '!Z10*100)</f>
        <v>7.538469545390418E-2</v>
      </c>
      <c r="D29" s="237" t="s">
        <v>692</v>
      </c>
      <c r="F29" s="6"/>
    </row>
    <row r="30" spans="1:18">
      <c r="A30" s="231" t="s">
        <v>50</v>
      </c>
      <c r="B30" s="33">
        <f>IF(ISERROR(TER_ander_ele_kWh/1000),0,TER_ander_ele_kWh/1000)</f>
        <v>3476.3620000000001</v>
      </c>
      <c r="C30" s="39">
        <f>IF(ISERROR(B30*3.6/1000000/'E Balans VL '!Z14*100),0,B30*3.6/1000000/'E Balans VL '!Z14*100)</f>
        <v>0.26291131548758734</v>
      </c>
      <c r="D30" s="237" t="s">
        <v>692</v>
      </c>
      <c r="F30" s="6"/>
    </row>
    <row r="31" spans="1:18">
      <c r="A31" s="231" t="s">
        <v>55</v>
      </c>
      <c r="B31" s="33">
        <f>IF(ISERROR(TER_onderwijs_ele_kWh/1000),0,TER_onderwijs_ele_kWh/1000)</f>
        <v>178.0746</v>
      </c>
      <c r="C31" s="39">
        <f>IF(ISERROR(B31*3.6/1000000/'E Balans VL '!Z11*100),0,B31*3.6/1000000/'E Balans VL '!Z11*100)</f>
        <v>3.6964153135627835E-2</v>
      </c>
      <c r="D31" s="237" t="s">
        <v>692</v>
      </c>
    </row>
    <row r="32" spans="1:18">
      <c r="A32" s="231" t="s">
        <v>260</v>
      </c>
      <c r="B32" s="33">
        <f>IF(ISERROR(TER_rest_ele_kWh/1000),0,TER_rest_ele_kWh/1000)</f>
        <v>2027.6389999999999</v>
      </c>
      <c r="C32" s="39">
        <f>IF(ISERROR(B32*3.6/1000000/'E Balans VL '!Z8*100),0,B32*3.6/1000000/'E Balans VL '!Z8*100)</f>
        <v>1.708166575537071E-2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8567.0919999999987</v>
      </c>
      <c r="C5" s="17">
        <f>IF(ISERROR('Eigen informatie GS &amp; warmtenet'!B59),0,'Eigen informatie GS &amp; warmtenet'!B59)</f>
        <v>0</v>
      </c>
      <c r="D5" s="30">
        <f>SUM(D6:D15)</f>
        <v>21949.87151968326</v>
      </c>
      <c r="E5" s="17">
        <f>SUM(E6:E15)</f>
        <v>961.05361167150068</v>
      </c>
      <c r="F5" s="17">
        <f>SUM(F6:F15)</f>
        <v>4008.1159607493182</v>
      </c>
      <c r="G5" s="18"/>
      <c r="H5" s="17"/>
      <c r="I5" s="17"/>
      <c r="J5" s="17">
        <f>SUM(J6:J15)</f>
        <v>18.89357484563492</v>
      </c>
      <c r="K5" s="17"/>
      <c r="L5" s="17"/>
      <c r="M5" s="17"/>
      <c r="N5" s="17">
        <f>SUM(N6:N15)</f>
        <v>1515.279885723902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1484.182</v>
      </c>
      <c r="C8" s="33"/>
      <c r="D8" s="37">
        <f>IF( ISERROR(IND_metaal_Gas_kWH/1000),0,IND_metaal_Gas_kWH/1000)*0.902</f>
        <v>430.19525719480299</v>
      </c>
      <c r="E8" s="33">
        <f>C30*'E Balans VL '!I18/100/3.6*1000000</f>
        <v>37.143880934285455</v>
      </c>
      <c r="F8" s="33">
        <f>C30*'E Balans VL '!L18/100/3.6*1000000+C30*'E Balans VL '!N18/100/3.6*1000000</f>
        <v>465.15002150094529</v>
      </c>
      <c r="G8" s="34"/>
      <c r="H8" s="33"/>
      <c r="I8" s="33"/>
      <c r="J8" s="40">
        <f>C30*'E Balans VL '!D18/100/3.6*1000000+C30*'E Balans VL '!E18/100/3.6*1000000</f>
        <v>0</v>
      </c>
      <c r="K8" s="33"/>
      <c r="L8" s="33"/>
      <c r="M8" s="33"/>
      <c r="N8" s="33">
        <f>C30*'E Balans VL '!Y18/100/3.6*1000000</f>
        <v>37.286503628168518</v>
      </c>
      <c r="O8" s="33"/>
      <c r="P8" s="33"/>
      <c r="R8" s="32"/>
    </row>
    <row r="9" spans="1:18">
      <c r="A9" s="6" t="s">
        <v>33</v>
      </c>
      <c r="B9" s="37">
        <f t="shared" si="0"/>
        <v>3035.7579999999998</v>
      </c>
      <c r="C9" s="33"/>
      <c r="D9" s="37">
        <f>IF( ISERROR(IND_andere_gas_kWh/1000),0,IND_andere_gas_kWh/1000)*0.902</f>
        <v>2470.17017972861</v>
      </c>
      <c r="E9" s="33">
        <f>C31*'E Balans VL '!I19/100/3.6*1000000</f>
        <v>834.70893821685945</v>
      </c>
      <c r="F9" s="33">
        <f>C31*'E Balans VL '!L19/100/3.6*1000000+C31*'E Balans VL '!N19/100/3.6*1000000</f>
        <v>2392.7055638199777</v>
      </c>
      <c r="G9" s="34"/>
      <c r="H9" s="33"/>
      <c r="I9" s="33"/>
      <c r="J9" s="40">
        <f>C31*'E Balans VL '!D19/100/3.6*1000000+C31*'E Balans VL '!E19/100/3.6*1000000</f>
        <v>0</v>
      </c>
      <c r="K9" s="33"/>
      <c r="L9" s="33"/>
      <c r="M9" s="33"/>
      <c r="N9" s="33">
        <f>C31*'E Balans VL '!Y19/100/3.6*1000000</f>
        <v>982.75499520221331</v>
      </c>
      <c r="O9" s="33"/>
      <c r="P9" s="33"/>
      <c r="R9" s="32"/>
    </row>
    <row r="10" spans="1:18">
      <c r="A10" s="6" t="s">
        <v>41</v>
      </c>
      <c r="B10" s="37">
        <f t="shared" si="0"/>
        <v>386.959</v>
      </c>
      <c r="C10" s="33"/>
      <c r="D10" s="37">
        <f>IF( ISERROR(IND_voed_gas_kWh/1000),0,IND_voed_gas_kWh/1000)*0.902</f>
        <v>677.27472543298427</v>
      </c>
      <c r="E10" s="33">
        <f>C32*'E Balans VL '!I20/100/3.6*1000000</f>
        <v>3.9448338280705073</v>
      </c>
      <c r="F10" s="33">
        <f>C32*'E Balans VL '!L20/100/3.6*1000000+C32*'E Balans VL '!N20/100/3.6*1000000</f>
        <v>730.96313080507878</v>
      </c>
      <c r="G10" s="34"/>
      <c r="H10" s="33"/>
      <c r="I10" s="33"/>
      <c r="J10" s="40">
        <f>C32*'E Balans VL '!D20/100/3.6*1000000+C32*'E Balans VL '!E20/100/3.6*1000000</f>
        <v>9.2611950055802996</v>
      </c>
      <c r="K10" s="33"/>
      <c r="L10" s="33"/>
      <c r="M10" s="33"/>
      <c r="N10" s="33">
        <f>C32*'E Balans VL '!Y20/100/3.6*1000000</f>
        <v>203.9719652111965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2109.9459999999999</v>
      </c>
      <c r="C12" s="33"/>
      <c r="D12" s="37">
        <f>IF( ISERROR(IND_min_gas_kWh/1000),0,IND_min_gas_kWh/1000)*0.902</f>
        <v>0</v>
      </c>
      <c r="E12" s="33">
        <f>C34*'E Balans VL '!I22/100/3.6*1000000</f>
        <v>6.3900719937387009</v>
      </c>
      <c r="F12" s="33">
        <f>C34*'E Balans VL '!L22/100/3.6*1000000+C34*'E Balans VL '!N22/100/3.6*1000000</f>
        <v>65.937626496755797</v>
      </c>
      <c r="G12" s="34"/>
      <c r="H12" s="33"/>
      <c r="I12" s="33"/>
      <c r="J12" s="40">
        <f>C34*'E Balans VL '!D22/100/3.6*1000000+C34*'E Balans VL '!E22/100/3.6*1000000</f>
        <v>3.1285815341233687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1550.2470000000001</v>
      </c>
      <c r="C15" s="33"/>
      <c r="D15" s="37">
        <f>IF( ISERROR(IND_rest_gas_kWh/1000),0,IND_rest_gas_kWh/1000)*0.902</f>
        <v>18372.231357326862</v>
      </c>
      <c r="E15" s="33">
        <f>C37*'E Balans VL '!I15/100/3.6*1000000</f>
        <v>78.865886698546575</v>
      </c>
      <c r="F15" s="33">
        <f>C37*'E Balans VL '!L15/100/3.6*1000000+C37*'E Balans VL '!N15/100/3.6*1000000</f>
        <v>353.35961812656052</v>
      </c>
      <c r="G15" s="34"/>
      <c r="H15" s="33"/>
      <c r="I15" s="33"/>
      <c r="J15" s="40">
        <f>C37*'E Balans VL '!D15/100/3.6*1000000+C37*'E Balans VL '!E15/100/3.6*1000000</f>
        <v>6.5037983059312516</v>
      </c>
      <c r="K15" s="33"/>
      <c r="L15" s="33"/>
      <c r="M15" s="33"/>
      <c r="N15" s="33">
        <f>C37*'E Balans VL '!Y15/100/3.6*1000000</f>
        <v>291.26642168232365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8567.0919999999987</v>
      </c>
      <c r="C18" s="21">
        <f>C5+C16</f>
        <v>0</v>
      </c>
      <c r="D18" s="21">
        <f>MAX((D5+D16),0)</f>
        <v>21949.87151968326</v>
      </c>
      <c r="E18" s="21">
        <f>MAX((E5+E16),0)</f>
        <v>961.05361167150068</v>
      </c>
      <c r="F18" s="21">
        <f>MAX((F5+F16),0)</f>
        <v>4008.1159607493182</v>
      </c>
      <c r="G18" s="21"/>
      <c r="H18" s="21"/>
      <c r="I18" s="21"/>
      <c r="J18" s="21">
        <f>MAX((J5+J16),0)</f>
        <v>18.89357484563492</v>
      </c>
      <c r="K18" s="21"/>
      <c r="L18" s="21">
        <f>MAX((L5+L16),0)</f>
        <v>0</v>
      </c>
      <c r="M18" s="21"/>
      <c r="N18" s="21">
        <f>MAX((N5+N16),0)</f>
        <v>1515.279885723902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0.15137667179042577</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1296.8578738823821</v>
      </c>
      <c r="C22" s="23">
        <f ca="1">C18*C20</f>
        <v>0</v>
      </c>
      <c r="D22" s="23">
        <f>D18*D20</f>
        <v>4433.8740469760187</v>
      </c>
      <c r="E22" s="23">
        <f>E18*E20</f>
        <v>218.15916984943067</v>
      </c>
      <c r="F22" s="23">
        <f>F18*F20</f>
        <v>1070.1669615200681</v>
      </c>
      <c r="G22" s="23"/>
      <c r="H22" s="23"/>
      <c r="I22" s="23"/>
      <c r="J22" s="23">
        <f>J18*J20</f>
        <v>6.6883254953547615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1484.182</v>
      </c>
      <c r="C30" s="39">
        <f>IF(ISERROR(B30*3.6/1000000/'E Balans VL '!Z18*100),0,B30*3.6/1000000/'E Balans VL '!Z18*100)</f>
        <v>0.20773601908844019</v>
      </c>
      <c r="D30" s="237" t="s">
        <v>692</v>
      </c>
    </row>
    <row r="31" spans="1:18">
      <c r="A31" s="6" t="s">
        <v>33</v>
      </c>
      <c r="B31" s="37">
        <f>IF( ISERROR(IND_ander_ele_kWh/1000),0,IND_ander_ele_kWh/1000)</f>
        <v>3035.7579999999998</v>
      </c>
      <c r="C31" s="39">
        <f>IF(ISERROR(B31*3.6/1000000/'E Balans VL '!Z19*100),0,B31*3.6/1000000/'E Balans VL '!Z19*100)</f>
        <v>0.13287463519008505</v>
      </c>
      <c r="D31" s="237" t="s">
        <v>692</v>
      </c>
    </row>
    <row r="32" spans="1:18">
      <c r="A32" s="171" t="s">
        <v>41</v>
      </c>
      <c r="B32" s="37">
        <f>IF( ISERROR(IND_voed_ele_kWh/1000),0,IND_voed_ele_kWh/1000)</f>
        <v>386.959</v>
      </c>
      <c r="C32" s="39">
        <f>IF(ISERROR(B32*3.6/1000000/'E Balans VL '!Z20*100),0,B32*3.6/1000000/'E Balans VL '!Z20*100)</f>
        <v>9.5798198125455966E-2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2109.9459999999999</v>
      </c>
      <c r="C34" s="39">
        <f>IF(ISERROR(B34*3.6/1000000/'E Balans VL '!Z22*100),0,B34*3.6/1000000/'E Balans VL '!Z22*100)</f>
        <v>5.987165936295856E-2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1550.2470000000001</v>
      </c>
      <c r="C37" s="39">
        <f>IF(ISERROR(B37*3.6/1000000/'E Balans VL '!Z15*100),0,B37*3.6/1000000/'E Balans VL '!Z15*100)</f>
        <v>1.1494816091482243E-2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4676.6633000000002</v>
      </c>
      <c r="C5" s="17">
        <f>'Eigen informatie GS &amp; warmtenet'!B60</f>
        <v>0</v>
      </c>
      <c r="D5" s="30">
        <f>IF(ISERROR(SUM(LB_lb_gas_kWh,LB_rest_gas_kWh)/1000),0,SUM(LB_lb_gas_kWh,LB_rest_gas_kWh)/1000)*0.902</f>
        <v>10244.929945808606</v>
      </c>
      <c r="E5" s="17">
        <f>B17*'E Balans VL '!I25/3.6*1000000/100</f>
        <v>43.317214251243634</v>
      </c>
      <c r="F5" s="17">
        <f>B17*('E Balans VL '!L25/3.6*1000000+'E Balans VL '!N25/3.6*1000000)/100</f>
        <v>11865.585695544385</v>
      </c>
      <c r="G5" s="18"/>
      <c r="H5" s="17"/>
      <c r="I5" s="17"/>
      <c r="J5" s="17">
        <f>('E Balans VL '!D25+'E Balans VL '!E25)/3.6*1000000*landbouw!B17/100</f>
        <v>716.98467560475444</v>
      </c>
      <c r="K5" s="17"/>
      <c r="L5" s="17">
        <f>L6*(-1)</f>
        <v>0</v>
      </c>
      <c r="M5" s="17"/>
      <c r="N5" s="17">
        <f>N6*(-1)</f>
        <v>249.42857142857139</v>
      </c>
      <c r="O5" s="17"/>
      <c r="P5" s="17"/>
      <c r="R5" s="32"/>
    </row>
    <row r="6" spans="1:18">
      <c r="A6" s="16" t="s">
        <v>494</v>
      </c>
      <c r="B6" s="17" t="s">
        <v>211</v>
      </c>
      <c r="C6" s="17">
        <f>'lokale energieproductie'!O92+'lokale energieproductie'!O61</f>
        <v>7639.7142857142862</v>
      </c>
      <c r="D6" s="310">
        <f>('lokale energieproductie'!P61+'lokale energieproductie'!P92)*(-1)</f>
        <v>-15030.000000000002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4676.6633000000002</v>
      </c>
      <c r="C8" s="21">
        <f>C5+C6</f>
        <v>7639.7142857142862</v>
      </c>
      <c r="D8" s="21">
        <f>MAX((D5+D6),0)</f>
        <v>0</v>
      </c>
      <c r="E8" s="21">
        <f>MAX((E5+E6),0)</f>
        <v>43.317214251243634</v>
      </c>
      <c r="F8" s="21">
        <f>MAX((F5+F6),0)</f>
        <v>11865.585695544385</v>
      </c>
      <c r="G8" s="21"/>
      <c r="H8" s="21"/>
      <c r="I8" s="21"/>
      <c r="J8" s="21">
        <f>MAX((J5+J6),0)</f>
        <v>716.98467560475444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0.15137667179042577</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707.93772543842954</v>
      </c>
      <c r="C12" s="23">
        <f ca="1">C8*C10</f>
        <v>1785.9176470588238</v>
      </c>
      <c r="D12" s="23">
        <f>D8*D10</f>
        <v>0</v>
      </c>
      <c r="E12" s="23">
        <f>E8*E10</f>
        <v>9.8330076350323043</v>
      </c>
      <c r="F12" s="23">
        <f>F8*F10</f>
        <v>3168.1113807103511</v>
      </c>
      <c r="G12" s="23"/>
      <c r="H12" s="23"/>
      <c r="I12" s="23"/>
      <c r="J12" s="23">
        <f>J8*J10</f>
        <v>253.81257516408306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0.66492235885791096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1136.9812868293272</v>
      </c>
      <c r="C26" s="247">
        <f>B26*'GWP N2O_CH4'!B5</f>
        <v>23876.607023415872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467.14017686517275</v>
      </c>
      <c r="C27" s="247">
        <f>B27*'GWP N2O_CH4'!B5</f>
        <v>9809.9437141686285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20.298378156483974</v>
      </c>
      <c r="C28" s="247">
        <f>B28*'GWP N2O_CH4'!B4</f>
        <v>6292.4972285100321</v>
      </c>
      <c r="D28" s="50"/>
    </row>
    <row r="29" spans="1:4">
      <c r="A29" s="41" t="s">
        <v>277</v>
      </c>
      <c r="B29" s="247">
        <f>B34*'ha_N2O bodem landbouw'!B4</f>
        <v>29.663266208348002</v>
      </c>
      <c r="C29" s="247">
        <f>B29*'GWP N2O_CH4'!B4</f>
        <v>9195.6125245878811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6.6529480235651842E-3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1.5423006901424125E-4</v>
      </c>
      <c r="C5" s="464" t="s">
        <v>211</v>
      </c>
      <c r="D5" s="449">
        <f>SUM(D6:D11)</f>
        <v>3.8120323132204419E-4</v>
      </c>
      <c r="E5" s="449">
        <f>SUM(E6:E11)</f>
        <v>2.8080936530991262E-3</v>
      </c>
      <c r="F5" s="462" t="s">
        <v>211</v>
      </c>
      <c r="G5" s="449">
        <f>SUM(G6:G11)</f>
        <v>1.0879105612305753</v>
      </c>
      <c r="H5" s="449">
        <f>SUM(H6:H11)</f>
        <v>0.14853303849933977</v>
      </c>
      <c r="I5" s="464" t="s">
        <v>211</v>
      </c>
      <c r="J5" s="464" t="s">
        <v>211</v>
      </c>
      <c r="K5" s="464" t="s">
        <v>211</v>
      </c>
      <c r="L5" s="464" t="s">
        <v>211</v>
      </c>
      <c r="M5" s="449">
        <f>SUM(M6:M11)</f>
        <v>6.7502979537940919E-2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5.8061791919193374E-5</v>
      </c>
      <c r="C6" s="450"/>
      <c r="D6" s="893">
        <f>vkm_2011_GW_PW*SUMIFS(TableVerdeelsleutelVkm[CNG],TableVerdeelsleutelVkm[Voertuigtype],"Lichte voertuigen")*SUMIFS(TableECFTransport[EnergieConsumptieFactor (PJ per km)],TableECFTransport[Index],CONCATENATE($A6,"_CNG_CNG"))</f>
        <v>1.3430331704758391E-4</v>
      </c>
      <c r="E6" s="893">
        <f>vkm_2011_GW_PW*SUMIFS(TableVerdeelsleutelVkm[LPG],TableVerdeelsleutelVkm[Voertuigtype],"Lichte voertuigen")*SUMIFS(TableECFTransport[EnergieConsumptieFactor (PJ per km)],TableECFTransport[Index],CONCATENATE($A6,"_LPG_LPG"))</f>
        <v>8.7450209711246638E-4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0.18167134087256212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5.1209396641546251E-2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1.2085303039120632E-2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8.9303882442583846E-2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3.0540305961309777E-5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5.1667357966810748E-3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8.2012825927057852E-6</v>
      </c>
      <c r="C8" s="450"/>
      <c r="D8" s="452">
        <f>vkm_2011_NGW_PW*SUMIFS(TableVerdeelsleutelVkm[CNG],TableVerdeelsleutelVkm[Voertuigtype],"Lichte voertuigen")*SUMIFS(TableECFTransport[EnergieConsumptieFactor (PJ per km)],TableECFTransport[Index],CONCATENATE($A8,"_CNG_CNG"))</f>
        <v>3.3553216648076265E-5</v>
      </c>
      <c r="E8" s="452">
        <f>vkm_2011_NGW_PW*SUMIFS(TableVerdeelsleutelVkm[LPG],TableVerdeelsleutelVkm[Voertuigtype],"Lichte voertuigen")*SUMIFS(TableECFTransport[EnergieConsumptieFactor (PJ per km)],TableECFTransport[Index],CONCATENATE($A8,"_LPG_LPG"))</f>
        <v>2.016327266485543E-4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3.9156779303663646E-2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1.2370631146531632E-2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2.6458635152030517E-3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3.4399948731133321E-3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1.1131422695237434E-6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1.990212542888956E-4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8.7966994502342095E-5</v>
      </c>
      <c r="C10" s="450"/>
      <c r="D10" s="452">
        <f>vkm_2011_SW_PW*SUMIFS(TableVerdeelsleutelVkm[CNG],TableVerdeelsleutelVkm[Voertuigtype],"Lichte voertuigen")*SUMIFS(TableECFTransport[EnergieConsumptieFactor (PJ per km)],TableECFTransport[Index],CONCATENATE($A10,"_CNG_CNG"))</f>
        <v>2.1334669762638404E-4</v>
      </c>
      <c r="E10" s="452">
        <f>vkm_2011_SW_PW*SUMIFS(TableVerdeelsleutelVkm[LPG],TableVerdeelsleutelVkm[Voertuigtype],"Lichte voertuigen")*SUMIFS(TableECFTransport[EnergieConsumptieFactor (PJ per km)],TableECFTransport[Index],CONCATENATE($A10,"_LPG_LPG"))</f>
        <v>1.7319588293381056E-3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0.32392602992797487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8.4755352200434259E-2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2.1346769230668479E-2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0.45041253381067747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1.6600506259680054E-4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2.6059286701978782E-2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42.841685837289234</v>
      </c>
      <c r="C14" s="21"/>
      <c r="D14" s="21">
        <f t="shared" ref="D14:M14" si="0">((D5)*10^9/3600)+D12</f>
        <v>105.88978647834561</v>
      </c>
      <c r="E14" s="21">
        <f t="shared" si="0"/>
        <v>780.02601474975722</v>
      </c>
      <c r="F14" s="21"/>
      <c r="G14" s="21">
        <f t="shared" si="0"/>
        <v>302197.37811960425</v>
      </c>
      <c r="H14" s="21">
        <f t="shared" si="0"/>
        <v>41259.177360927708</v>
      </c>
      <c r="I14" s="21"/>
      <c r="J14" s="21"/>
      <c r="K14" s="21"/>
      <c r="L14" s="21"/>
      <c r="M14" s="21">
        <f t="shared" si="0"/>
        <v>18750.827649428033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0.15137667179042577</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6.4852318159398648</v>
      </c>
      <c r="C18" s="23"/>
      <c r="D18" s="23">
        <f t="shared" ref="D18:M18" si="1">D14*D16</f>
        <v>21.389736868625814</v>
      </c>
      <c r="E18" s="23">
        <f t="shared" si="1"/>
        <v>177.06590534819489</v>
      </c>
      <c r="F18" s="23"/>
      <c r="G18" s="23">
        <f t="shared" si="1"/>
        <v>80686.699957934339</v>
      </c>
      <c r="H18" s="23">
        <f t="shared" si="1"/>
        <v>10273.535162871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1.2209155090804809E-2</v>
      </c>
      <c r="H50" s="321">
        <f t="shared" si="2"/>
        <v>0</v>
      </c>
      <c r="I50" s="321">
        <f t="shared" si="2"/>
        <v>0</v>
      </c>
      <c r="J50" s="321">
        <f t="shared" si="2"/>
        <v>0</v>
      </c>
      <c r="K50" s="321">
        <f t="shared" si="2"/>
        <v>0</v>
      </c>
      <c r="L50" s="321">
        <f t="shared" si="2"/>
        <v>0</v>
      </c>
      <c r="M50" s="321">
        <f t="shared" si="2"/>
        <v>6.9625252321885872E-4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1.2209155090804809E-2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6.9625252321885872E-4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3391.4319696680027</v>
      </c>
      <c r="H54" s="21">
        <f t="shared" si="3"/>
        <v>0</v>
      </c>
      <c r="I54" s="21">
        <f t="shared" si="3"/>
        <v>0</v>
      </c>
      <c r="J54" s="21">
        <f t="shared" si="3"/>
        <v>0</v>
      </c>
      <c r="K54" s="21">
        <f t="shared" si="3"/>
        <v>0</v>
      </c>
      <c r="L54" s="21">
        <f t="shared" si="3"/>
        <v>0</v>
      </c>
      <c r="M54" s="21">
        <f t="shared" si="3"/>
        <v>193.40347867190522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0.15137667179042577</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905.51233590135678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44612.051899999999</v>
      </c>
      <c r="D10" s="1025">
        <f ca="1">tertiair!C16</f>
        <v>0</v>
      </c>
      <c r="E10" s="1025">
        <f ca="1">tertiair!D16</f>
        <v>27940.159427974737</v>
      </c>
      <c r="F10" s="1025">
        <f>tertiair!E16</f>
        <v>301.66088063361758</v>
      </c>
      <c r="G10" s="1025">
        <f ca="1">tertiair!F16</f>
        <v>3945.9064398693608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12.506666666666668</v>
      </c>
      <c r="Q10" s="1026">
        <f>tertiair!P16</f>
        <v>57.2</v>
      </c>
      <c r="R10" s="701">
        <f ca="1">SUM(C10:Q10)</f>
        <v>76869.485315144382</v>
      </c>
      <c r="S10" s="67"/>
    </row>
    <row r="11" spans="1:19" s="474" customFormat="1">
      <c r="A11" s="810" t="s">
        <v>225</v>
      </c>
      <c r="B11" s="815"/>
      <c r="C11" s="1025">
        <f>huishoudens!B8</f>
        <v>61466.42862707685</v>
      </c>
      <c r="D11" s="1025">
        <f>huishoudens!C8</f>
        <v>0</v>
      </c>
      <c r="E11" s="1025">
        <f>huishoudens!D8</f>
        <v>113159.52316653109</v>
      </c>
      <c r="F11" s="1025">
        <f>huishoudens!E8</f>
        <v>5193.0025705659646</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26987.004660539307</v>
      </c>
      <c r="P11" s="1025">
        <f>huishoudens!O8</f>
        <v>317.35666666666668</v>
      </c>
      <c r="Q11" s="1026">
        <f>huishoudens!P8</f>
        <v>1944.8</v>
      </c>
      <c r="R11" s="701">
        <f>SUM(C11:Q11)</f>
        <v>209068.11569137985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8567.0919999999987</v>
      </c>
      <c r="D13" s="1025">
        <f>industrie!C18</f>
        <v>0</v>
      </c>
      <c r="E13" s="1025">
        <f>industrie!D18</f>
        <v>21949.87151968326</v>
      </c>
      <c r="F13" s="1025">
        <f>industrie!E18</f>
        <v>961.05361167150068</v>
      </c>
      <c r="G13" s="1025">
        <f>industrie!F18</f>
        <v>4008.1159607493182</v>
      </c>
      <c r="H13" s="1025">
        <f>industrie!G18</f>
        <v>0</v>
      </c>
      <c r="I13" s="1025">
        <f>industrie!H18</f>
        <v>0</v>
      </c>
      <c r="J13" s="1025">
        <f>industrie!I18</f>
        <v>0</v>
      </c>
      <c r="K13" s="1025">
        <f>industrie!J18</f>
        <v>18.89357484563492</v>
      </c>
      <c r="L13" s="1025">
        <f>industrie!K18</f>
        <v>0</v>
      </c>
      <c r="M13" s="1025">
        <f>industrie!L18</f>
        <v>0</v>
      </c>
      <c r="N13" s="1025">
        <f>industrie!M18</f>
        <v>0</v>
      </c>
      <c r="O13" s="1025">
        <f>industrie!N18</f>
        <v>1515.279885723902</v>
      </c>
      <c r="P13" s="1025">
        <f>industrie!O18</f>
        <v>0</v>
      </c>
      <c r="Q13" s="1026">
        <f>industrie!P18</f>
        <v>0</v>
      </c>
      <c r="R13" s="701">
        <f>SUM(C13:Q13)</f>
        <v>37020.306552673617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114645.57252707685</v>
      </c>
      <c r="D16" s="733">
        <f t="shared" ref="D16:R16" ca="1" si="0">SUM(D9:D15)</f>
        <v>0</v>
      </c>
      <c r="E16" s="733">
        <f t="shared" ca="1" si="0"/>
        <v>163049.55411418909</v>
      </c>
      <c r="F16" s="733">
        <f t="shared" si="0"/>
        <v>6455.7170628710828</v>
      </c>
      <c r="G16" s="733">
        <f t="shared" ca="1" si="0"/>
        <v>7954.0224006186791</v>
      </c>
      <c r="H16" s="733">
        <f t="shared" si="0"/>
        <v>0</v>
      </c>
      <c r="I16" s="733">
        <f t="shared" si="0"/>
        <v>0</v>
      </c>
      <c r="J16" s="733">
        <f t="shared" si="0"/>
        <v>0</v>
      </c>
      <c r="K16" s="733">
        <f t="shared" si="0"/>
        <v>18.89357484563492</v>
      </c>
      <c r="L16" s="733">
        <f t="shared" si="0"/>
        <v>0</v>
      </c>
      <c r="M16" s="733">
        <f t="shared" ca="1" si="0"/>
        <v>0</v>
      </c>
      <c r="N16" s="733">
        <f t="shared" si="0"/>
        <v>0</v>
      </c>
      <c r="O16" s="733">
        <f t="shared" ca="1" si="0"/>
        <v>28502.28454626321</v>
      </c>
      <c r="P16" s="733">
        <f t="shared" si="0"/>
        <v>329.86333333333334</v>
      </c>
      <c r="Q16" s="733">
        <f t="shared" si="0"/>
        <v>2002</v>
      </c>
      <c r="R16" s="733">
        <f t="shared" ca="1" si="0"/>
        <v>322957.90755919786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3391.4319696680027</v>
      </c>
      <c r="I19" s="1025">
        <f>transport!H54</f>
        <v>0</v>
      </c>
      <c r="J19" s="1025">
        <f>transport!I54</f>
        <v>0</v>
      </c>
      <c r="K19" s="1025">
        <f>transport!J54</f>
        <v>0</v>
      </c>
      <c r="L19" s="1025">
        <f>transport!K54</f>
        <v>0</v>
      </c>
      <c r="M19" s="1025">
        <f>transport!L54</f>
        <v>0</v>
      </c>
      <c r="N19" s="1025">
        <f>transport!M54</f>
        <v>193.40347867190522</v>
      </c>
      <c r="O19" s="1025">
        <f>transport!N54</f>
        <v>0</v>
      </c>
      <c r="P19" s="1025">
        <f>transport!O54</f>
        <v>0</v>
      </c>
      <c r="Q19" s="1026">
        <f>transport!P54</f>
        <v>0</v>
      </c>
      <c r="R19" s="701">
        <f>SUM(C19:Q19)</f>
        <v>3584.835448339908</v>
      </c>
      <c r="S19" s="67"/>
    </row>
    <row r="20" spans="1:19" s="474" customFormat="1">
      <c r="A20" s="810" t="s">
        <v>307</v>
      </c>
      <c r="B20" s="815"/>
      <c r="C20" s="1025">
        <f>transport!B14</f>
        <v>42.841685837289234</v>
      </c>
      <c r="D20" s="1025">
        <f>transport!C14</f>
        <v>0</v>
      </c>
      <c r="E20" s="1025">
        <f>transport!D14</f>
        <v>105.88978647834561</v>
      </c>
      <c r="F20" s="1025">
        <f>transport!E14</f>
        <v>780.02601474975722</v>
      </c>
      <c r="G20" s="1025">
        <f>transport!F14</f>
        <v>0</v>
      </c>
      <c r="H20" s="1025">
        <f>transport!G14</f>
        <v>302197.37811960425</v>
      </c>
      <c r="I20" s="1025">
        <f>transport!H14</f>
        <v>41259.177360927708</v>
      </c>
      <c r="J20" s="1025">
        <f>transport!I14</f>
        <v>0</v>
      </c>
      <c r="K20" s="1025">
        <f>transport!J14</f>
        <v>0</v>
      </c>
      <c r="L20" s="1025">
        <f>transport!K14</f>
        <v>0</v>
      </c>
      <c r="M20" s="1025">
        <f>transport!L14</f>
        <v>0</v>
      </c>
      <c r="N20" s="1025">
        <f>transport!M14</f>
        <v>18750.827649428033</v>
      </c>
      <c r="O20" s="1025">
        <f>transport!N14</f>
        <v>0</v>
      </c>
      <c r="P20" s="1025">
        <f>transport!O14</f>
        <v>0</v>
      </c>
      <c r="Q20" s="1026">
        <f>transport!P14</f>
        <v>0</v>
      </c>
      <c r="R20" s="701">
        <f>SUM(C20:Q20)</f>
        <v>363136.14061702538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42.841685837289234</v>
      </c>
      <c r="D22" s="813">
        <f t="shared" ref="D22:R22" si="1">SUM(D18:D21)</f>
        <v>0</v>
      </c>
      <c r="E22" s="813">
        <f t="shared" si="1"/>
        <v>105.88978647834561</v>
      </c>
      <c r="F22" s="813">
        <f t="shared" si="1"/>
        <v>780.02601474975722</v>
      </c>
      <c r="G22" s="813">
        <f t="shared" si="1"/>
        <v>0</v>
      </c>
      <c r="H22" s="813">
        <f t="shared" si="1"/>
        <v>305588.81008927227</v>
      </c>
      <c r="I22" s="813">
        <f t="shared" si="1"/>
        <v>41259.177360927708</v>
      </c>
      <c r="J22" s="813">
        <f t="shared" si="1"/>
        <v>0</v>
      </c>
      <c r="K22" s="813">
        <f t="shared" si="1"/>
        <v>0</v>
      </c>
      <c r="L22" s="813">
        <f t="shared" si="1"/>
        <v>0</v>
      </c>
      <c r="M22" s="813">
        <f t="shared" si="1"/>
        <v>0</v>
      </c>
      <c r="N22" s="813">
        <f t="shared" si="1"/>
        <v>18944.231128099938</v>
      </c>
      <c r="O22" s="813">
        <f t="shared" si="1"/>
        <v>0</v>
      </c>
      <c r="P22" s="813">
        <f t="shared" si="1"/>
        <v>0</v>
      </c>
      <c r="Q22" s="813">
        <f t="shared" si="1"/>
        <v>0</v>
      </c>
      <c r="R22" s="813">
        <f t="shared" si="1"/>
        <v>366720.97606536531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4676.6633000000002</v>
      </c>
      <c r="D24" s="1025">
        <f>+landbouw!C8</f>
        <v>7639.7142857142862</v>
      </c>
      <c r="E24" s="1025">
        <f>+landbouw!D8</f>
        <v>0</v>
      </c>
      <c r="F24" s="1025">
        <f>+landbouw!E8</f>
        <v>43.317214251243634</v>
      </c>
      <c r="G24" s="1025">
        <f>+landbouw!F8</f>
        <v>11865.585695544385</v>
      </c>
      <c r="H24" s="1025">
        <f>+landbouw!G8</f>
        <v>0</v>
      </c>
      <c r="I24" s="1025">
        <f>+landbouw!H8</f>
        <v>0</v>
      </c>
      <c r="J24" s="1025">
        <f>+landbouw!I8</f>
        <v>0</v>
      </c>
      <c r="K24" s="1025">
        <f>+landbouw!J8</f>
        <v>716.98467560475444</v>
      </c>
      <c r="L24" s="1025">
        <f>+landbouw!K8</f>
        <v>0</v>
      </c>
      <c r="M24" s="1025">
        <f>+landbouw!L8</f>
        <v>0</v>
      </c>
      <c r="N24" s="1025">
        <f>+landbouw!M8</f>
        <v>0</v>
      </c>
      <c r="O24" s="1025">
        <f>+landbouw!N8</f>
        <v>0</v>
      </c>
      <c r="P24" s="1025">
        <f>+landbouw!O8</f>
        <v>0</v>
      </c>
      <c r="Q24" s="1026">
        <f>+landbouw!P8</f>
        <v>0</v>
      </c>
      <c r="R24" s="701">
        <f>SUM(C24:Q24)</f>
        <v>24942.265171114668</v>
      </c>
      <c r="S24" s="67"/>
    </row>
    <row r="25" spans="1:19" s="474" customFormat="1" ht="15" thickBot="1">
      <c r="A25" s="832" t="s">
        <v>864</v>
      </c>
      <c r="B25" s="1028"/>
      <c r="C25" s="1029">
        <f>IF(Onbekend_ele_kWh="---",0,Onbekend_ele_kWh)/1000+IF(REST_rest_ele_kWh="---",0,REST_rest_ele_kWh)/1000</f>
        <v>1466.039</v>
      </c>
      <c r="D25" s="1029"/>
      <c r="E25" s="1029">
        <f>IF(onbekend_gas_kWh="---",0,onbekend_gas_kWh)/1000+IF(REST_rest_gas_kWh="---",0,REST_rest_gas_kWh)/1000</f>
        <v>2954.3052860441799</v>
      </c>
      <c r="F25" s="1029"/>
      <c r="G25" s="1029"/>
      <c r="H25" s="1029"/>
      <c r="I25" s="1029"/>
      <c r="J25" s="1029"/>
      <c r="K25" s="1029"/>
      <c r="L25" s="1029"/>
      <c r="M25" s="1029"/>
      <c r="N25" s="1029"/>
      <c r="O25" s="1029"/>
      <c r="P25" s="1029"/>
      <c r="Q25" s="1030"/>
      <c r="R25" s="701">
        <f>SUM(C25:Q25)</f>
        <v>4420.3442860441801</v>
      </c>
      <c r="S25" s="67"/>
    </row>
    <row r="26" spans="1:19" s="474" customFormat="1" ht="15.75" thickBot="1">
      <c r="A26" s="706" t="s">
        <v>865</v>
      </c>
      <c r="B26" s="818"/>
      <c r="C26" s="813">
        <f>SUM(C24:C25)</f>
        <v>6142.7022999999999</v>
      </c>
      <c r="D26" s="813">
        <f t="shared" ref="D26:R26" si="2">SUM(D24:D25)</f>
        <v>7639.7142857142862</v>
      </c>
      <c r="E26" s="813">
        <f t="shared" si="2"/>
        <v>2954.3052860441799</v>
      </c>
      <c r="F26" s="813">
        <f t="shared" si="2"/>
        <v>43.317214251243634</v>
      </c>
      <c r="G26" s="813">
        <f t="shared" si="2"/>
        <v>11865.585695544385</v>
      </c>
      <c r="H26" s="813">
        <f t="shared" si="2"/>
        <v>0</v>
      </c>
      <c r="I26" s="813">
        <f t="shared" si="2"/>
        <v>0</v>
      </c>
      <c r="J26" s="813">
        <f t="shared" si="2"/>
        <v>0</v>
      </c>
      <c r="K26" s="813">
        <f t="shared" si="2"/>
        <v>716.98467560475444</v>
      </c>
      <c r="L26" s="813">
        <f t="shared" si="2"/>
        <v>0</v>
      </c>
      <c r="M26" s="813">
        <f t="shared" si="2"/>
        <v>0</v>
      </c>
      <c r="N26" s="813">
        <f t="shared" si="2"/>
        <v>0</v>
      </c>
      <c r="O26" s="813">
        <f t="shared" si="2"/>
        <v>0</v>
      </c>
      <c r="P26" s="813">
        <f t="shared" si="2"/>
        <v>0</v>
      </c>
      <c r="Q26" s="813">
        <f t="shared" si="2"/>
        <v>0</v>
      </c>
      <c r="R26" s="813">
        <f t="shared" si="2"/>
        <v>29362.609457158847</v>
      </c>
      <c r="S26" s="67"/>
    </row>
    <row r="27" spans="1:19" s="474" customFormat="1" ht="17.25" thickTop="1" thickBot="1">
      <c r="A27" s="707" t="s">
        <v>116</v>
      </c>
      <c r="B27" s="806"/>
      <c r="C27" s="708">
        <f ca="1">C22+C16+C26</f>
        <v>120831.11651291414</v>
      </c>
      <c r="D27" s="708">
        <f t="shared" ref="D27:R27" ca="1" si="3">D22+D16+D26</f>
        <v>7639.7142857142862</v>
      </c>
      <c r="E27" s="708">
        <f t="shared" ca="1" si="3"/>
        <v>166109.74918671159</v>
      </c>
      <c r="F27" s="708">
        <f t="shared" si="3"/>
        <v>7279.0602918720842</v>
      </c>
      <c r="G27" s="708">
        <f t="shared" ca="1" si="3"/>
        <v>19819.608096163065</v>
      </c>
      <c r="H27" s="708">
        <f t="shared" si="3"/>
        <v>305588.81008927227</v>
      </c>
      <c r="I27" s="708">
        <f t="shared" si="3"/>
        <v>41259.177360927708</v>
      </c>
      <c r="J27" s="708">
        <f t="shared" si="3"/>
        <v>0</v>
      </c>
      <c r="K27" s="708">
        <f t="shared" si="3"/>
        <v>735.87825045038937</v>
      </c>
      <c r="L27" s="708">
        <f t="shared" si="3"/>
        <v>0</v>
      </c>
      <c r="M27" s="708">
        <f t="shared" ca="1" si="3"/>
        <v>0</v>
      </c>
      <c r="N27" s="708">
        <f t="shared" si="3"/>
        <v>18944.231128099938</v>
      </c>
      <c r="O27" s="708">
        <f t="shared" ca="1" si="3"/>
        <v>28502.28454626321</v>
      </c>
      <c r="P27" s="708">
        <f t="shared" si="3"/>
        <v>329.86333333333334</v>
      </c>
      <c r="Q27" s="708">
        <f t="shared" si="3"/>
        <v>2002</v>
      </c>
      <c r="R27" s="708">
        <f t="shared" ca="1" si="3"/>
        <v>719041.49308172206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6753.2239383637407</v>
      </c>
      <c r="D40" s="1025">
        <f ca="1">tertiair!C20</f>
        <v>0</v>
      </c>
      <c r="E40" s="1025">
        <f ca="1">tertiair!D20</f>
        <v>5643.9122044508977</v>
      </c>
      <c r="F40" s="1025">
        <f>tertiair!E20</f>
        <v>68.477019903831192</v>
      </c>
      <c r="G40" s="1025">
        <f ca="1">tertiair!F20</f>
        <v>1053.5570194451193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13519.170182163587</v>
      </c>
    </row>
    <row r="41" spans="1:18">
      <c r="A41" s="823" t="s">
        <v>225</v>
      </c>
      <c r="B41" s="830"/>
      <c r="C41" s="1025">
        <f ca="1">huishoudens!B12</f>
        <v>9304.5833924106428</v>
      </c>
      <c r="D41" s="1025">
        <f ca="1">huishoudens!C12</f>
        <v>0</v>
      </c>
      <c r="E41" s="1025">
        <f>huishoudens!D12</f>
        <v>22858.223679639279</v>
      </c>
      <c r="F41" s="1025">
        <f>huishoudens!E12</f>
        <v>1178.811583518474</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33341.618655568396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1296.8578738823821</v>
      </c>
      <c r="D43" s="1025">
        <f ca="1">industrie!C22</f>
        <v>0</v>
      </c>
      <c r="E43" s="1025">
        <f>industrie!D22</f>
        <v>4433.8740469760187</v>
      </c>
      <c r="F43" s="1025">
        <f>industrie!E22</f>
        <v>218.15916984943067</v>
      </c>
      <c r="G43" s="1025">
        <f>industrie!F22</f>
        <v>1070.1669615200681</v>
      </c>
      <c r="H43" s="1025">
        <f>industrie!G22</f>
        <v>0</v>
      </c>
      <c r="I43" s="1025">
        <f>industrie!H22</f>
        <v>0</v>
      </c>
      <c r="J43" s="1025">
        <f>industrie!I22</f>
        <v>0</v>
      </c>
      <c r="K43" s="1025">
        <f>industrie!J22</f>
        <v>6.6883254953547615</v>
      </c>
      <c r="L43" s="1025">
        <f>industrie!K22</f>
        <v>0</v>
      </c>
      <c r="M43" s="1025">
        <f>industrie!L22</f>
        <v>0</v>
      </c>
      <c r="N43" s="1025">
        <f>industrie!M22</f>
        <v>0</v>
      </c>
      <c r="O43" s="1025">
        <f>industrie!N22</f>
        <v>0</v>
      </c>
      <c r="P43" s="1025">
        <f>industrie!O22</f>
        <v>0</v>
      </c>
      <c r="Q43" s="775">
        <f>industrie!P22</f>
        <v>0</v>
      </c>
      <c r="R43" s="850">
        <f t="shared" ca="1" si="4"/>
        <v>7025.7463777232542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17354.665204656765</v>
      </c>
      <c r="D46" s="733">
        <f t="shared" ref="D46:Q46" ca="1" si="5">SUM(D39:D45)</f>
        <v>0</v>
      </c>
      <c r="E46" s="733">
        <f t="shared" ca="1" si="5"/>
        <v>32936.009931066197</v>
      </c>
      <c r="F46" s="733">
        <f t="shared" si="5"/>
        <v>1465.447773271736</v>
      </c>
      <c r="G46" s="733">
        <f t="shared" ca="1" si="5"/>
        <v>2123.7239809651874</v>
      </c>
      <c r="H46" s="733">
        <f t="shared" si="5"/>
        <v>0</v>
      </c>
      <c r="I46" s="733">
        <f t="shared" si="5"/>
        <v>0</v>
      </c>
      <c r="J46" s="733">
        <f t="shared" si="5"/>
        <v>0</v>
      </c>
      <c r="K46" s="733">
        <f t="shared" si="5"/>
        <v>6.6883254953547615</v>
      </c>
      <c r="L46" s="733">
        <f t="shared" si="5"/>
        <v>0</v>
      </c>
      <c r="M46" s="733">
        <f t="shared" ca="1" si="5"/>
        <v>0</v>
      </c>
      <c r="N46" s="733">
        <f t="shared" si="5"/>
        <v>0</v>
      </c>
      <c r="O46" s="733">
        <f t="shared" ca="1" si="5"/>
        <v>0</v>
      </c>
      <c r="P46" s="733">
        <f t="shared" si="5"/>
        <v>0</v>
      </c>
      <c r="Q46" s="733">
        <f t="shared" si="5"/>
        <v>0</v>
      </c>
      <c r="R46" s="733">
        <f ca="1">SUM(R39:R45)</f>
        <v>53886.535215455238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905.51233590135678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905.51233590135678</v>
      </c>
    </row>
    <row r="50" spans="1:18">
      <c r="A50" s="826" t="s">
        <v>307</v>
      </c>
      <c r="B50" s="836"/>
      <c r="C50" s="704">
        <f ca="1">transport!B18</f>
        <v>6.4852318159398648</v>
      </c>
      <c r="D50" s="704">
        <f>transport!C18</f>
        <v>0</v>
      </c>
      <c r="E50" s="704">
        <f>transport!D18</f>
        <v>21.389736868625814</v>
      </c>
      <c r="F50" s="704">
        <f>transport!E18</f>
        <v>177.06590534819489</v>
      </c>
      <c r="G50" s="704">
        <f>transport!F18</f>
        <v>0</v>
      </c>
      <c r="H50" s="704">
        <f>transport!G18</f>
        <v>80686.699957934339</v>
      </c>
      <c r="I50" s="704">
        <f>transport!H18</f>
        <v>10273.535162871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91165.175994838108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6.4852318159398648</v>
      </c>
      <c r="D52" s="733">
        <f t="shared" ref="D52:Q52" ca="1" si="6">SUM(D48:D51)</f>
        <v>0</v>
      </c>
      <c r="E52" s="733">
        <f t="shared" si="6"/>
        <v>21.389736868625814</v>
      </c>
      <c r="F52" s="733">
        <f t="shared" si="6"/>
        <v>177.06590534819489</v>
      </c>
      <c r="G52" s="733">
        <f t="shared" si="6"/>
        <v>0</v>
      </c>
      <c r="H52" s="733">
        <f t="shared" si="6"/>
        <v>81592.212293835692</v>
      </c>
      <c r="I52" s="733">
        <f t="shared" si="6"/>
        <v>10273.535162871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92070.68833073946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707.93772543842954</v>
      </c>
      <c r="D54" s="704">
        <f ca="1">+landbouw!C12</f>
        <v>1785.9176470588238</v>
      </c>
      <c r="E54" s="704">
        <f>+landbouw!D12</f>
        <v>0</v>
      </c>
      <c r="F54" s="704">
        <f>+landbouw!E12</f>
        <v>9.8330076350323043</v>
      </c>
      <c r="G54" s="704">
        <f>+landbouw!F12</f>
        <v>3168.1113807103511</v>
      </c>
      <c r="H54" s="704">
        <f>+landbouw!G12</f>
        <v>0</v>
      </c>
      <c r="I54" s="704">
        <f>+landbouw!H12</f>
        <v>0</v>
      </c>
      <c r="J54" s="704">
        <f>+landbouw!I12</f>
        <v>0</v>
      </c>
      <c r="K54" s="704">
        <f>+landbouw!J12</f>
        <v>253.81257516408306</v>
      </c>
      <c r="L54" s="704">
        <f>+landbouw!K12</f>
        <v>0</v>
      </c>
      <c r="M54" s="704">
        <f>+landbouw!L12</f>
        <v>0</v>
      </c>
      <c r="N54" s="704">
        <f>+landbouw!M12</f>
        <v>0</v>
      </c>
      <c r="O54" s="704">
        <f>+landbouw!N12</f>
        <v>0</v>
      </c>
      <c r="P54" s="704">
        <f>+landbouw!O12</f>
        <v>0</v>
      </c>
      <c r="Q54" s="705">
        <f>+landbouw!P12</f>
        <v>0</v>
      </c>
      <c r="R54" s="732">
        <f ca="1">SUM(C54:Q54)</f>
        <v>5925.6123360067195</v>
      </c>
    </row>
    <row r="55" spans="1:18" ht="15" thickBot="1">
      <c r="A55" s="826" t="s">
        <v>864</v>
      </c>
      <c r="B55" s="836"/>
      <c r="C55" s="704">
        <f ca="1">C25*'EF ele_warmte'!B12</f>
        <v>221.92410453496402</v>
      </c>
      <c r="D55" s="704"/>
      <c r="E55" s="704">
        <f>E25*EF_CO2_aardgas</f>
        <v>596.76966778092435</v>
      </c>
      <c r="F55" s="704"/>
      <c r="G55" s="704"/>
      <c r="H55" s="704"/>
      <c r="I55" s="704"/>
      <c r="J55" s="704"/>
      <c r="K55" s="704"/>
      <c r="L55" s="704"/>
      <c r="M55" s="704"/>
      <c r="N55" s="704"/>
      <c r="O55" s="704"/>
      <c r="P55" s="704"/>
      <c r="Q55" s="705"/>
      <c r="R55" s="732">
        <f ca="1">SUM(C55:Q55)</f>
        <v>818.6937723158884</v>
      </c>
    </row>
    <row r="56" spans="1:18" ht="15.75" thickBot="1">
      <c r="A56" s="824" t="s">
        <v>865</v>
      </c>
      <c r="B56" s="837"/>
      <c r="C56" s="733">
        <f ca="1">SUM(C54:C55)</f>
        <v>929.86182997339358</v>
      </c>
      <c r="D56" s="733">
        <f t="shared" ref="D56:Q56" ca="1" si="7">SUM(D54:D55)</f>
        <v>1785.9176470588238</v>
      </c>
      <c r="E56" s="733">
        <f t="shared" si="7"/>
        <v>596.76966778092435</v>
      </c>
      <c r="F56" s="733">
        <f t="shared" si="7"/>
        <v>9.8330076350323043</v>
      </c>
      <c r="G56" s="733">
        <f t="shared" si="7"/>
        <v>3168.1113807103511</v>
      </c>
      <c r="H56" s="733">
        <f t="shared" si="7"/>
        <v>0</v>
      </c>
      <c r="I56" s="733">
        <f t="shared" si="7"/>
        <v>0</v>
      </c>
      <c r="J56" s="733">
        <f t="shared" si="7"/>
        <v>0</v>
      </c>
      <c r="K56" s="733">
        <f t="shared" si="7"/>
        <v>253.81257516408306</v>
      </c>
      <c r="L56" s="733">
        <f t="shared" si="7"/>
        <v>0</v>
      </c>
      <c r="M56" s="733">
        <f t="shared" si="7"/>
        <v>0</v>
      </c>
      <c r="N56" s="733">
        <f t="shared" si="7"/>
        <v>0</v>
      </c>
      <c r="O56" s="733">
        <f t="shared" si="7"/>
        <v>0</v>
      </c>
      <c r="P56" s="733">
        <f t="shared" si="7"/>
        <v>0</v>
      </c>
      <c r="Q56" s="734">
        <f t="shared" si="7"/>
        <v>0</v>
      </c>
      <c r="R56" s="735">
        <f ca="1">SUM(R54:R55)</f>
        <v>6744.3061083226075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18291.012266446098</v>
      </c>
      <c r="D61" s="741">
        <f t="shared" ref="D61:Q61" ca="1" si="8">D46+D52+D56</f>
        <v>1785.9176470588238</v>
      </c>
      <c r="E61" s="741">
        <f t="shared" ca="1" si="8"/>
        <v>33554.169335715742</v>
      </c>
      <c r="F61" s="741">
        <f t="shared" si="8"/>
        <v>1652.3466862549633</v>
      </c>
      <c r="G61" s="741">
        <f t="shared" ca="1" si="8"/>
        <v>5291.8353616755385</v>
      </c>
      <c r="H61" s="741">
        <f t="shared" si="8"/>
        <v>81592.212293835692</v>
      </c>
      <c r="I61" s="741">
        <f t="shared" si="8"/>
        <v>10273.535162871</v>
      </c>
      <c r="J61" s="741">
        <f t="shared" si="8"/>
        <v>0</v>
      </c>
      <c r="K61" s="741">
        <f t="shared" si="8"/>
        <v>260.50090065943783</v>
      </c>
      <c r="L61" s="741">
        <f t="shared" si="8"/>
        <v>0</v>
      </c>
      <c r="M61" s="741">
        <f t="shared" ca="1" si="8"/>
        <v>0</v>
      </c>
      <c r="N61" s="741">
        <f t="shared" si="8"/>
        <v>0</v>
      </c>
      <c r="O61" s="741">
        <f t="shared" ca="1" si="8"/>
        <v>0</v>
      </c>
      <c r="P61" s="741">
        <f t="shared" si="8"/>
        <v>0</v>
      </c>
      <c r="Q61" s="741">
        <f t="shared" si="8"/>
        <v>0</v>
      </c>
      <c r="R61" s="741">
        <f ca="1">R46+R52+R56</f>
        <v>152701.5296545173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0.15137667179042574</v>
      </c>
      <c r="D63" s="782">
        <f t="shared" ca="1" si="9"/>
        <v>0.2337675965707724</v>
      </c>
      <c r="E63" s="1036">
        <f t="shared" ca="1" si="9"/>
        <v>0.20200000000000001</v>
      </c>
      <c r="F63" s="782">
        <f t="shared" si="9"/>
        <v>0.22700000000000004</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10511.643767809548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10943.664086711262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87.299999999999969</v>
      </c>
      <c r="C76" s="751">
        <f>'lokale energieproductie'!B8*IFERROR(SUM(D76:H76)/SUM(D76:O76),0)</f>
        <v>5260.4999999999991</v>
      </c>
      <c r="D76" s="1046">
        <f>'lokale energieproductie'!C8</f>
        <v>6188.823529411764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102.70588235294115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1250.1423529411763</v>
      </c>
      <c r="R76" s="853">
        <v>0</v>
      </c>
    </row>
    <row r="77" spans="1:18" ht="30.75" thickBot="1">
      <c r="A77" s="754" t="s">
        <v>353</v>
      </c>
      <c r="B77" s="751">
        <f>'lokale energieproductie'!B9*IFERROR(SUM(I77:O77)/SUM(D77:O77),0)</f>
        <v>16920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48342.857142857152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38462.607854520815</v>
      </c>
      <c r="C78" s="756">
        <f>SUM(C72:C77)</f>
        <v>5260.4999999999991</v>
      </c>
      <c r="D78" s="757">
        <f t="shared" ref="D78:H78" si="10">SUM(D76:D77)</f>
        <v>6188.823529411764</v>
      </c>
      <c r="E78" s="757">
        <f t="shared" si="10"/>
        <v>0</v>
      </c>
      <c r="F78" s="757">
        <f t="shared" si="10"/>
        <v>0</v>
      </c>
      <c r="G78" s="757">
        <f t="shared" si="10"/>
        <v>0</v>
      </c>
      <c r="H78" s="757">
        <f t="shared" si="10"/>
        <v>0</v>
      </c>
      <c r="I78" s="757">
        <f>SUM(I76:I77)</f>
        <v>0</v>
      </c>
      <c r="J78" s="757">
        <f>SUM(J76:J77)</f>
        <v>48445.563025210096</v>
      </c>
      <c r="K78" s="757">
        <f t="shared" ref="K78:L78" si="11">SUM(K76:K77)</f>
        <v>0</v>
      </c>
      <c r="L78" s="757">
        <f t="shared" si="11"/>
        <v>0</v>
      </c>
      <c r="M78" s="757">
        <f>SUM(M76:M77)</f>
        <v>0</v>
      </c>
      <c r="N78" s="757">
        <f>SUM(N76:N77)</f>
        <v>0</v>
      </c>
      <c r="O78" s="861">
        <f>SUM(O76:O77)</f>
        <v>0</v>
      </c>
      <c r="P78" s="758">
        <v>0</v>
      </c>
      <c r="Q78" s="758">
        <f>SUM(Q76:Q77)</f>
        <v>1250.1423529411763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124.71428571428569</v>
      </c>
      <c r="C87" s="767">
        <f>'lokale energieproductie'!B17*IFERROR(SUM(D87:H87)/SUM(D87:O87),0)</f>
        <v>7515.0000000000009</v>
      </c>
      <c r="D87" s="778">
        <f>'lokale energieproductie'!C17</f>
        <v>8841.176470588236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146.72268907563023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1785.9176470588238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124.71428571428569</v>
      </c>
      <c r="C90" s="756">
        <f>SUM(C87:C89)</f>
        <v>7515.0000000000009</v>
      </c>
      <c r="D90" s="756">
        <f t="shared" ref="D90:H90" si="12">SUM(D87:D89)</f>
        <v>8841.176470588236</v>
      </c>
      <c r="E90" s="756">
        <f t="shared" si="12"/>
        <v>0</v>
      </c>
      <c r="F90" s="756">
        <f t="shared" si="12"/>
        <v>0</v>
      </c>
      <c r="G90" s="756">
        <f t="shared" si="12"/>
        <v>0</v>
      </c>
      <c r="H90" s="756">
        <f t="shared" si="12"/>
        <v>0</v>
      </c>
      <c r="I90" s="756">
        <f>SUM(I87:I89)</f>
        <v>0</v>
      </c>
      <c r="J90" s="756">
        <f>SUM(J87:J89)</f>
        <v>146.72268907563023</v>
      </c>
      <c r="K90" s="756">
        <f t="shared" ref="K90:L90" si="13">SUM(K87:K89)</f>
        <v>0</v>
      </c>
      <c r="L90" s="756">
        <f t="shared" si="13"/>
        <v>0</v>
      </c>
      <c r="M90" s="756">
        <f>SUM(M87:M89)</f>
        <v>0</v>
      </c>
      <c r="N90" s="756">
        <f>SUM(N87:N89)</f>
        <v>0</v>
      </c>
      <c r="O90" s="756">
        <f>SUM(O87:O89)</f>
        <v>0</v>
      </c>
      <c r="P90" s="756">
        <v>0</v>
      </c>
      <c r="Q90" s="756">
        <f>SUM(Q87:Q89)</f>
        <v>1785.9176470588238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10511.643767809548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10943.664086711262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5347.7999999999993</v>
      </c>
      <c r="C8" s="571">
        <f>B101</f>
        <v>6188.823529411764</v>
      </c>
      <c r="D8" s="1056"/>
      <c r="E8" s="1056">
        <f>E101</f>
        <v>0</v>
      </c>
      <c r="F8" s="1057"/>
      <c r="G8" s="572"/>
      <c r="H8" s="1056">
        <f>I101</f>
        <v>0</v>
      </c>
      <c r="I8" s="1056">
        <f>G101+F101</f>
        <v>0</v>
      </c>
      <c r="J8" s="1056">
        <f>H101+D101+C101</f>
        <v>102.70588235294115</v>
      </c>
      <c r="K8" s="1056"/>
      <c r="L8" s="1056"/>
      <c r="M8" s="1056"/>
      <c r="N8" s="573"/>
      <c r="O8" s="574">
        <f>C8*$C$12+D8*$D$12+E8*$E$12+F8*$F$12+G8*$G$12+H8*$H$12+I8*$I$12+J8*$J$12</f>
        <v>1250.1423529411763</v>
      </c>
      <c r="P8" s="1275"/>
      <c r="Q8" s="1276"/>
      <c r="S8" s="1020"/>
      <c r="T8" s="1250"/>
      <c r="U8" s="1250"/>
    </row>
    <row r="9" spans="1:21" s="560" customFormat="1" ht="17.45" customHeight="1" thickBot="1">
      <c r="A9" s="575" t="s">
        <v>248</v>
      </c>
      <c r="B9" s="576">
        <f>N89+'Eigen informatie GS &amp; warmtenet'!B12</f>
        <v>16920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43723.107854520815</v>
      </c>
      <c r="C10" s="584">
        <f t="shared" ref="C10:L10" si="0">SUM(C8:C9)</f>
        <v>6188.823529411764</v>
      </c>
      <c r="D10" s="584">
        <f t="shared" si="0"/>
        <v>0</v>
      </c>
      <c r="E10" s="584">
        <f t="shared" si="0"/>
        <v>0</v>
      </c>
      <c r="F10" s="584">
        <f t="shared" si="0"/>
        <v>0</v>
      </c>
      <c r="G10" s="584">
        <f t="shared" si="0"/>
        <v>0</v>
      </c>
      <c r="H10" s="584">
        <f t="shared" si="0"/>
        <v>0</v>
      </c>
      <c r="I10" s="584">
        <f t="shared" si="0"/>
        <v>0</v>
      </c>
      <c r="J10" s="584">
        <f t="shared" si="0"/>
        <v>48445.563025210096</v>
      </c>
      <c r="K10" s="584">
        <f t="shared" si="0"/>
        <v>0</v>
      </c>
      <c r="L10" s="584">
        <f t="shared" si="0"/>
        <v>0</v>
      </c>
      <c r="M10" s="1059"/>
      <c r="N10" s="1059"/>
      <c r="O10" s="585">
        <f>SUM(O4:O9)</f>
        <v>1250.1423529411763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7639.7142857142862</v>
      </c>
      <c r="C17" s="596">
        <f>B102</f>
        <v>8841.176470588236</v>
      </c>
      <c r="D17" s="597"/>
      <c r="E17" s="597">
        <f>E102</f>
        <v>0</v>
      </c>
      <c r="F17" s="1062"/>
      <c r="G17" s="598"/>
      <c r="H17" s="596">
        <f>I102</f>
        <v>0</v>
      </c>
      <c r="I17" s="597">
        <f>G102+F102</f>
        <v>0</v>
      </c>
      <c r="J17" s="597">
        <f>H102+D102+C102</f>
        <v>146.72268907563023</v>
      </c>
      <c r="K17" s="597"/>
      <c r="L17" s="597"/>
      <c r="M17" s="597"/>
      <c r="N17" s="1063"/>
      <c r="O17" s="599">
        <f>C17*$C$22+E17*$E$22+H17*$H$22+I17*$I$22+J17*$J$22+D17*$D$22+F17*$F$22+G17*$G$22+K17*$K$22+L17*$L$22</f>
        <v>1785.9176470588238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7639.7142857142862</v>
      </c>
      <c r="C20" s="583">
        <f>SUM(C17:C19)</f>
        <v>8841.176470588236</v>
      </c>
      <c r="D20" s="583">
        <f t="shared" ref="D20:L20" si="1">SUM(D17:D19)</f>
        <v>0</v>
      </c>
      <c r="E20" s="583">
        <f t="shared" si="1"/>
        <v>0</v>
      </c>
      <c r="F20" s="583">
        <f t="shared" si="1"/>
        <v>0</v>
      </c>
      <c r="G20" s="583">
        <f t="shared" si="1"/>
        <v>0</v>
      </c>
      <c r="H20" s="583">
        <f t="shared" si="1"/>
        <v>0</v>
      </c>
      <c r="I20" s="583">
        <f t="shared" si="1"/>
        <v>0</v>
      </c>
      <c r="J20" s="583">
        <f t="shared" si="1"/>
        <v>146.72268907563023</v>
      </c>
      <c r="K20" s="583">
        <f t="shared" si="1"/>
        <v>0</v>
      </c>
      <c r="L20" s="583">
        <f t="shared" si="1"/>
        <v>0</v>
      </c>
      <c r="M20" s="583"/>
      <c r="N20" s="583"/>
      <c r="O20" s="602">
        <f>SUM(O17:O19)</f>
        <v>1785.9176470588238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11009</v>
      </c>
      <c r="C28" s="797">
        <v>2960</v>
      </c>
      <c r="D28" s="654" t="s">
        <v>907</v>
      </c>
      <c r="E28" s="653" t="s">
        <v>908</v>
      </c>
      <c r="F28" s="653" t="s">
        <v>909</v>
      </c>
      <c r="G28" s="653" t="s">
        <v>910</v>
      </c>
      <c r="H28" s="653" t="s">
        <v>911</v>
      </c>
      <c r="I28" s="653" t="s">
        <v>908</v>
      </c>
      <c r="J28" s="796">
        <v>39737</v>
      </c>
      <c r="K28" s="796">
        <v>39737</v>
      </c>
      <c r="L28" s="653" t="s">
        <v>912</v>
      </c>
      <c r="M28" s="653">
        <v>1169</v>
      </c>
      <c r="N28" s="653">
        <v>5260.5</v>
      </c>
      <c r="O28" s="653">
        <v>7515</v>
      </c>
      <c r="P28" s="653">
        <v>15030.000000000002</v>
      </c>
      <c r="Q28" s="653">
        <v>0</v>
      </c>
      <c r="R28" s="653">
        <v>0</v>
      </c>
      <c r="S28" s="653">
        <v>0</v>
      </c>
      <c r="T28" s="653">
        <v>0</v>
      </c>
      <c r="U28" s="653">
        <v>0</v>
      </c>
      <c r="V28" s="653">
        <v>0</v>
      </c>
      <c r="W28" s="653">
        <v>0</v>
      </c>
      <c r="X28" s="653">
        <v>10</v>
      </c>
      <c r="Y28" s="653" t="s">
        <v>112</v>
      </c>
      <c r="Z28" s="655" t="s">
        <v>112</v>
      </c>
    </row>
    <row r="29" spans="1:26" s="607" customFormat="1" ht="25.5">
      <c r="A29" s="606"/>
      <c r="B29" s="797">
        <v>11009</v>
      </c>
      <c r="C29" s="797">
        <v>2960</v>
      </c>
      <c r="D29" s="654" t="s">
        <v>913</v>
      </c>
      <c r="E29" s="653" t="s">
        <v>914</v>
      </c>
      <c r="F29" s="653" t="s">
        <v>915</v>
      </c>
      <c r="G29" s="653" t="s">
        <v>910</v>
      </c>
      <c r="H29" s="653" t="s">
        <v>911</v>
      </c>
      <c r="I29" s="653" t="s">
        <v>914</v>
      </c>
      <c r="J29" s="796">
        <v>41086</v>
      </c>
      <c r="K29" s="796">
        <v>41214</v>
      </c>
      <c r="L29" s="653" t="s">
        <v>912</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25.5">
      <c r="A30" s="606"/>
      <c r="B30" s="797">
        <v>11009</v>
      </c>
      <c r="C30" s="797">
        <v>2960</v>
      </c>
      <c r="D30" s="654" t="s">
        <v>916</v>
      </c>
      <c r="E30" s="653" t="s">
        <v>917</v>
      </c>
      <c r="F30" s="653" t="s">
        <v>918</v>
      </c>
      <c r="G30" s="653" t="s">
        <v>910</v>
      </c>
      <c r="H30" s="653" t="s">
        <v>911</v>
      </c>
      <c r="I30" s="653" t="s">
        <v>919</v>
      </c>
      <c r="J30" s="796">
        <v>41086</v>
      </c>
      <c r="K30" s="796">
        <v>41244</v>
      </c>
      <c r="L30" s="653" t="s">
        <v>912</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1188.4000000000001</v>
      </c>
      <c r="N58" s="611">
        <f>SUM(N28:N57)</f>
        <v>5347.7999999999993</v>
      </c>
      <c r="O58" s="611">
        <f t="shared" ref="O58:W58" si="2">SUM(O28:O57)</f>
        <v>7639.7142857142862</v>
      </c>
      <c r="P58" s="611">
        <f t="shared" si="2"/>
        <v>15030.000000000002</v>
      </c>
      <c r="Q58" s="611">
        <f t="shared" si="2"/>
        <v>249.42857142857139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1188.4000000000001</v>
      </c>
      <c r="N61" s="616">
        <f t="shared" si="4"/>
        <v>5347.7999999999993</v>
      </c>
      <c r="O61" s="616">
        <f t="shared" si="4"/>
        <v>7639.7142857142862</v>
      </c>
      <c r="P61" s="616">
        <f t="shared" si="4"/>
        <v>15030.000000000002</v>
      </c>
      <c r="Q61" s="616">
        <f t="shared" si="4"/>
        <v>249.42857142857139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11009</v>
      </c>
      <c r="C64" s="797">
        <v>2960</v>
      </c>
      <c r="D64" s="656" t="s">
        <v>920</v>
      </c>
      <c r="E64" s="656" t="s">
        <v>921</v>
      </c>
      <c r="F64" s="656" t="s">
        <v>922</v>
      </c>
      <c r="G64" s="656" t="s">
        <v>923</v>
      </c>
      <c r="H64" s="656" t="s">
        <v>924</v>
      </c>
      <c r="I64" s="656" t="s">
        <v>925</v>
      </c>
      <c r="J64" s="796">
        <v>40365</v>
      </c>
      <c r="K64" s="796">
        <v>40704</v>
      </c>
      <c r="L64" s="656" t="s">
        <v>926</v>
      </c>
      <c r="M64" s="656">
        <v>2353</v>
      </c>
      <c r="N64" s="656">
        <v>10588.500000000002</v>
      </c>
      <c r="O64" s="656">
        <v>0</v>
      </c>
      <c r="P64" s="656">
        <v>0</v>
      </c>
      <c r="Q64" s="656">
        <v>30252.857142857149</v>
      </c>
      <c r="R64" s="656">
        <v>0</v>
      </c>
      <c r="S64" s="656">
        <v>0</v>
      </c>
      <c r="T64" s="656">
        <v>0</v>
      </c>
      <c r="U64" s="656">
        <v>0</v>
      </c>
      <c r="V64" s="656">
        <v>0</v>
      </c>
      <c r="W64" s="656">
        <v>0</v>
      </c>
      <c r="X64" s="656">
        <v>1600</v>
      </c>
      <c r="Y64" s="656" t="s">
        <v>50</v>
      </c>
      <c r="Z64" s="657" t="s">
        <v>156</v>
      </c>
    </row>
    <row r="65" spans="1:26" s="622" customFormat="1" ht="63.75">
      <c r="A65" s="608"/>
      <c r="B65" s="797">
        <v>11009</v>
      </c>
      <c r="C65" s="797">
        <v>2960</v>
      </c>
      <c r="D65" s="656" t="s">
        <v>927</v>
      </c>
      <c r="E65" s="656" t="s">
        <v>928</v>
      </c>
      <c r="F65" s="656" t="s">
        <v>929</v>
      </c>
      <c r="G65" s="656" t="s">
        <v>930</v>
      </c>
      <c r="H65" s="656" t="s">
        <v>924</v>
      </c>
      <c r="I65" s="656" t="s">
        <v>931</v>
      </c>
      <c r="J65" s="796">
        <v>39943</v>
      </c>
      <c r="K65" s="796">
        <v>38200</v>
      </c>
      <c r="L65" s="656" t="s">
        <v>926</v>
      </c>
      <c r="M65" s="656">
        <v>1095</v>
      </c>
      <c r="N65" s="656">
        <v>4927.5</v>
      </c>
      <c r="O65" s="656">
        <v>0</v>
      </c>
      <c r="P65" s="656">
        <v>0</v>
      </c>
      <c r="Q65" s="656">
        <v>14078.571428571429</v>
      </c>
      <c r="R65" s="656">
        <v>0</v>
      </c>
      <c r="S65" s="656">
        <v>0</v>
      </c>
      <c r="T65" s="656">
        <v>0</v>
      </c>
      <c r="U65" s="656">
        <v>0</v>
      </c>
      <c r="V65" s="656">
        <v>0</v>
      </c>
      <c r="W65" s="656">
        <v>0</v>
      </c>
      <c r="X65" s="656">
        <v>1600</v>
      </c>
      <c r="Y65" s="656" t="s">
        <v>50</v>
      </c>
      <c r="Z65" s="657" t="s">
        <v>156</v>
      </c>
    </row>
    <row r="66" spans="1:26" s="622" customFormat="1" ht="63.75">
      <c r="A66" s="608"/>
      <c r="B66" s="797">
        <v>11009</v>
      </c>
      <c r="C66" s="797">
        <v>2960</v>
      </c>
      <c r="D66" s="656" t="s">
        <v>926</v>
      </c>
      <c r="E66" s="656" t="s">
        <v>932</v>
      </c>
      <c r="F66" s="656" t="s">
        <v>933</v>
      </c>
      <c r="G66" s="656" t="s">
        <v>934</v>
      </c>
      <c r="H66" s="656" t="s">
        <v>924</v>
      </c>
      <c r="I66" s="656" t="s">
        <v>935</v>
      </c>
      <c r="J66" s="796">
        <v>35323</v>
      </c>
      <c r="K66" s="796">
        <v>37653</v>
      </c>
      <c r="L66" s="656" t="s">
        <v>926</v>
      </c>
      <c r="M66" s="656">
        <v>312</v>
      </c>
      <c r="N66" s="656">
        <v>1404</v>
      </c>
      <c r="O66" s="656">
        <v>0</v>
      </c>
      <c r="P66" s="656">
        <v>0</v>
      </c>
      <c r="Q66" s="656">
        <v>0</v>
      </c>
      <c r="R66" s="656">
        <v>4011.4285714285716</v>
      </c>
      <c r="S66" s="656">
        <v>0</v>
      </c>
      <c r="T66" s="656">
        <v>0</v>
      </c>
      <c r="U66" s="656">
        <v>0</v>
      </c>
      <c r="V66" s="656">
        <v>0</v>
      </c>
      <c r="W66" s="656">
        <v>0</v>
      </c>
      <c r="X66" s="656">
        <v>1600</v>
      </c>
      <c r="Y66" s="656" t="s">
        <v>50</v>
      </c>
      <c r="Z66" s="657" t="s">
        <v>156</v>
      </c>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3760</v>
      </c>
      <c r="N89" s="611">
        <f t="shared" ref="N89:W89" si="5">SUM(N64:N88)</f>
        <v>16920</v>
      </c>
      <c r="O89" s="611">
        <f t="shared" si="5"/>
        <v>0</v>
      </c>
      <c r="P89" s="611">
        <f t="shared" si="5"/>
        <v>0</v>
      </c>
      <c r="Q89" s="611">
        <f t="shared" si="5"/>
        <v>44331.42857142858</v>
      </c>
      <c r="R89" s="611">
        <f t="shared" si="5"/>
        <v>4011.4285714285716</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3760</v>
      </c>
      <c r="N91" s="611">
        <f t="shared" si="7"/>
        <v>16920</v>
      </c>
      <c r="O91" s="611">
        <f t="shared" si="7"/>
        <v>0</v>
      </c>
      <c r="P91" s="611">
        <f t="shared" si="7"/>
        <v>0</v>
      </c>
      <c r="Q91" s="611">
        <f t="shared" si="7"/>
        <v>44331.42857142858</v>
      </c>
      <c r="R91" s="611">
        <f t="shared" si="7"/>
        <v>4011.4285714285716</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6188.823529411764</v>
      </c>
      <c r="C101" s="645">
        <f t="shared" si="9"/>
        <v>102.70588235294115</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8841.176470588236</v>
      </c>
      <c r="C102" s="648">
        <f t="shared" si="10"/>
        <v>146.72268907563023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61466.42862707685</v>
      </c>
      <c r="C4" s="478">
        <f>huishoudens!C8</f>
        <v>0</v>
      </c>
      <c r="D4" s="478">
        <f>huishoudens!D8</f>
        <v>113159.52316653109</v>
      </c>
      <c r="E4" s="478">
        <f>huishoudens!E8</f>
        <v>5193.0025705659646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26987.004660539307</v>
      </c>
      <c r="O4" s="478">
        <f>huishoudens!O8</f>
        <v>317.35666666666668</v>
      </c>
      <c r="P4" s="479">
        <f>huishoudens!P8</f>
        <v>1944.8</v>
      </c>
      <c r="Q4" s="480">
        <f>SUM(B4:P4)</f>
        <v>209068.11569137985</v>
      </c>
    </row>
    <row r="5" spans="1:17">
      <c r="A5" s="477" t="s">
        <v>156</v>
      </c>
      <c r="B5" s="478">
        <f ca="1">tertiair!B16</f>
        <v>42890.561900000001</v>
      </c>
      <c r="C5" s="478">
        <f ca="1">tertiair!C16</f>
        <v>0</v>
      </c>
      <c r="D5" s="478">
        <f ca="1">tertiair!D16</f>
        <v>27940.159427974737</v>
      </c>
      <c r="E5" s="478">
        <f>tertiair!E16</f>
        <v>301.66088063361758</v>
      </c>
      <c r="F5" s="478">
        <f ca="1">tertiair!F16</f>
        <v>3945.9064398693608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12.506666666666668</v>
      </c>
      <c r="P5" s="479">
        <f>tertiair!P16</f>
        <v>57.2</v>
      </c>
      <c r="Q5" s="477">
        <f t="shared" ref="Q5:Q14" ca="1" si="0">SUM(B5:P5)</f>
        <v>75147.995315144377</v>
      </c>
    </row>
    <row r="6" spans="1:17">
      <c r="A6" s="477" t="s">
        <v>194</v>
      </c>
      <c r="B6" s="478">
        <f>'openbare verlichting'!B8</f>
        <v>1721.49</v>
      </c>
      <c r="C6" s="478"/>
      <c r="D6" s="478"/>
      <c r="E6" s="478"/>
      <c r="F6" s="478"/>
      <c r="G6" s="478"/>
      <c r="H6" s="478"/>
      <c r="I6" s="478"/>
      <c r="J6" s="478"/>
      <c r="K6" s="478"/>
      <c r="L6" s="478"/>
      <c r="M6" s="478"/>
      <c r="N6" s="478"/>
      <c r="O6" s="478"/>
      <c r="P6" s="479"/>
      <c r="Q6" s="477">
        <f t="shared" si="0"/>
        <v>1721.49</v>
      </c>
    </row>
    <row r="7" spans="1:17">
      <c r="A7" s="477" t="s">
        <v>112</v>
      </c>
      <c r="B7" s="478">
        <f>landbouw!B8</f>
        <v>4676.6633000000002</v>
      </c>
      <c r="C7" s="478">
        <f>landbouw!C8</f>
        <v>7639.7142857142862</v>
      </c>
      <c r="D7" s="478">
        <f>landbouw!D8</f>
        <v>0</v>
      </c>
      <c r="E7" s="478">
        <f>landbouw!E8</f>
        <v>43.317214251243634</v>
      </c>
      <c r="F7" s="478">
        <f>landbouw!F8</f>
        <v>11865.585695544385</v>
      </c>
      <c r="G7" s="478">
        <f>landbouw!G8</f>
        <v>0</v>
      </c>
      <c r="H7" s="478">
        <f>landbouw!H8</f>
        <v>0</v>
      </c>
      <c r="I7" s="478">
        <f>landbouw!I8</f>
        <v>0</v>
      </c>
      <c r="J7" s="478">
        <f>landbouw!J8</f>
        <v>716.98467560475444</v>
      </c>
      <c r="K7" s="478">
        <f>landbouw!K8</f>
        <v>0</v>
      </c>
      <c r="L7" s="478">
        <f>landbouw!L8</f>
        <v>0</v>
      </c>
      <c r="M7" s="478">
        <f>landbouw!M8</f>
        <v>0</v>
      </c>
      <c r="N7" s="478">
        <f>landbouw!N8</f>
        <v>0</v>
      </c>
      <c r="O7" s="478">
        <f>landbouw!O8</f>
        <v>0</v>
      </c>
      <c r="P7" s="479">
        <f>landbouw!P8</f>
        <v>0</v>
      </c>
      <c r="Q7" s="477">
        <f t="shared" si="0"/>
        <v>24942.265171114668</v>
      </c>
    </row>
    <row r="8" spans="1:17">
      <c r="A8" s="477" t="s">
        <v>650</v>
      </c>
      <c r="B8" s="478">
        <f>industrie!B18</f>
        <v>8567.0919999999987</v>
      </c>
      <c r="C8" s="478">
        <f>industrie!C18</f>
        <v>0</v>
      </c>
      <c r="D8" s="478">
        <f>industrie!D18</f>
        <v>21949.87151968326</v>
      </c>
      <c r="E8" s="478">
        <f>industrie!E18</f>
        <v>961.05361167150068</v>
      </c>
      <c r="F8" s="478">
        <f>industrie!F18</f>
        <v>4008.1159607493182</v>
      </c>
      <c r="G8" s="478">
        <f>industrie!G18</f>
        <v>0</v>
      </c>
      <c r="H8" s="478">
        <f>industrie!H18</f>
        <v>0</v>
      </c>
      <c r="I8" s="478">
        <f>industrie!I18</f>
        <v>0</v>
      </c>
      <c r="J8" s="478">
        <f>industrie!J18</f>
        <v>18.89357484563492</v>
      </c>
      <c r="K8" s="478">
        <f>industrie!K18</f>
        <v>0</v>
      </c>
      <c r="L8" s="478">
        <f>industrie!L18</f>
        <v>0</v>
      </c>
      <c r="M8" s="478">
        <f>industrie!M18</f>
        <v>0</v>
      </c>
      <c r="N8" s="478">
        <f>industrie!N18</f>
        <v>1515.279885723902</v>
      </c>
      <c r="O8" s="478">
        <f>industrie!O18</f>
        <v>0</v>
      </c>
      <c r="P8" s="479">
        <f>industrie!P18</f>
        <v>0</v>
      </c>
      <c r="Q8" s="477">
        <f t="shared" si="0"/>
        <v>37020.306552673617</v>
      </c>
    </row>
    <row r="9" spans="1:17" s="483" customFormat="1">
      <c r="A9" s="481" t="s">
        <v>571</v>
      </c>
      <c r="B9" s="482">
        <f>transport!B14</f>
        <v>42.841685837289234</v>
      </c>
      <c r="C9" s="482">
        <f>transport!C14</f>
        <v>0</v>
      </c>
      <c r="D9" s="482">
        <f>transport!D14</f>
        <v>105.88978647834561</v>
      </c>
      <c r="E9" s="482">
        <f>transport!E14</f>
        <v>780.02601474975722</v>
      </c>
      <c r="F9" s="482">
        <f>transport!F14</f>
        <v>0</v>
      </c>
      <c r="G9" s="482">
        <f>transport!G14</f>
        <v>302197.37811960425</v>
      </c>
      <c r="H9" s="482">
        <f>transport!H14</f>
        <v>41259.177360927708</v>
      </c>
      <c r="I9" s="482">
        <f>transport!I14</f>
        <v>0</v>
      </c>
      <c r="J9" s="482">
        <f>transport!J14</f>
        <v>0</v>
      </c>
      <c r="K9" s="482">
        <f>transport!K14</f>
        <v>0</v>
      </c>
      <c r="L9" s="482">
        <f>transport!L14</f>
        <v>0</v>
      </c>
      <c r="M9" s="482">
        <f>transport!M14</f>
        <v>18750.827649428033</v>
      </c>
      <c r="N9" s="482">
        <f>transport!N14</f>
        <v>0</v>
      </c>
      <c r="O9" s="482">
        <f>transport!O14</f>
        <v>0</v>
      </c>
      <c r="P9" s="482">
        <f>transport!P14</f>
        <v>0</v>
      </c>
      <c r="Q9" s="481">
        <f>SUM(B9:P9)</f>
        <v>363136.14061702538</v>
      </c>
    </row>
    <row r="10" spans="1:17">
      <c r="A10" s="477" t="s">
        <v>561</v>
      </c>
      <c r="B10" s="478">
        <f>transport!B54</f>
        <v>0</v>
      </c>
      <c r="C10" s="478">
        <f>transport!C54</f>
        <v>0</v>
      </c>
      <c r="D10" s="478">
        <f>transport!D54</f>
        <v>0</v>
      </c>
      <c r="E10" s="478">
        <f>transport!E54</f>
        <v>0</v>
      </c>
      <c r="F10" s="478">
        <f>transport!F54</f>
        <v>0</v>
      </c>
      <c r="G10" s="478">
        <f>transport!G54</f>
        <v>3391.4319696680027</v>
      </c>
      <c r="H10" s="478">
        <f>transport!H54</f>
        <v>0</v>
      </c>
      <c r="I10" s="478">
        <f>transport!I54</f>
        <v>0</v>
      </c>
      <c r="J10" s="478">
        <f>transport!J54</f>
        <v>0</v>
      </c>
      <c r="K10" s="478">
        <f>transport!K54</f>
        <v>0</v>
      </c>
      <c r="L10" s="478">
        <f>transport!L54</f>
        <v>0</v>
      </c>
      <c r="M10" s="478">
        <f>transport!M54</f>
        <v>193.40347867190522</v>
      </c>
      <c r="N10" s="478">
        <f>transport!N54</f>
        <v>0</v>
      </c>
      <c r="O10" s="478">
        <f>transport!O54</f>
        <v>0</v>
      </c>
      <c r="P10" s="479">
        <f>transport!P54</f>
        <v>0</v>
      </c>
      <c r="Q10" s="477">
        <f t="shared" si="0"/>
        <v>3584.835448339908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1466.039</v>
      </c>
      <c r="C14" s="485"/>
      <c r="D14" s="485">
        <f>'SEAP template'!E25</f>
        <v>2954.3052860441799</v>
      </c>
      <c r="E14" s="485"/>
      <c r="F14" s="485"/>
      <c r="G14" s="485"/>
      <c r="H14" s="485"/>
      <c r="I14" s="485"/>
      <c r="J14" s="485"/>
      <c r="K14" s="485"/>
      <c r="L14" s="485"/>
      <c r="M14" s="485"/>
      <c r="N14" s="485"/>
      <c r="O14" s="485"/>
      <c r="P14" s="486"/>
      <c r="Q14" s="477">
        <f t="shared" si="0"/>
        <v>4420.3442860441801</v>
      </c>
    </row>
    <row r="15" spans="1:17" s="487" customFormat="1">
      <c r="A15" s="1051" t="s">
        <v>565</v>
      </c>
      <c r="B15" s="991">
        <f ca="1">SUM(B4:B14)</f>
        <v>120831.11651291416</v>
      </c>
      <c r="C15" s="991">
        <f t="shared" ref="C15:Q15" ca="1" si="1">SUM(C4:C14)</f>
        <v>7639.7142857142862</v>
      </c>
      <c r="D15" s="991">
        <f t="shared" ca="1" si="1"/>
        <v>166109.74918671159</v>
      </c>
      <c r="E15" s="991">
        <f t="shared" si="1"/>
        <v>7279.0602918720833</v>
      </c>
      <c r="F15" s="991">
        <f t="shared" ca="1" si="1"/>
        <v>19819.608096163065</v>
      </c>
      <c r="G15" s="991">
        <f t="shared" si="1"/>
        <v>305588.81008927227</v>
      </c>
      <c r="H15" s="991">
        <f t="shared" si="1"/>
        <v>41259.177360927708</v>
      </c>
      <c r="I15" s="991">
        <f t="shared" si="1"/>
        <v>0</v>
      </c>
      <c r="J15" s="991">
        <f t="shared" si="1"/>
        <v>735.87825045038937</v>
      </c>
      <c r="K15" s="991">
        <f t="shared" si="1"/>
        <v>0</v>
      </c>
      <c r="L15" s="991">
        <f t="shared" ca="1" si="1"/>
        <v>0</v>
      </c>
      <c r="M15" s="991">
        <f t="shared" si="1"/>
        <v>18944.231128099938</v>
      </c>
      <c r="N15" s="991">
        <f t="shared" ca="1" si="1"/>
        <v>28502.28454626321</v>
      </c>
      <c r="O15" s="991">
        <f t="shared" si="1"/>
        <v>329.86333333333334</v>
      </c>
      <c r="P15" s="991">
        <f t="shared" si="1"/>
        <v>2002</v>
      </c>
      <c r="Q15" s="991">
        <f t="shared" ca="1" si="1"/>
        <v>719041.49308172194</v>
      </c>
    </row>
    <row r="17" spans="1:17">
      <c r="A17" s="488" t="s">
        <v>566</v>
      </c>
      <c r="B17" s="787">
        <f ca="1">huishoudens!B10</f>
        <v>0.15137667179042577</v>
      </c>
      <c r="C17" s="787">
        <f ca="1">huishoudens!C10</f>
        <v>0.2337675965707724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9304.5833924106428</v>
      </c>
      <c r="C22" s="478">
        <f t="shared" ref="C22:C32" ca="1" si="3">C4*$C$17</f>
        <v>0</v>
      </c>
      <c r="D22" s="478">
        <f t="shared" ref="D22:D32" si="4">D4*$D$17</f>
        <v>22858.223679639279</v>
      </c>
      <c r="E22" s="478">
        <f t="shared" ref="E22:E32" si="5">E4*$E$17</f>
        <v>1178.811583518474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33341.618655568396</v>
      </c>
    </row>
    <row r="23" spans="1:17">
      <c r="A23" s="477" t="s">
        <v>156</v>
      </c>
      <c r="B23" s="478">
        <f t="shared" ca="1" si="2"/>
        <v>6492.6305116432404</v>
      </c>
      <c r="C23" s="478">
        <f t="shared" ca="1" si="3"/>
        <v>0</v>
      </c>
      <c r="D23" s="478">
        <f t="shared" ca="1" si="4"/>
        <v>5643.9122044508977</v>
      </c>
      <c r="E23" s="478">
        <f t="shared" si="5"/>
        <v>68.477019903831192</v>
      </c>
      <c r="F23" s="478">
        <f t="shared" ca="1" si="6"/>
        <v>1053.5570194451193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13258.576755443088</v>
      </c>
    </row>
    <row r="24" spans="1:17">
      <c r="A24" s="477" t="s">
        <v>194</v>
      </c>
      <c r="B24" s="478">
        <f t="shared" ca="1" si="2"/>
        <v>260.59342672050008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260.59342672050008</v>
      </c>
    </row>
    <row r="25" spans="1:17">
      <c r="A25" s="477" t="s">
        <v>112</v>
      </c>
      <c r="B25" s="478">
        <f t="shared" ca="1" si="2"/>
        <v>707.93772543842954</v>
      </c>
      <c r="C25" s="478">
        <f t="shared" ca="1" si="3"/>
        <v>1785.9176470588238</v>
      </c>
      <c r="D25" s="478">
        <f t="shared" si="4"/>
        <v>0</v>
      </c>
      <c r="E25" s="478">
        <f t="shared" si="5"/>
        <v>9.8330076350323043</v>
      </c>
      <c r="F25" s="478">
        <f t="shared" si="6"/>
        <v>3168.1113807103511</v>
      </c>
      <c r="G25" s="478">
        <f t="shared" si="7"/>
        <v>0</v>
      </c>
      <c r="H25" s="478">
        <f t="shared" si="8"/>
        <v>0</v>
      </c>
      <c r="I25" s="478">
        <f t="shared" si="9"/>
        <v>0</v>
      </c>
      <c r="J25" s="478">
        <f t="shared" si="10"/>
        <v>253.81257516408306</v>
      </c>
      <c r="K25" s="478">
        <f t="shared" si="11"/>
        <v>0</v>
      </c>
      <c r="L25" s="478">
        <f t="shared" si="12"/>
        <v>0</v>
      </c>
      <c r="M25" s="478">
        <f t="shared" si="13"/>
        <v>0</v>
      </c>
      <c r="N25" s="478">
        <f t="shared" si="14"/>
        <v>0</v>
      </c>
      <c r="O25" s="478">
        <f t="shared" si="15"/>
        <v>0</v>
      </c>
      <c r="P25" s="479">
        <f t="shared" si="16"/>
        <v>0</v>
      </c>
      <c r="Q25" s="477">
        <f t="shared" ca="1" si="17"/>
        <v>5925.6123360067195</v>
      </c>
    </row>
    <row r="26" spans="1:17">
      <c r="A26" s="477" t="s">
        <v>650</v>
      </c>
      <c r="B26" s="478">
        <f t="shared" ca="1" si="2"/>
        <v>1296.8578738823821</v>
      </c>
      <c r="C26" s="478">
        <f t="shared" ca="1" si="3"/>
        <v>0</v>
      </c>
      <c r="D26" s="478">
        <f t="shared" si="4"/>
        <v>4433.8740469760187</v>
      </c>
      <c r="E26" s="478">
        <f t="shared" si="5"/>
        <v>218.15916984943067</v>
      </c>
      <c r="F26" s="478">
        <f t="shared" si="6"/>
        <v>1070.1669615200681</v>
      </c>
      <c r="G26" s="478">
        <f t="shared" si="7"/>
        <v>0</v>
      </c>
      <c r="H26" s="478">
        <f t="shared" si="8"/>
        <v>0</v>
      </c>
      <c r="I26" s="478">
        <f t="shared" si="9"/>
        <v>0</v>
      </c>
      <c r="J26" s="478">
        <f t="shared" si="10"/>
        <v>6.6883254953547615</v>
      </c>
      <c r="K26" s="478">
        <f t="shared" si="11"/>
        <v>0</v>
      </c>
      <c r="L26" s="478">
        <f t="shared" si="12"/>
        <v>0</v>
      </c>
      <c r="M26" s="478">
        <f t="shared" si="13"/>
        <v>0</v>
      </c>
      <c r="N26" s="478">
        <f t="shared" si="14"/>
        <v>0</v>
      </c>
      <c r="O26" s="478">
        <f t="shared" si="15"/>
        <v>0</v>
      </c>
      <c r="P26" s="479">
        <f t="shared" si="16"/>
        <v>0</v>
      </c>
      <c r="Q26" s="477">
        <f t="shared" ca="1" si="17"/>
        <v>7025.7463777232542</v>
      </c>
    </row>
    <row r="27" spans="1:17" s="483" customFormat="1">
      <c r="A27" s="481" t="s">
        <v>571</v>
      </c>
      <c r="B27" s="781">
        <f t="shared" ca="1" si="2"/>
        <v>6.4852318159398648</v>
      </c>
      <c r="C27" s="482">
        <f t="shared" ca="1" si="3"/>
        <v>0</v>
      </c>
      <c r="D27" s="482">
        <f t="shared" si="4"/>
        <v>21.389736868625814</v>
      </c>
      <c r="E27" s="482">
        <f t="shared" si="5"/>
        <v>177.06590534819489</v>
      </c>
      <c r="F27" s="482">
        <f t="shared" si="6"/>
        <v>0</v>
      </c>
      <c r="G27" s="482">
        <f t="shared" si="7"/>
        <v>80686.699957934339</v>
      </c>
      <c r="H27" s="482">
        <f t="shared" si="8"/>
        <v>10273.535162871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91165.175994838108</v>
      </c>
    </row>
    <row r="28" spans="1:17">
      <c r="A28" s="477" t="s">
        <v>561</v>
      </c>
      <c r="B28" s="478">
        <f t="shared" ca="1" si="2"/>
        <v>0</v>
      </c>
      <c r="C28" s="478">
        <f t="shared" ca="1" si="3"/>
        <v>0</v>
      </c>
      <c r="D28" s="478">
        <f t="shared" si="4"/>
        <v>0</v>
      </c>
      <c r="E28" s="478">
        <f t="shared" si="5"/>
        <v>0</v>
      </c>
      <c r="F28" s="478">
        <f t="shared" si="6"/>
        <v>0</v>
      </c>
      <c r="G28" s="478">
        <f t="shared" si="7"/>
        <v>905.51233590135678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905.51233590135678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221.92410453496402</v>
      </c>
      <c r="C32" s="478">
        <f t="shared" ca="1" si="3"/>
        <v>0</v>
      </c>
      <c r="D32" s="478">
        <f t="shared" si="4"/>
        <v>596.76966778092435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818.6937723158884</v>
      </c>
    </row>
    <row r="33" spans="1:17" s="487" customFormat="1">
      <c r="A33" s="1051" t="s">
        <v>565</v>
      </c>
      <c r="B33" s="991">
        <f ca="1">SUM(B22:B32)</f>
        <v>18291.012266446094</v>
      </c>
      <c r="C33" s="991">
        <f t="shared" ref="C33:Q33" ca="1" si="18">SUM(C22:C32)</f>
        <v>1785.9176470588238</v>
      </c>
      <c r="D33" s="991">
        <f t="shared" ca="1" si="18"/>
        <v>33554.169335715742</v>
      </c>
      <c r="E33" s="991">
        <f t="shared" si="18"/>
        <v>1652.3466862549631</v>
      </c>
      <c r="F33" s="991">
        <f t="shared" ca="1" si="18"/>
        <v>5291.8353616755385</v>
      </c>
      <c r="G33" s="991">
        <f t="shared" si="18"/>
        <v>81592.212293835692</v>
      </c>
      <c r="H33" s="991">
        <f t="shared" si="18"/>
        <v>10273.535162871</v>
      </c>
      <c r="I33" s="991">
        <f t="shared" si="18"/>
        <v>0</v>
      </c>
      <c r="J33" s="991">
        <f t="shared" si="18"/>
        <v>260.50090065943783</v>
      </c>
      <c r="K33" s="991">
        <f t="shared" si="18"/>
        <v>0</v>
      </c>
      <c r="L33" s="991">
        <f t="shared" ca="1" si="18"/>
        <v>0</v>
      </c>
      <c r="M33" s="991">
        <f t="shared" si="18"/>
        <v>0</v>
      </c>
      <c r="N33" s="991">
        <f t="shared" ca="1" si="18"/>
        <v>0</v>
      </c>
      <c r="O33" s="991">
        <f t="shared" si="18"/>
        <v>0</v>
      </c>
      <c r="P33" s="991">
        <f t="shared" si="18"/>
        <v>0</v>
      </c>
      <c r="Q33" s="991">
        <f t="shared" ca="1" si="18"/>
        <v>152701.5296545173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10511.643767809548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10943.664086711262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87.299999999999969</v>
      </c>
      <c r="C8" s="1068">
        <f>'SEAP template'!C76</f>
        <v>5260.4999999999991</v>
      </c>
      <c r="D8" s="1068">
        <f>'SEAP template'!D76</f>
        <v>6188.823529411764</v>
      </c>
      <c r="E8" s="1068">
        <f>'SEAP template'!E76</f>
        <v>0</v>
      </c>
      <c r="F8" s="1068">
        <f>'SEAP template'!F76</f>
        <v>0</v>
      </c>
      <c r="G8" s="1068">
        <f>'SEAP template'!G76</f>
        <v>0</v>
      </c>
      <c r="H8" s="1068">
        <f>'SEAP template'!H76</f>
        <v>0</v>
      </c>
      <c r="I8" s="1068">
        <f>'SEAP template'!I76</f>
        <v>0</v>
      </c>
      <c r="J8" s="1068">
        <f>'SEAP template'!J76</f>
        <v>102.70588235294115</v>
      </c>
      <c r="K8" s="1068">
        <f>'SEAP template'!K76</f>
        <v>0</v>
      </c>
      <c r="L8" s="1068">
        <f>'SEAP template'!L76</f>
        <v>0</v>
      </c>
      <c r="M8" s="1068">
        <f>'SEAP template'!M76</f>
        <v>0</v>
      </c>
      <c r="N8" s="1068">
        <f>'SEAP template'!N76</f>
        <v>0</v>
      </c>
      <c r="O8" s="1068">
        <f>'SEAP template'!O76</f>
        <v>0</v>
      </c>
      <c r="P8" s="1069">
        <f>'SEAP template'!Q76</f>
        <v>1250.1423529411763</v>
      </c>
    </row>
    <row r="9" spans="1:16">
      <c r="A9" s="1071" t="s">
        <v>880</v>
      </c>
      <c r="B9" s="1068">
        <f>'SEAP template'!B77</f>
        <v>16920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48342.857142857152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38462.607854520815</v>
      </c>
      <c r="C10" s="1072">
        <f>SUM(C4:C9)</f>
        <v>5260.4999999999991</v>
      </c>
      <c r="D10" s="1072">
        <f t="shared" ref="D10:H10" si="0">SUM(D8:D9)</f>
        <v>6188.823529411764</v>
      </c>
      <c r="E10" s="1072">
        <f t="shared" si="0"/>
        <v>0</v>
      </c>
      <c r="F10" s="1072">
        <f t="shared" si="0"/>
        <v>0</v>
      </c>
      <c r="G10" s="1072">
        <f t="shared" si="0"/>
        <v>0</v>
      </c>
      <c r="H10" s="1072">
        <f t="shared" si="0"/>
        <v>0</v>
      </c>
      <c r="I10" s="1072">
        <f>SUM(I8:I9)</f>
        <v>0</v>
      </c>
      <c r="J10" s="1072">
        <f>SUM(J8:J9)</f>
        <v>48445.563025210096</v>
      </c>
      <c r="K10" s="1072">
        <f t="shared" ref="K10:L10" si="1">SUM(K8:K9)</f>
        <v>0</v>
      </c>
      <c r="L10" s="1072">
        <f t="shared" si="1"/>
        <v>0</v>
      </c>
      <c r="M10" s="1072">
        <f>SUM(M8:M9)</f>
        <v>0</v>
      </c>
      <c r="N10" s="1072">
        <f>SUM(N8:N9)</f>
        <v>0</v>
      </c>
      <c r="O10" s="1072">
        <f>SUM(O8:O9)</f>
        <v>0</v>
      </c>
      <c r="P10" s="1072">
        <f>SUM(P8:P9)</f>
        <v>1250.1423529411763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0.15137667179042577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124.71428571428569</v>
      </c>
      <c r="C17" s="1074">
        <f>'SEAP template'!C87</f>
        <v>7515.0000000000009</v>
      </c>
      <c r="D17" s="1069">
        <f>'SEAP template'!D87</f>
        <v>8841.176470588236</v>
      </c>
      <c r="E17" s="1069">
        <f>'SEAP template'!E87</f>
        <v>0</v>
      </c>
      <c r="F17" s="1069">
        <f>'SEAP template'!F87</f>
        <v>0</v>
      </c>
      <c r="G17" s="1069">
        <f>'SEAP template'!G87</f>
        <v>0</v>
      </c>
      <c r="H17" s="1069">
        <f>'SEAP template'!H87</f>
        <v>0</v>
      </c>
      <c r="I17" s="1069">
        <f>'SEAP template'!I87</f>
        <v>0</v>
      </c>
      <c r="J17" s="1069">
        <f>'SEAP template'!J87</f>
        <v>146.72268907563023</v>
      </c>
      <c r="K17" s="1069">
        <f>'SEAP template'!K87</f>
        <v>0</v>
      </c>
      <c r="L17" s="1069">
        <f>'SEAP template'!L87</f>
        <v>0</v>
      </c>
      <c r="M17" s="1069">
        <f>'SEAP template'!M87</f>
        <v>0</v>
      </c>
      <c r="N17" s="1069">
        <f>'SEAP template'!N87</f>
        <v>0</v>
      </c>
      <c r="O17" s="1069">
        <f>'SEAP template'!O87</f>
        <v>0</v>
      </c>
      <c r="P17" s="1069">
        <f>'SEAP template'!Q87</f>
        <v>1785.9176470588238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124.71428571428569</v>
      </c>
      <c r="C20" s="1072">
        <f>SUM(C17:C19)</f>
        <v>7515.0000000000009</v>
      </c>
      <c r="D20" s="1072">
        <f t="shared" ref="D20:H20" si="2">SUM(D17:D19)</f>
        <v>8841.176470588236</v>
      </c>
      <c r="E20" s="1072">
        <f t="shared" si="2"/>
        <v>0</v>
      </c>
      <c r="F20" s="1072">
        <f t="shared" si="2"/>
        <v>0</v>
      </c>
      <c r="G20" s="1072">
        <f t="shared" si="2"/>
        <v>0</v>
      </c>
      <c r="H20" s="1072">
        <f t="shared" si="2"/>
        <v>0</v>
      </c>
      <c r="I20" s="1072">
        <f>SUM(I17:I19)</f>
        <v>0</v>
      </c>
      <c r="J20" s="1072">
        <f>SUM(J17:J19)</f>
        <v>146.72268907563023</v>
      </c>
      <c r="K20" s="1072">
        <f t="shared" ref="K20:L20" si="3">SUM(K17:K19)</f>
        <v>0</v>
      </c>
      <c r="L20" s="1072">
        <f t="shared" si="3"/>
        <v>0</v>
      </c>
      <c r="M20" s="1072">
        <f>SUM(M17:M19)</f>
        <v>0</v>
      </c>
      <c r="N20" s="1072">
        <f>SUM(N17:N19)</f>
        <v>0</v>
      </c>
      <c r="O20" s="1072">
        <f>SUM(O17:O19)</f>
        <v>0</v>
      </c>
      <c r="P20" s="1072">
        <f>SUM(P17:P19)</f>
        <v>1785.9176470588238</v>
      </c>
    </row>
    <row r="22" spans="1:16">
      <c r="A22" s="488" t="s">
        <v>888</v>
      </c>
      <c r="B22" s="787" t="s">
        <v>882</v>
      </c>
      <c r="C22" s="787">
        <f ca="1">'EF ele_warmte'!B22</f>
        <v>0.2337675965707724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0.15137667179042577</v>
      </c>
      <c r="C17" s="525">
        <f ca="1">'EF ele_warmte'!B22</f>
        <v>0.2337675965707724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2019-08-12T08:06:18Z</dcterms:modified>
</cp:coreProperties>
</file>