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F89" i="14" s="1"/>
  <c r="F19" i="59" s="1"/>
  <c r="D19" i="18"/>
  <c r="E89" i="14" s="1"/>
  <c r="E19" i="59" s="1"/>
  <c r="C19" i="18"/>
  <c r="D89" i="14" s="1"/>
  <c r="D19" i="59" s="1"/>
  <c r="B19" i="18"/>
  <c r="N18"/>
  <c r="L88" i="14" s="1"/>
  <c r="M18" i="18"/>
  <c r="L18"/>
  <c r="K18"/>
  <c r="J18"/>
  <c r="J88" i="14" s="1"/>
  <c r="J18" i="59" s="1"/>
  <c r="I18" i="18"/>
  <c r="H18"/>
  <c r="G18"/>
  <c r="H88" i="14" s="1"/>
  <c r="F18" i="18"/>
  <c r="F20" s="1"/>
  <c r="E18"/>
  <c r="D18"/>
  <c r="D20" s="1"/>
  <c r="C18"/>
  <c r="B18"/>
  <c r="L9"/>
  <c r="O77" i="14" s="1"/>
  <c r="O9" i="59" s="1"/>
  <c r="K9" i="18"/>
  <c r="N77" i="14" s="1"/>
  <c r="I9" i="18"/>
  <c r="G9"/>
  <c r="G10" s="1"/>
  <c r="F9"/>
  <c r="F10" s="1"/>
  <c r="D9"/>
  <c r="E77" i="14" s="1"/>
  <c r="E9" i="59" s="1"/>
  <c r="K22" i="18"/>
  <c r="J22"/>
  <c r="I22"/>
  <c r="H22"/>
  <c r="K12"/>
  <c r="J12"/>
  <c r="I12"/>
  <c r="H12"/>
  <c r="W92"/>
  <c r="V92"/>
  <c r="U92"/>
  <c r="T92"/>
  <c r="S92"/>
  <c r="R92"/>
  <c r="Q92"/>
  <c r="P92"/>
  <c r="O92"/>
  <c r="N92"/>
  <c r="M92"/>
  <c r="W91"/>
  <c r="V91"/>
  <c r="U91"/>
  <c r="T91"/>
  <c r="S91"/>
  <c r="R91"/>
  <c r="Q91"/>
  <c r="P91"/>
  <c r="O91"/>
  <c r="N91"/>
  <c r="M91"/>
  <c r="W90"/>
  <c r="V90"/>
  <c r="U90"/>
  <c r="T90"/>
  <c r="S90"/>
  <c r="R90"/>
  <c r="Q90"/>
  <c r="P90"/>
  <c r="O90"/>
  <c r="C16" i="16" s="1"/>
  <c r="N90" i="18"/>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B6"/>
  <c r="B5"/>
  <c r="B73" i="14" s="1"/>
  <c r="B5" i="59" s="1"/>
  <c r="B4" i="18"/>
  <c r="B72" i="14" s="1"/>
  <c r="B4" i="59" s="1"/>
  <c r="L6" i="17"/>
  <c r="D6"/>
  <c r="C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M89" i="14"/>
  <c r="M19" i="59" s="1"/>
  <c r="L89" i="14"/>
  <c r="L19" i="59" s="1"/>
  <c r="K89" i="14"/>
  <c r="K19" i="59" s="1"/>
  <c r="K20" s="1"/>
  <c r="M88" i="14"/>
  <c r="M18"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L10"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L54"/>
  <c r="L56" s="1"/>
  <c r="J54"/>
  <c r="J56" s="1"/>
  <c r="I54"/>
  <c r="I56" s="1"/>
  <c r="H54"/>
  <c r="H56" s="1"/>
  <c r="Q24"/>
  <c r="P24"/>
  <c r="P26" s="1"/>
  <c r="N24"/>
  <c r="L24"/>
  <c r="J24"/>
  <c r="I24"/>
  <c r="H24"/>
  <c r="Q50"/>
  <c r="P50"/>
  <c r="O50"/>
  <c r="M50"/>
  <c r="L50"/>
  <c r="K50"/>
  <c r="J50"/>
  <c r="G50"/>
  <c r="D50"/>
  <c r="Q49"/>
  <c r="P49"/>
  <c r="Q20"/>
  <c r="P20"/>
  <c r="O20"/>
  <c r="O22" s="1"/>
  <c r="M20"/>
  <c r="L20"/>
  <c r="K20"/>
  <c r="J20"/>
  <c r="J22" s="1"/>
  <c r="G20"/>
  <c r="G22" s="1"/>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P56"/>
  <c r="Q52"/>
  <c r="R44"/>
  <c r="E25"/>
  <c r="E55" s="1"/>
  <c r="C25"/>
  <c r="B14" i="48" s="1"/>
  <c r="Q26" i="14"/>
  <c r="N26"/>
  <c r="L26"/>
  <c r="J26"/>
  <c r="I26"/>
  <c r="H26"/>
  <c r="K22"/>
  <c r="R12"/>
  <c r="N78" l="1"/>
  <c r="N9" i="59"/>
  <c r="N10" s="1"/>
  <c r="L90" i="14"/>
  <c r="L18" i="59"/>
  <c r="L20" s="1"/>
  <c r="Q14" i="48"/>
  <c r="H90" i="14"/>
  <c r="H18" i="59"/>
  <c r="H20"/>
  <c r="C98" i="18"/>
  <c r="F101" s="1"/>
  <c r="P22" i="14"/>
  <c r="E20" i="59"/>
  <c r="L10" i="18"/>
  <c r="B16" i="16"/>
  <c r="O10" i="59"/>
  <c r="D14" i="48"/>
  <c r="K78" i="14"/>
  <c r="B17" i="18"/>
  <c r="B20" s="1"/>
  <c r="M77" i="14"/>
  <c r="M9" i="59" s="1"/>
  <c r="H9" i="18"/>
  <c r="D22" i="14"/>
  <c r="L22"/>
  <c r="E10" i="59"/>
  <c r="B8" i="18"/>
  <c r="Q22" i="14"/>
  <c r="I77"/>
  <c r="I9" i="59" s="1"/>
  <c r="B13" i="15"/>
  <c r="B10" i="18"/>
  <c r="N13" i="15"/>
  <c r="L13"/>
  <c r="F77" i="14"/>
  <c r="F9" i="59" s="1"/>
  <c r="H101" i="18"/>
  <c r="D101"/>
  <c r="C101"/>
  <c r="O9"/>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B89" l="1"/>
  <c r="B19" i="59" s="1"/>
  <c r="J17" i="18"/>
  <c r="J20" s="1"/>
  <c r="G101"/>
  <c r="I8" s="1"/>
  <c r="I76" i="14" s="1"/>
  <c r="I8" i="59" s="1"/>
  <c r="I10" s="1"/>
  <c r="B101" i="18"/>
  <c r="C8" s="1"/>
  <c r="G90" i="14"/>
  <c r="C89"/>
  <c r="C19" i="59" s="1"/>
  <c r="E101" i="18"/>
  <c r="E8" s="1"/>
  <c r="N90" i="14"/>
  <c r="N18" i="59"/>
  <c r="N20" s="1"/>
  <c r="H78" i="14"/>
  <c r="H9" i="59"/>
  <c r="H10" s="1"/>
  <c r="O90" i="14"/>
  <c r="O18" i="59"/>
  <c r="O20" s="1"/>
  <c r="Q89" i="14"/>
  <c r="P19" i="59" s="1"/>
  <c r="I101" i="18"/>
  <c r="H8" s="1"/>
  <c r="H10" s="1"/>
  <c r="Q77" i="14"/>
  <c r="P9" i="59" s="1"/>
  <c r="C77" i="14"/>
  <c r="C9" i="59" s="1"/>
  <c r="H20" i="18"/>
  <c r="M87" i="14"/>
  <c r="F76"/>
  <c r="E10" i="18"/>
  <c r="C20"/>
  <c r="D87" i="14"/>
  <c r="D17" i="59" s="1"/>
  <c r="D20" s="1"/>
  <c r="B88" i="14"/>
  <c r="B18" i="59" s="1"/>
  <c r="I17" i="18"/>
  <c r="O17" s="1"/>
  <c r="O20" s="1"/>
  <c r="D76" i="14"/>
  <c r="D8" i="59" s="1"/>
  <c r="D10" s="1"/>
  <c r="C10" i="18"/>
  <c r="J8"/>
  <c r="C88" i="14"/>
  <c r="C18" i="59" s="1"/>
  <c r="B77" i="14"/>
  <c r="B9" i="59" s="1"/>
  <c r="E20" i="18"/>
  <c r="F87" i="14"/>
  <c r="Q88"/>
  <c r="P18" i="59" s="1"/>
  <c r="H14" i="15"/>
  <c r="H16" s="1"/>
  <c r="G14"/>
  <c r="G16" s="1"/>
  <c r="I10" i="14" l="1"/>
  <c r="I16" s="1"/>
  <c r="H5" i="48"/>
  <c r="F78" i="14"/>
  <c r="F8" i="59"/>
  <c r="F10" s="1"/>
  <c r="F90" i="14"/>
  <c r="F17" i="59"/>
  <c r="F20" s="1"/>
  <c r="H10" i="14"/>
  <c r="H16" s="1"/>
  <c r="G5" i="48"/>
  <c r="J87" i="14"/>
  <c r="I10" i="18"/>
  <c r="M76" i="14"/>
  <c r="M90"/>
  <c r="M17" i="59"/>
  <c r="M20" s="1"/>
  <c r="O8" i="18"/>
  <c r="O10" s="1"/>
  <c r="D78" i="14"/>
  <c r="I78"/>
  <c r="B76"/>
  <c r="J10" i="18"/>
  <c r="J76" i="14"/>
  <c r="I87"/>
  <c r="I17" i="59" s="1"/>
  <c r="I20" s="1"/>
  <c r="I20" i="18"/>
  <c r="Q87" i="14"/>
  <c r="D90"/>
  <c r="C87"/>
  <c r="A31" i="23"/>
  <c r="A32"/>
  <c r="A33"/>
  <c r="C90" i="14" l="1"/>
  <c r="C17" i="59"/>
  <c r="C20" s="1"/>
  <c r="J90" i="14"/>
  <c r="J17" i="59"/>
  <c r="J20" s="1"/>
  <c r="B78" i="14"/>
  <c r="B8" i="59"/>
  <c r="B10" s="1"/>
  <c r="M78" i="14"/>
  <c r="M8" i="59"/>
  <c r="M10" s="1"/>
  <c r="J78" i="14"/>
  <c r="J8" i="59"/>
  <c r="J10" s="1"/>
  <c r="Q90" i="14"/>
  <c r="B17" i="6" s="1"/>
  <c r="P17" i="59"/>
  <c r="P20" s="1"/>
  <c r="Q76" i="14"/>
  <c r="B87"/>
  <c r="I90"/>
  <c r="C76"/>
  <c r="B11" i="44"/>
  <c r="B25"/>
  <c r="B24"/>
  <c r="Q78" i="14" l="1"/>
  <c r="B9" i="6" s="1"/>
  <c r="P8" i="59"/>
  <c r="P10" s="1"/>
  <c r="B90" i="14"/>
  <c r="B17" i="59"/>
  <c r="B20" s="1"/>
  <c r="B4" i="6"/>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P11" i="14"/>
  <c r="O4" i="48"/>
  <c r="I26"/>
  <c r="I25"/>
  <c r="I31"/>
  <c r="I32"/>
  <c r="I28"/>
  <c r="I22"/>
  <c r="I24"/>
  <c r="I29"/>
  <c r="I30"/>
  <c r="I27"/>
  <c r="J24"/>
  <c r="J32"/>
  <c r="J29"/>
  <c r="J30"/>
  <c r="J27"/>
  <c r="J31"/>
  <c r="J28"/>
  <c r="H32"/>
  <c r="H28"/>
  <c r="H29"/>
  <c r="H26"/>
  <c r="H30"/>
  <c r="H22"/>
  <c r="H25"/>
  <c r="H24"/>
  <c r="H23"/>
  <c r="C4"/>
  <c r="D11" i="14"/>
  <c r="G25" i="48"/>
  <c r="G24"/>
  <c r="G29"/>
  <c r="G32"/>
  <c r="G22"/>
  <c r="G26"/>
  <c r="G30"/>
  <c r="G23"/>
  <c r="N46" i="14"/>
  <c r="K28" i="48"/>
  <c r="K32"/>
  <c r="K29"/>
  <c r="K22"/>
  <c r="K26"/>
  <c r="K27"/>
  <c r="K30"/>
  <c r="K31"/>
  <c r="K24"/>
  <c r="K25"/>
  <c r="D4"/>
  <c r="D22" s="1"/>
  <c r="E11" i="14"/>
  <c r="F29" i="48"/>
  <c r="F31"/>
  <c r="F24"/>
  <c r="F32"/>
  <c r="F30"/>
  <c r="F28"/>
  <c r="F27"/>
  <c r="C19" i="14"/>
  <c r="B10" i="48"/>
  <c r="E32"/>
  <c r="E28"/>
  <c r="E31"/>
  <c r="E30"/>
  <c r="E29"/>
  <c r="E24"/>
  <c r="M26"/>
  <c r="M25"/>
  <c r="M22"/>
  <c r="M32"/>
  <c r="M30"/>
  <c r="M29"/>
  <c r="M24"/>
  <c r="M23"/>
  <c r="B8" i="9"/>
  <c r="B6" i="48" s="1"/>
  <c r="Q6" s="1"/>
  <c r="C24" i="14"/>
  <c r="C26" s="1"/>
  <c r="B7" i="48"/>
  <c r="C11" i="14"/>
  <c r="B4" i="48"/>
  <c r="N29"/>
  <c r="N31"/>
  <c r="N24"/>
  <c r="N32"/>
  <c r="N30"/>
  <c r="N27"/>
  <c r="N28"/>
  <c r="L10" i="14"/>
  <c r="L16" s="1"/>
  <c r="L27" s="1"/>
  <c r="K5" i="48"/>
  <c r="D30"/>
  <c r="D28"/>
  <c r="D31"/>
  <c r="D29"/>
  <c r="D24"/>
  <c r="D32"/>
  <c r="L27"/>
  <c r="L28"/>
  <c r="L32"/>
  <c r="L22"/>
  <c r="L30"/>
  <c r="L29"/>
  <c r="L24"/>
  <c r="L31"/>
  <c r="P5"/>
  <c r="P23" s="1"/>
  <c r="Q10"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Q13"/>
  <c r="P8" i="48"/>
  <c r="P26" s="1"/>
  <c r="P22"/>
  <c r="P33" s="1"/>
  <c r="P15"/>
  <c r="G13"/>
  <c r="H18" i="14"/>
  <c r="H13" i="48"/>
  <c r="H31" s="1"/>
  <c r="I18" i="14"/>
  <c r="J10"/>
  <c r="J16" s="1"/>
  <c r="J27" s="1"/>
  <c r="J63" s="1"/>
  <c r="I5" i="48"/>
  <c r="O22"/>
  <c r="F20" i="14"/>
  <c r="F22" s="1"/>
  <c r="E9" i="48"/>
  <c r="E27" s="1"/>
  <c r="K23"/>
  <c r="K33" s="1"/>
  <c r="K15"/>
  <c r="Q16" i="14"/>
  <c r="Q27" s="1"/>
  <c r="M12" i="22"/>
  <c r="M13" i="48"/>
  <c r="M31" s="1"/>
  <c r="N18" i="14"/>
  <c r="E20"/>
  <c r="E22" s="1"/>
  <c r="D9" i="48"/>
  <c r="D27" s="1"/>
  <c r="P10" i="14"/>
  <c r="O5" i="48"/>
  <c r="O23" s="1"/>
  <c r="J7"/>
  <c r="J25" s="1"/>
  <c r="K24" i="14"/>
  <c r="K26" s="1"/>
  <c r="C20"/>
  <c r="B9" i="48"/>
  <c r="D10" i="14"/>
  <c r="J12" i="17"/>
  <c r="K54" i="14" s="1"/>
  <c r="K56" s="1"/>
  <c r="L46"/>
  <c r="L61" s="1"/>
  <c r="L63" s="1"/>
  <c r="F4" i="48"/>
  <c r="F22" s="1"/>
  <c r="G11" i="14"/>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Q13"/>
  <c r="G31"/>
  <c r="N19" i="14"/>
  <c r="M10" i="48"/>
  <c r="M28" s="1"/>
  <c r="O22" i="16"/>
  <c r="P43" i="14" s="1"/>
  <c r="O8" i="48"/>
  <c r="P13" i="14"/>
  <c r="P16" s="1"/>
  <c r="P27" s="1"/>
  <c r="P63" s="1"/>
  <c r="R18"/>
  <c r="P46"/>
  <c r="P61" s="1"/>
  <c r="N20"/>
  <c r="M9" i="48"/>
  <c r="G9"/>
  <c r="H20" i="14"/>
  <c r="K11"/>
  <c r="J4" i="48"/>
  <c r="I23"/>
  <c r="I33" s="1"/>
  <c r="I15"/>
  <c r="Q63" i="14"/>
  <c r="Q46"/>
  <c r="Q61" s="1"/>
  <c r="G10" i="48"/>
  <c r="H19" i="14"/>
  <c r="R19" s="1"/>
  <c r="E12" i="13"/>
  <c r="F41" i="14" s="1"/>
  <c r="F11"/>
  <c r="E4" i="48"/>
  <c r="E7"/>
  <c r="E25" s="1"/>
  <c r="F24" i="14"/>
  <c r="F26" s="1"/>
  <c r="N22"/>
  <c r="N27" s="1"/>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5" i="48" l="1"/>
  <c r="J23" s="1"/>
  <c r="K10" i="14"/>
  <c r="M27" i="48"/>
  <c r="M33" s="1"/>
  <c r="M15"/>
  <c r="G27"/>
  <c r="G33" s="1"/>
  <c r="G15"/>
  <c r="I20" i="14"/>
  <c r="H9" i="48"/>
  <c r="Q9"/>
  <c r="H22" i="14"/>
  <c r="H27" s="1"/>
  <c r="F10"/>
  <c r="E5" i="48"/>
  <c r="E23" s="1"/>
  <c r="J22"/>
  <c r="G28"/>
  <c r="Q10"/>
  <c r="R11" i="14"/>
  <c r="E22" i="48"/>
  <c r="Q4"/>
  <c r="O26"/>
  <c r="O33" s="1"/>
  <c r="O15"/>
  <c r="L25"/>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F13" l="1"/>
  <c r="F16" s="1"/>
  <c r="F27" s="1"/>
  <c r="E8" i="48"/>
  <c r="I22" i="14"/>
  <c r="I27" s="1"/>
  <c r="I63" s="1"/>
  <c r="R20"/>
  <c r="R22" s="1"/>
  <c r="J22" i="16"/>
  <c r="K43" i="14" s="1"/>
  <c r="K13"/>
  <c r="K16" s="1"/>
  <c r="K27" s="1"/>
  <c r="J8" i="48"/>
  <c r="J26" s="1"/>
  <c r="J33" s="1"/>
  <c r="H27"/>
  <c r="H33" s="1"/>
  <c r="H15"/>
  <c r="H63" i="14"/>
  <c r="F46"/>
  <c r="F61" s="1"/>
  <c r="K46"/>
  <c r="K61" s="1"/>
  <c r="O13"/>
  <c r="N8" i="48"/>
  <c r="N26" s="1"/>
  <c r="F8"/>
  <c r="G13" i="14"/>
  <c r="E26" i="48" l="1"/>
  <c r="E33" s="1"/>
  <c r="E15"/>
  <c r="K63" i="14"/>
  <c r="R13"/>
  <c r="F63"/>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<sst xmlns="http://schemas.openxmlformats.org/spreadsheetml/2006/main" count="2419" uniqueCount="907">
  <si>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</si>
  <si>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</si>
  <si>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</si>
  <si>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</si>
  <si>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</si>
  <si>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</si>
  <si>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</si>
  <si>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</si>
  <si>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</si>
  <si>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</si>
  <si>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</si>
  <si>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</si>
  <si>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</si>
  <si>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</si>
  <si>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</si>
  <si>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</si>
  <si>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</si>
  <si>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</si>
  <si>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</si>
  <si>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</si>
  <si>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</si>
  <si>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</si>
  <si>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</si>
  <si>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</si>
  <si>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</si>
  <si>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</si>
  <si>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</si>
  <si>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</si>
  <si>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</si>
  <si>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</si>
  <si>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</si>
  <si>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</si>
  <si>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</si>
  <si>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</si>
  <si>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</si>
  <si>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</si>
  <si>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</si>
  <si>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</si>
  <si>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</si>
  <si>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</si>
  <si>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</si>
  <si>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</si>
  <si>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</si>
  <si>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</si>
  <si>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</si>
  <si>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</si>
  <si>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</si>
  <si>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</si>
  <si>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</si>
  <si>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</si>
  <si>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</si>
  <si>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</si>
  <si>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</si>
  <si>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</si>
  <si>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</si>
  <si>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</si>
  <si>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</si>
  <si>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</si>
  <si>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</si>
  <si>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</si>
  <si>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</si>
  <si>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</si>
  <si>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</si>
  <si>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</si>
  <si>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</si>
  <si>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</si>
  <si>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</si>
  <si>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</si>
  <si>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</si>
  <si>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</si>
  <si>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</si>
  <si>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</si>
  <si>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</si>
  <si>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</si>
  <si>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</si>
  <si>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</si>
  <si>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</si>
  <si>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</si>
  <si>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</si>
  <si>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</si>
  <si>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</si>
  <si>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</si>
  <si>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</si>
  <si>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</si>
  <si>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</si>
  <si>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</si>
  <si>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</si>
  <si>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</si>
  <si>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</si>
  <si>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</si>
  <si>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</si>
  <si>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</si>
  <si>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</si>
  <si>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</si>
  <si>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</si>
  <si>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</si>
  <si>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</si>
  <si>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</si>
  <si>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</si>
  <si>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</si>
  <si>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</si>
  <si>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</si>
  <si>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</si>
  <si>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</si>
  <si>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</si>
  <si>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</si>
  <si>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</si>
  <si>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</si>
  <si>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</si>
  <si>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</si>
  <si>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</si>
  <si>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</si>
  <si>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</si>
  <si>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</si>
  <si>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</si>
  <si>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</si>
  <si>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</si>
  <si>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</si>
  <si>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</si>
  <si>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</si>
  <si>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</si>
  <si>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</si>
  <si>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</si>
  <si>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</si>
  <si>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</si>
  <si>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</si>
  <si>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</si>
  <si>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</si>
  <si>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</si>
  <si>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</si>
  <si>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</si>
  <si>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</si>
  <si>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</si>
  <si>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</si>
  <si>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</si>
  <si>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</si>
  <si>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</si>
  <si>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</si>
  <si>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</si>
  <si>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</si>
  <si>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</si>
  <si>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</si>
  <si>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</si>
  <si>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</si>
  <si>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</si>
  <si>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</si>
  <si>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</si>
  <si>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</si>
  <si>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</si>
  <si>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</si>
  <si>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</si>
  <si>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</si>
  <si>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</si>
  <si>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</si>
  <si>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</si>
  <si>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</si>
  <si>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</si>
  <si>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</si>
  <si>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</si>
  <si>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</si>
  <si>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</si>
  <si>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</si>
  <si>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</si>
  <si>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</si>
  <si>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</si>
  <si>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</si>
  <si>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</si>
  <si>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</si>
  <si>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</si>
  <si>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</si>
  <si>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</si>
  <si>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</si>
  <si>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</si>
  <si>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</si>
  <si>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</si>
  <si>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</si>
  <si>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</si>
  <si>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</si>
  <si>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</si>
  <si>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</si>
  <si>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</si>
  <si>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</si>
  <si>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</si>
  <si>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</si>
  <si>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</si>
  <si>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</si>
  <si>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</si>
  <si>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</si>
  <si>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</si>
  <si>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</si>
  <si>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</si>
  <si>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</si>
  <si>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</si>
  <si>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</si>
  <si>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</si>
  <si>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</si>
  <si>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</si>
  <si>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</si>
  <si>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</si>
  <si>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</si>
  <si>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</si>
  <si>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</si>
  <si>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</si>
  <si>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</si>
  <si>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</si>
  <si>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</si>
  <si>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</si>
  <si>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</si>
  <si>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</si>
  <si>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</si>
  <si>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</si>
  <si>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</si>
  <si>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</si>
  <si>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</si>
  <si>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</si>
  <si>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</si>
  <si>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</si>
  <si>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</si>
  <si>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</si>
  <si>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</si>
  <si>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</si>
  <si>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</si>
  <si>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</si>
  <si>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</si>
  <si>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</si>
  <si>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</si>
  <si>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</si>
  <si>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</si>
  <si>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</si>
  <si>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</si>
  <si>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</si>
  <si>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</si>
  <si>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</si>
  <si>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</si>
  <si>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</si>
  <si>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</si>
  <si>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</si>
  <si>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</si>
  <si>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</si>
  <si>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</si>
  <si>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</si>
  <si>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</si>
  <si>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</si>
  <si>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</si>
  <si>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</si>
  <si>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</si>
  <si>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</si>
  <si>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</si>
  <si>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</si>
  <si>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</si>
  <si>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</si>
  <si>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</si>
  <si>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</si>
  <si>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</si>
  <si>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</si>
  <si>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</si>
  <si>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</si>
  <si>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</si>
  <si>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</si>
  <si>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</si>
  <si>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</si>
  <si>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</si>
  <si>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</si>
  <si>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</si>
  <si>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</si>
  <si>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</si>
  <si>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</si>
  <si>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</si>
  <si>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</si>
  <si>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</si>
  <si>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</si>
  <si>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</si>
  <si>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</si>
  <si>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</si>
  <si>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</si>
  <si>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</si>
  <si>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</si>
  <si>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</si>
  <si>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</si>
  <si>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</si>
  <si>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</si>
  <si>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</si>
  <si>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</si>
  <si>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</si>
  <si>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</si>
  <si>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</si>
  <si>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</si>
  <si>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</si>
  <si>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</si>
  <si>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</si>
  <si>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</si>
  <si>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</si>
  <si>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</si>
  <si>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</si>
  <si>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</si>
  <si>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</si>
  <si>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</si>
  <si>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</si>
  <si>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</si>
  <si>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</si>
  <si>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</si>
  <si>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</si>
  <si>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</si>
  <si>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</si>
  <si>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</si>
  <si>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</si>
  <si>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</si>
  <si>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</si>
  <si>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</si>
  <si>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</si>
  <si>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</si>
  <si>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</si>
  <si>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</si>
  <si>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</si>
  <si>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</si>
  <si>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</si>
  <si>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</si>
  <si>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</si>
  <si>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</si>
  <si>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</si>
  <si>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</si>
  <si>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</si>
  <si>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</si>
  <si>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</si>
  <si>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</si>
  <si>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</si>
  <si>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</si>
  <si>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</si>
  <si>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</si>
  <si>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</si>
  <si>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</si>
  <si>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</si>
  <si>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</si>
  <si>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</si>
  <si>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</si>
  <si>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</si>
  <si>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</si>
  <si>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</si>
  <si>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</si>
  <si>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</si>
  <si>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</si>
  <si>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</si>
  <si>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</si>
  <si>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</si>
  <si>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</si>
  <si>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</si>
  <si>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</si>
  <si>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</si>
  <si>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</si>
  <si>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</si>
  <si>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</si>
  <si>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</si>
  <si>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</si>
  <si>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</si>
  <si>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</si>
  <si>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</si>
  <si>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</si>
  <si>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</si>
  <si>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</si>
  <si>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</si>
  <si>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</si>
  <si>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</si>
  <si>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</si>
  <si>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</si>
  <si>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</si>
  <si>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</si>
  <si>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</si>
  <si>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</si>
  <si>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</si>
  <si>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</si>
  <si>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</si>
  <si>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</si>
  <si>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</si>
  <si>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</si>
  <si>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</si>
  <si>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</si>
  <si>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</si>
  <si>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</si>
  <si>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</si>
  <si>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</si>
  <si>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</si>
  <si>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</si>
  <si>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</si>
  <si>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</si>
  <si>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</si>
  <si>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</si>
  <si>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</si>
  <si>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</si>
  <si>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</si>
  <si>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</si>
  <si>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</si>
  <si>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</si>
  <si>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</si>
  <si>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</si>
  <si>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</si>
  <si>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</si>
  <si>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</si>
  <si>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</si>
  <si>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</si>
  <si>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</si>
  <si>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</si>
  <si>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</si>
  <si>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</si>
  <si>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</si>
  <si>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</si>
  <si>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</si>
  <si>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</si>
  <si>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</si>
  <si>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</si>
  <si>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</si>
  <si>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</si>
  <si>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</si>
  <si>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</si>
  <si>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</si>
  <si>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</si>
  <si>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</si>
  <si>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</si>
  <si>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</si>
  <si>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</si>
  <si>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</si>
  <si>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</si>
  <si>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</si>
  <si>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</si>
  <si>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</si>
  <si>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</si>
  <si>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</si>
  <si>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</si>
  <si>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</si>
  <si>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</si>
  <si>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</si>
  <si>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</si>
  <si>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</si>
  <si>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</si>
  <si>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</si>
  <si>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</si>
  <si>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</si>
  <si>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</si>
  <si>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</si>
  <si>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</si>
  <si>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</si>
  <si>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</si>
  <si>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</si>
  <si>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</si>
  <si>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</si>
  <si>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</si>
  <si>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</si>
  <si>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</si>
  <si>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</si>
  <si>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</si>
  <si>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</si>
  <si>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</si>
  <si>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</si>
  <si>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</si>
  <si>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</si>
  <si>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</si>
  <si>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</si>
  <si>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</si>
  <si>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</si>
  <si>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</si>
  <si>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</si>
  <si>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</si>
  <si>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</si>
  <si>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</si>
  <si>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</si>
  <si>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</si>
  <si>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</si>
  <si>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</si>
  <si>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</si>
  <si>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</si>
  <si>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</si>
  <si>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</si>
  <si>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</si>
  <si>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</si>
  <si>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</si>
  <si>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</si>
  <si>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</si>
  <si>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</si>
  <si>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</si>
  <si>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</si>
  <si>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</si>
  <si>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</si>
  <si>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</si>
  <si>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</si>
  <si>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</si>
  <si>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</si>
  <si>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</si>
  <si>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</si>
  <si>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</si>
  <si>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</si>
  <si>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</si>
  <si>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</si>
  <si>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</si>
  <si>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</si>
  <si>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</si>
  <si>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</si>
  <si>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</si>
  <si>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</si>
  <si>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</si>
  <si>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</si>
  <si>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</si>
  <si>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</si>
  <si>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</si>
  <si>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</si>
  <si>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</si>
  <si>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</si>
  <si>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</si>
  <si>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</si>
  <si>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</si>
  <si>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</si>
  <si>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</si>
  <si>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</si>
  <si>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</si>
  <si>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</si>
  <si>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</si>
  <si>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</si>
  <si>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</si>
  <si>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</si>
  <si>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</si>
  <si>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</si>
  <si>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</si>
  <si>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</si>
  <si>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</si>
  <si>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</si>
  <si>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</si>
  <si>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</si>
  <si>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</si>
  <si>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</si>
  <si>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</si>
  <si>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</si>
  <si>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</si>
  <si>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</si>
  <si>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</si>
  <si>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</si>
  <si>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</si>
  <si>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</si>
  <si>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</si>
  <si>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</si>
  <si>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</si>
  <si>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</si>
  <si>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</si>
  <si>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</si>
  <si>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</si>
  <si>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</si>
  <si>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</si>
  <si>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</si>
  <si>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</si>
  <si>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</si>
  <si>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</si>
  <si>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</si>
  <si>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</si>
  <si>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</si>
  <si>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</si>
  <si>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</si>
  <si>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</si>
  <si>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</si>
  <si>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</si>
  <si>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</si>
  <si>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</si>
  <si>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</si>
  <si>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</si>
  <si>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</si>
  <si>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</si>
  <si>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</si>
  <si>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</si>
  <si>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</si>
  <si>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</si>
  <si>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</si>
  <si>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</si>
  <si>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</si>
  <si>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</si>
  <si>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</si>
  <si>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</si>
  <si>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</si>
  <si>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</si>
  <si>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</si>
  <si>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</si>
  <si>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</si>
  <si>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</si>
  <si>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</si>
  <si>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</si>
  <si>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</si>
  <si>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</si>
  <si>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</si>
  <si>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</si>
  <si>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</si>
  <si>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</si>
  <si>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</si>
  <si>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</si>
  <si>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</si>
  <si>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</si>
  <si>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</si>
  <si>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</si>
  <si>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</si>
  <si>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</si>
  <si>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</si>
  <si>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</si>
  <si>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</si>
  <si>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</si>
  <si>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</si>
  <si>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</si>
  <si>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</si>
  <si>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</si>
  <si>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</si>
  <si>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</si>
  <si>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</si>
  <si>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</si>
  <si>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</si>
  <si>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</si>
  <si>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</si>
  <si>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</si>
  <si>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</si>
  <si>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</si>
  <si>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</si>
  <si>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</si>
  <si>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</si>
  <si>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</si>
  <si>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</si>
  <si>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</si>
  <si>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</si>
  <si>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</si>
  <si>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</si>
  <si>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</si>
  <si>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</si>
  <si>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</si>
  <si>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</si>
  <si>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</si>
  <si>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</si>
  <si>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</si>
  <si>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</si>
  <si>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</si>
  <si>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</si>
  <si>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</si>
  <si>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</si>
  <si>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</si>
  <si>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</si>
  <si>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</si>
  <si>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</si>
  <si>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</si>
  <si>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</si>
  <si>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</si>
  <si>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</si>
  <si>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</si>
  <si>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</si>
  <si>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</si>
  <si>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</si>
  <si>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</si>
  <si>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</si>
  <si>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</si>
  <si>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</si>
  <si>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</si>
  <si>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</si>
  <si>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</si>
  <si>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</si>
  <si>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</si>
  <si>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</si>
  <si>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</si>
  <si>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</si>
  <si>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</si>
  <si>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</si>
  <si>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</si>
  <si>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</si>
  <si>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</si>
  <si>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</si>
  <si>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</si>
  <si>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</si>
  <si>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</si>
  <si>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</si>
  <si>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</si>
  <si>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</si>
  <si>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</si>
  <si>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</si>
  <si>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</si>
  <si>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</si>
  <si>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</si>
  <si>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</si>
  <si>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</si>
  <si>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</si>
  <si>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</si>
  <si>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</si>
  <si>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</si>
  <si>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</si>
  <si>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</si>
  <si>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</si>
  <si>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</si>
  <si>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</si>
  <si>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</si>
  <si>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</si>
  <si>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</si>
  <si>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</si>
  <si>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</si>
  <si>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</si>
  <si>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</si>
  <si>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</si>
  <si>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</si>
  <si>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</si>
  <si>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</si>
  <si>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</si>
  <si>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</si>
  <si>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</si>
  <si>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</si>
  <si>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</si>
  <si>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</si>
  <si>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</si>
  <si>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</si>
  <si>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</si>
  <si>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</si>
  <si>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</si>
  <si>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</si>
  <si>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</si>
  <si>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</si>
  <si>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</si>
  <si>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</si>
  <si>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</si>
  <si>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</si>
  <si>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</si>
  <si>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</si>
  <si>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</si>
  <si>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</si>
  <si>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</si>
  <si>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</si>
  <si>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</si>
  <si>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</si>
  <si>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</si>
  <si>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</si>
  <si>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</si>
  <si>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</si>
  <si>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</si>
  <si>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</si>
  <si>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</si>
  <si>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</si>
  <si>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</si>
  <si>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</si>
  <si>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</si>
  <si>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</si>
  <si>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</si>
  <si>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</si>
  <si>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</si>
  <si>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</si>
  <si>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</si>
  <si>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</si>
  <si>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</si>
  <si>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</si>
  <si>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</si>
  <si>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</si>
  <si>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</si>
  <si>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</si>
  <si>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</si>
  <si>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</si>
  <si>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</si>
  <si>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</si>
  <si>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</si>
  <si>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</si>
  <si>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</si>
  <si>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</si>
  <si>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</si>
  <si>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</si>
  <si>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</si>
  <si>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</si>
  <si>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</si>
  <si>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</si>
  <si>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</si>
  <si>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</si>
  <si>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</si>
  <si>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</si>
  <si>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</si>
  <si>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</si>
  <si>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</si>
  <si>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</si>
  <si>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</si>
  <si>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</si>
  <si>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</si>
  <si>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</si>
  <si>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</si>
  <si>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</si>
  <si>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</si>
  <si>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</si>
  <si>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</si>
  <si>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</si>
  <si>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</si>
  <si>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</si>
  <si>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</si>
  <si>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</si>
  <si>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</si>
  <si>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</si>
  <si>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</si>
  <si>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</si>
  <si>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</si>
  <si>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</si>
  <si>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</si>
  <si>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</si>
  <si>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</si>
  <si>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</si>
  <si>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</si>
  <si>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</si>
  <si>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</si>
  <si>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</si>
  <si>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</si>
  <si>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</si>
  <si>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</si>
  <si>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</si>
  <si>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</si>
  <si>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</si>
  <si>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</si>
  <si>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</si>
  <si>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</si>
  <si>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</si>
  <si>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</si>
  <si>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</si>
  <si>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</si>
  <si>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</si>
  <si>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</si>
  <si>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</si>
  <si>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</si>
  <si>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</si>
  <si>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</si>
  <si>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</si>
  <si>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</si>
  <si>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</si>
  <si>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</si>
  <si>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</si>
  <si>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</si>
  <si>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</si>
  <si>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</si>
  <si>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</si>
  <si>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</si>
  <si>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</si>
  <si>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</si>
  <si>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</si>
  <si>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</si>
  <si>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</si>
  <si>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</si>
  <si>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</si>
  <si>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</si>
  <si>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</si>
  <si>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</si>
  <si>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</si>
  <si>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</si>
  <si>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</si>
  <si>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</si>
  <si>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</si>
  <si>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</si>
  <si>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</si>
  <si>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</si>
  <si>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</si>
  <si>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</si>
  <si>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</si>
  <si>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</si>
  <si>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</si>
  <si>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</si>
  <si>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</si>
  <si>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</si>
  <si>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</si>
  <si>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</si>
  <si>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</si>
  <si>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</si>
  <si>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</si>
  <si>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</si>
  <si>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</si>
  <si>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</si>
  <si>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</si>
  <si>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</si>
  <si>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</si>
  <si>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</si>
  <si>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</si>
  <si>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</si>
  <si>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</si>
  <si>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</si>
  <si>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</si>
  <si>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</si>
  <si>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</si>
  <si>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</si>
  <si>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</si>
  <si>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</si>
  <si>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</si>
  <si>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</si>
  <si>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</si>
  <si>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</si>
  <si>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</si>
  <si>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</si>
  <si>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</si>
  <si>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</si>
  <si>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</si>
  <si>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</si>
  <si>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</si>
  <si>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</si>
  <si>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</si>
  <si>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</si>
  <si>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</si>
  <si>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</si>
  <si>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</si>
  <si>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</si>
  <si>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</si>
  <si>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</si>
  <si>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</si>
  <si>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</si>
  <si>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</si>
  <si>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</si>
  <si>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</si>
  <si>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</si>
  <si>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11005</t>
  </si>
  <si>
    <t>BOOM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</si>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</sst>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101477.93687379865</c:v>
                </c:pt>
                <c:pt idx="1">
                  <c:v>54604.755138779285</c:v>
                </c:pt>
                <c:pt idx="2">
                  <c:v>985.96400000000006</c:v>
                </c:pt>
                <c:pt idx="3">
                  <c:v>46.720450758679867</c:v>
                </c:pt>
                <c:pt idx="4">
                  <c:v>15210.570520492909</c:v>
                </c:pt>
                <c:pt idx="5">
                  <c:v>123966.14537172708</c:v>
                </c:pt>
                <c:pt idx="6">
                  <c:v>2156.9421774037269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149504"/>
        <c:axId val="182151040"/>
      </c:barChart>
      <c:catAx>
        <c:axId val="182149504"/>
        <c:scaling>
          <c:orientation val="minMax"/>
        </c:scaling>
        <c:axPos val="b"/>
        <c:numFmt formatCode="General" sourceLinked="0"/>
        <c:tickLblPos val="nextTo"/>
        <c:crossAx val="182151040"/>
        <c:crosses val="autoZero"/>
        <c:auto val="1"/>
        <c:lblAlgn val="ctr"/>
        <c:lblOffset val="100"/>
      </c:catAx>
      <c:valAx>
        <c:axId val="182151040"/>
        <c:scaling>
          <c:orientation val="minMax"/>
        </c:scaling>
        <c:axPos val="l"/>
        <c:majorGridlines/>
        <c:numFmt formatCode="#,##0" sourceLinked="1"/>
        <c:tickLblPos val="nextTo"/>
        <c:crossAx val="1821495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101477.93687379865</c:v>
                </c:pt>
                <c:pt idx="1">
                  <c:v>54604.755138779285</c:v>
                </c:pt>
                <c:pt idx="2">
                  <c:v>985.96400000000006</c:v>
                </c:pt>
                <c:pt idx="3">
                  <c:v>46.720450758679867</c:v>
                </c:pt>
                <c:pt idx="4">
                  <c:v>15210.570520492909</c:v>
                </c:pt>
                <c:pt idx="5">
                  <c:v>123966.14537172708</c:v>
                </c:pt>
                <c:pt idx="6">
                  <c:v>2156.9421774037269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19773.645905885511</c:v>
                </c:pt>
                <c:pt idx="2">
                  <c:v>10793.084219102286</c:v>
                </c:pt>
                <c:pt idx="3">
                  <c:v>191.3402494934229</c:v>
                </c:pt>
                <c:pt idx="4">
                  <c:v>10.703518551673959</c:v>
                </c:pt>
                <c:pt idx="5">
                  <c:v>2944.1696507571678</c:v>
                </c:pt>
                <c:pt idx="6">
                  <c:v>31071.604256855509</c:v>
                </c:pt>
                <c:pt idx="7">
                  <c:v>544.8333061896833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500352"/>
        <c:axId val="182575872"/>
      </c:barChart>
      <c:catAx>
        <c:axId val="182500352"/>
        <c:scaling>
          <c:orientation val="minMax"/>
        </c:scaling>
        <c:axPos val="b"/>
        <c:numFmt formatCode="General" sourceLinked="0"/>
        <c:tickLblPos val="nextTo"/>
        <c:crossAx val="182575872"/>
        <c:crosses val="autoZero"/>
        <c:auto val="1"/>
        <c:lblAlgn val="ctr"/>
        <c:lblOffset val="100"/>
      </c:catAx>
      <c:valAx>
        <c:axId val="182575872"/>
        <c:scaling>
          <c:orientation val="minMax"/>
        </c:scaling>
        <c:axPos val="l"/>
        <c:majorGridlines/>
        <c:numFmt formatCode="#,##0" sourceLinked="1"/>
        <c:tickLblPos val="nextTo"/>
        <c:crossAx val="182500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19773.645905885511</c:v>
                </c:pt>
                <c:pt idx="2">
                  <c:v>10793.084219102286</c:v>
                </c:pt>
                <c:pt idx="3">
                  <c:v>191.3402494934229</c:v>
                </c:pt>
                <c:pt idx="4">
                  <c:v>10.703518551673959</c:v>
                </c:pt>
                <c:pt idx="5">
                  <c:v>2944.1696507571678</c:v>
                </c:pt>
                <c:pt idx="6">
                  <c:v>31071.604256855509</c:v>
                </c:pt>
                <c:pt idx="7">
                  <c:v>544.8333061896833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11005</v>
      </c>
      <c r="B6" s="416"/>
      <c r="C6" s="417"/>
    </row>
    <row r="7" spans="1:7" s="414" customFormat="1" ht="15.75" customHeight="1">
      <c r="A7" s="418" t="str">
        <f>txtMunicipality</f>
        <v>BOOM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0.19406413367366648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0.19406413367366648</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7277</v>
      </c>
      <c r="C9" s="342">
        <v>7957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48</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901</v>
      </c>
      <c r="B29" s="355">
        <v>44</v>
      </c>
      <c r="C29" s="356"/>
      <c r="D29" s="356"/>
      <c r="E29" s="356"/>
      <c r="F29" s="356"/>
    </row>
    <row r="30" spans="1:6">
      <c r="A30" s="341" t="s">
        <v>902</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20966.82</v>
      </c>
    </row>
    <row r="37" spans="1:6">
      <c r="A37" s="348" t="s">
        <v>25</v>
      </c>
      <c r="B37" s="348" t="s">
        <v>28</v>
      </c>
      <c r="C37" s="334">
        <v>0</v>
      </c>
      <c r="D37" s="334">
        <v>0</v>
      </c>
      <c r="E37" s="334">
        <v>0</v>
      </c>
      <c r="F37" s="334">
        <v>0</v>
      </c>
    </row>
    <row r="38" spans="1:6">
      <c r="A38" s="348" t="s">
        <v>25</v>
      </c>
      <c r="B38" s="348" t="s">
        <v>29</v>
      </c>
      <c r="C38" s="334">
        <v>0</v>
      </c>
      <c r="D38" s="334">
        <v>0</v>
      </c>
      <c r="E38" s="334">
        <v>3</v>
      </c>
      <c r="F38" s="334">
        <v>21494.92</v>
      </c>
    </row>
    <row r="39" spans="1:6">
      <c r="A39" s="348" t="s">
        <v>30</v>
      </c>
      <c r="B39" s="348" t="s">
        <v>31</v>
      </c>
      <c r="C39" s="334">
        <v>6110</v>
      </c>
      <c r="D39" s="334">
        <v>78720484.432064503</v>
      </c>
      <c r="E39" s="334">
        <v>7554</v>
      </c>
      <c r="F39" s="334">
        <v>26412312</v>
      </c>
    </row>
    <row r="40" spans="1:6">
      <c r="A40" s="348" t="s">
        <v>30</v>
      </c>
      <c r="B40" s="348" t="s">
        <v>29</v>
      </c>
      <c r="C40" s="334">
        <v>0</v>
      </c>
      <c r="D40" s="334">
        <v>0</v>
      </c>
      <c r="E40" s="334">
        <v>0</v>
      </c>
      <c r="F40" s="334">
        <v>0</v>
      </c>
    </row>
    <row r="41" spans="1:6">
      <c r="A41" s="348" t="s">
        <v>32</v>
      </c>
      <c r="B41" s="348" t="s">
        <v>33</v>
      </c>
      <c r="C41" s="334">
        <v>72</v>
      </c>
      <c r="D41" s="334">
        <v>1540399.8333459799</v>
      </c>
      <c r="E41" s="334">
        <v>130</v>
      </c>
      <c r="F41" s="334">
        <v>809049.8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253946.62868135501</v>
      </c>
      <c r="E44" s="334">
        <v>14</v>
      </c>
      <c r="F44" s="334">
        <v>821950.5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2739669.7962227599</v>
      </c>
      <c r="E48" s="334">
        <v>43</v>
      </c>
      <c r="F48" s="334">
        <v>4362184</v>
      </c>
    </row>
    <row r="49" spans="1:6">
      <c r="A49" s="348" t="s">
        <v>32</v>
      </c>
      <c r="B49" s="348" t="s">
        <v>40</v>
      </c>
      <c r="C49" s="334">
        <v>0</v>
      </c>
      <c r="D49" s="334">
        <v>0</v>
      </c>
      <c r="E49" s="334">
        <v>0</v>
      </c>
      <c r="F49" s="334">
        <v>0</v>
      </c>
    </row>
    <row r="50" spans="1:6">
      <c r="A50" s="348" t="s">
        <v>32</v>
      </c>
      <c r="B50" s="348" t="s">
        <v>41</v>
      </c>
      <c r="C50" s="334">
        <v>9</v>
      </c>
      <c r="D50" s="334">
        <v>397417.32639579597</v>
      </c>
      <c r="E50" s="334">
        <v>14</v>
      </c>
      <c r="F50" s="334">
        <v>375122.9</v>
      </c>
    </row>
    <row r="51" spans="1:6">
      <c r="A51" s="348" t="s">
        <v>42</v>
      </c>
      <c r="B51" s="348" t="s">
        <v>43</v>
      </c>
      <c r="C51" s="334">
        <v>0</v>
      </c>
      <c r="D51" s="334">
        <v>0</v>
      </c>
      <c r="E51" s="334">
        <v>0</v>
      </c>
      <c r="F51" s="334">
        <v>0</v>
      </c>
    </row>
    <row r="52" spans="1:6">
      <c r="A52" s="348" t="s">
        <v>42</v>
      </c>
      <c r="B52" s="348" t="s">
        <v>29</v>
      </c>
      <c r="C52" s="334">
        <v>2</v>
      </c>
      <c r="D52" s="334">
        <v>23030.4532252069</v>
      </c>
      <c r="E52" s="334">
        <v>2</v>
      </c>
      <c r="F52" s="334">
        <v>7013.1450000000004</v>
      </c>
    </row>
    <row r="53" spans="1:6">
      <c r="A53" s="348" t="s">
        <v>44</v>
      </c>
      <c r="B53" s="348" t="s">
        <v>45</v>
      </c>
      <c r="C53" s="334">
        <v>166</v>
      </c>
      <c r="D53" s="334">
        <v>4976381.6184695801</v>
      </c>
      <c r="E53" s="334">
        <v>325</v>
      </c>
      <c r="F53" s="334">
        <v>1308034</v>
      </c>
    </row>
    <row r="54" spans="1:6">
      <c r="A54" s="348" t="s">
        <v>46</v>
      </c>
      <c r="B54" s="348" t="s">
        <v>47</v>
      </c>
      <c r="C54" s="334">
        <v>0</v>
      </c>
      <c r="D54" s="334">
        <v>0</v>
      </c>
      <c r="E54" s="334">
        <v>1</v>
      </c>
      <c r="F54" s="334">
        <v>985964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2351749.3702756399</v>
      </c>
      <c r="E57" s="334">
        <v>84</v>
      </c>
      <c r="F57" s="334">
        <v>1398609</v>
      </c>
    </row>
    <row r="58" spans="1:6">
      <c r="A58" s="348" t="s">
        <v>49</v>
      </c>
      <c r="B58" s="348" t="s">
        <v>51</v>
      </c>
      <c r="C58" s="334">
        <v>26</v>
      </c>
      <c r="D58" s="334">
        <v>944331.44164012803</v>
      </c>
      <c r="E58" s="334">
        <v>44</v>
      </c>
      <c r="F58" s="334">
        <v>597021</v>
      </c>
    </row>
    <row r="59" spans="1:6">
      <c r="A59" s="348" t="s">
        <v>49</v>
      </c>
      <c r="B59" s="348" t="s">
        <v>52</v>
      </c>
      <c r="C59" s="334">
        <v>64</v>
      </c>
      <c r="D59" s="334">
        <v>3776181.8704740601</v>
      </c>
      <c r="E59" s="334">
        <v>144</v>
      </c>
      <c r="F59" s="334">
        <v>5344240</v>
      </c>
    </row>
    <row r="60" spans="1:6">
      <c r="A60" s="348" t="s">
        <v>49</v>
      </c>
      <c r="B60" s="348" t="s">
        <v>53</v>
      </c>
      <c r="C60" s="334">
        <v>74</v>
      </c>
      <c r="D60" s="334">
        <v>4832205.8366188603</v>
      </c>
      <c r="E60" s="334">
        <v>142</v>
      </c>
      <c r="F60" s="334">
        <v>2416425</v>
      </c>
    </row>
    <row r="61" spans="1:6">
      <c r="A61" s="348" t="s">
        <v>49</v>
      </c>
      <c r="B61" s="348" t="s">
        <v>54</v>
      </c>
      <c r="C61" s="334">
        <v>239</v>
      </c>
      <c r="D61" s="334">
        <v>12931591.2420839</v>
      </c>
      <c r="E61" s="334">
        <v>473</v>
      </c>
      <c r="F61" s="334">
        <v>7060566</v>
      </c>
    </row>
    <row r="62" spans="1:6">
      <c r="A62" s="348" t="s">
        <v>49</v>
      </c>
      <c r="B62" s="348" t="s">
        <v>55</v>
      </c>
      <c r="C62" s="334">
        <v>9</v>
      </c>
      <c r="D62" s="334">
        <v>1553847.1413509999</v>
      </c>
      <c r="E62" s="334">
        <v>24</v>
      </c>
      <c r="F62" s="334">
        <v>1213049</v>
      </c>
    </row>
    <row r="63" spans="1:6">
      <c r="A63" s="348" t="s">
        <v>49</v>
      </c>
      <c r="B63" s="348" t="s">
        <v>29</v>
      </c>
      <c r="C63" s="334">
        <v>96</v>
      </c>
      <c r="D63" s="334">
        <v>5123343.9189631101</v>
      </c>
      <c r="E63" s="334">
        <v>97</v>
      </c>
      <c r="F63" s="334">
        <v>3337571</v>
      </c>
    </row>
    <row r="64" spans="1:6">
      <c r="A64" s="348" t="s">
        <v>56</v>
      </c>
      <c r="B64" s="348" t="s">
        <v>57</v>
      </c>
      <c r="C64" s="334">
        <v>0</v>
      </c>
      <c r="D64" s="334">
        <v>0</v>
      </c>
      <c r="E64" s="334">
        <v>0</v>
      </c>
      <c r="F64" s="334">
        <v>0</v>
      </c>
    </row>
    <row r="65" spans="1:6">
      <c r="A65" s="348" t="s">
        <v>56</v>
      </c>
      <c r="B65" s="348" t="s">
        <v>29</v>
      </c>
      <c r="C65" s="334">
        <v>2</v>
      </c>
      <c r="D65" s="334">
        <v>136538.184131004</v>
      </c>
      <c r="E65" s="334">
        <v>1</v>
      </c>
      <c r="F65" s="334">
        <v>1053.095</v>
      </c>
    </row>
    <row r="66" spans="1:6">
      <c r="A66" s="348" t="s">
        <v>56</v>
      </c>
      <c r="B66" s="348" t="s">
        <v>58</v>
      </c>
      <c r="C66" s="334">
        <v>0</v>
      </c>
      <c r="D66" s="334">
        <v>0</v>
      </c>
      <c r="E66" s="334">
        <v>8</v>
      </c>
      <c r="F66" s="334">
        <v>290313</v>
      </c>
    </row>
    <row r="67" spans="1:6">
      <c r="A67" s="355" t="s">
        <v>56</v>
      </c>
      <c r="B67" s="355" t="s">
        <v>59</v>
      </c>
      <c r="C67" s="334">
        <v>0</v>
      </c>
      <c r="D67" s="334">
        <v>0</v>
      </c>
      <c r="E67" s="334">
        <v>0</v>
      </c>
      <c r="F67" s="334">
        <v>0</v>
      </c>
    </row>
    <row r="68" spans="1:6">
      <c r="A68" s="341" t="s">
        <v>56</v>
      </c>
      <c r="B68" s="341" t="s">
        <v>60</v>
      </c>
      <c r="C68" s="334">
        <v>4</v>
      </c>
      <c r="D68" s="334">
        <v>83716.996074338094</v>
      </c>
      <c r="E68" s="334">
        <v>4</v>
      </c>
      <c r="F68" s="334">
        <v>43064.36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78279513</v>
      </c>
      <c r="E73" s="476">
        <v>84596391.079452053</v>
      </c>
    </row>
    <row r="74" spans="1:6">
      <c r="A74" s="348" t="s">
        <v>64</v>
      </c>
      <c r="B74" s="348" t="s">
        <v>714</v>
      </c>
      <c r="C74" s="1311" t="s">
        <v>716</v>
      </c>
      <c r="D74" s="476">
        <v>7143355.7770895995</v>
      </c>
      <c r="E74" s="476">
        <v>7461205.86668735</v>
      </c>
    </row>
    <row r="75" spans="1:6">
      <c r="A75" s="348" t="s">
        <v>65</v>
      </c>
      <c r="B75" s="348" t="s">
        <v>713</v>
      </c>
      <c r="C75" s="1311" t="s">
        <v>717</v>
      </c>
      <c r="D75" s="476">
        <v>14531834</v>
      </c>
      <c r="E75" s="476">
        <v>15703896.260144724</v>
      </c>
    </row>
    <row r="76" spans="1:6">
      <c r="A76" s="348" t="s">
        <v>65</v>
      </c>
      <c r="B76" s="348" t="s">
        <v>714</v>
      </c>
      <c r="C76" s="1311" t="s">
        <v>718</v>
      </c>
      <c r="D76" s="476">
        <v>864321.77708959952</v>
      </c>
      <c r="E76" s="476">
        <v>919292.51005387306</v>
      </c>
    </row>
    <row r="77" spans="1:6">
      <c r="A77" s="348" t="s">
        <v>66</v>
      </c>
      <c r="B77" s="348" t="s">
        <v>713</v>
      </c>
      <c r="C77" s="1311" t="s">
        <v>719</v>
      </c>
      <c r="D77" s="476">
        <v>44828646</v>
      </c>
      <c r="E77" s="476">
        <v>49522253.834483288</v>
      </c>
    </row>
    <row r="78" spans="1:6">
      <c r="A78" s="341" t="s">
        <v>66</v>
      </c>
      <c r="B78" s="341" t="s">
        <v>714</v>
      </c>
      <c r="C78" s="341" t="s">
        <v>720</v>
      </c>
      <c r="D78" s="1307">
        <v>4773975</v>
      </c>
      <c r="E78" s="1307">
        <v>5337199.7854307061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576386.44582080096</v>
      </c>
      <c r="C83" s="476">
        <v>569855.93926388409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1046.6526915475363</v>
      </c>
    </row>
    <row r="92" spans="1:6">
      <c r="A92" s="341" t="s">
        <v>69</v>
      </c>
      <c r="B92" s="342">
        <v>5963.3307194560011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4674</v>
      </c>
    </row>
    <row r="98" spans="1:6">
      <c r="A98" s="348" t="s">
        <v>72</v>
      </c>
      <c r="B98" s="334">
        <v>13</v>
      </c>
    </row>
    <row r="99" spans="1:6">
      <c r="A99" s="348" t="s">
        <v>73</v>
      </c>
      <c r="B99" s="334">
        <v>21</v>
      </c>
    </row>
    <row r="100" spans="1:6">
      <c r="A100" s="348" t="s">
        <v>74</v>
      </c>
      <c r="B100" s="334">
        <v>762</v>
      </c>
    </row>
    <row r="101" spans="1:6">
      <c r="A101" s="348" t="s">
        <v>75</v>
      </c>
      <c r="B101" s="334">
        <v>30</v>
      </c>
    </row>
    <row r="102" spans="1:6">
      <c r="A102" s="348" t="s">
        <v>76</v>
      </c>
      <c r="B102" s="334">
        <v>150</v>
      </c>
    </row>
    <row r="103" spans="1:6">
      <c r="A103" s="348" t="s">
        <v>77</v>
      </c>
      <c r="B103" s="334">
        <v>71</v>
      </c>
    </row>
    <row r="104" spans="1:6">
      <c r="A104" s="348" t="s">
        <v>78</v>
      </c>
      <c r="B104" s="334">
        <v>811</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23</v>
      </c>
    </row>
    <row r="130" spans="1:6">
      <c r="A130" s="348" t="s">
        <v>295</v>
      </c>
      <c r="B130" s="334">
        <v>1</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57514.628082231735</v>
      </c>
      <c r="C3" s="43" t="s">
        <v>170</v>
      </c>
      <c r="D3" s="43"/>
      <c r="E3" s="154"/>
      <c r="F3" s="43"/>
      <c r="G3" s="43"/>
      <c r="H3" s="43"/>
      <c r="I3" s="43"/>
      <c r="J3" s="43"/>
      <c r="K3" s="96"/>
    </row>
    <row r="4" spans="1:11">
      <c r="A4" s="384" t="s">
        <v>171</v>
      </c>
      <c r="B4" s="49">
        <f>IF(ISERROR('SEAP template'!B78+'SEAP template'!C78),0,'SEAP template'!B78+'SEAP template'!C78)</f>
        <v>7009.9834110035372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0.19406413367366648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985.96400000000006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985.96400000000006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0.19406413367366648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191.3402494934229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26412.312000000002</v>
      </c>
      <c r="C5" s="17">
        <f>IF(ISERROR('Eigen informatie GS &amp; warmtenet'!B57),0,'Eigen informatie GS &amp; warmtenet'!B57)</f>
        <v>0</v>
      </c>
      <c r="D5" s="30">
        <f>(SUM(HH_hh_gas_kWh,HH_rest_gas_kWh)/1000)*0.902</f>
        <v>71005.876957722183</v>
      </c>
      <c r="E5" s="17">
        <f>B46*B57</f>
        <v>447.83509244343213</v>
      </c>
      <c r="F5" s="17">
        <f>B51*B62</f>
        <v>0</v>
      </c>
      <c r="G5" s="18"/>
      <c r="H5" s="17"/>
      <c r="I5" s="17"/>
      <c r="J5" s="17">
        <f>B50*B61+C50*C61</f>
        <v>0</v>
      </c>
      <c r="K5" s="17"/>
      <c r="L5" s="17"/>
      <c r="M5" s="17"/>
      <c r="N5" s="17">
        <f>B48*B59+C48*C59</f>
        <v>2426.1534654188467</v>
      </c>
      <c r="O5" s="17">
        <f>B69*B70*B71</f>
        <v>43.773333333333341</v>
      </c>
      <c r="P5" s="17">
        <f>B77*B78*B79/1000-B77*B78*B79/1000/B80</f>
        <v>95.333333333333343</v>
      </c>
    </row>
    <row r="6" spans="1:16">
      <c r="A6" s="16" t="s">
        <v>631</v>
      </c>
      <c r="B6" s="789">
        <f>kWh_PV_kleiner_dan_10kW</f>
        <v>1046.6526915475363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27458.964691547539</v>
      </c>
      <c r="C8" s="21">
        <f>C5</f>
        <v>0</v>
      </c>
      <c r="D8" s="21">
        <f>D5</f>
        <v>71005.876957722183</v>
      </c>
      <c r="E8" s="21">
        <f>E5</f>
        <v>447.83509244343213</v>
      </c>
      <c r="F8" s="21">
        <f>F5</f>
        <v>0</v>
      </c>
      <c r="G8" s="21"/>
      <c r="H8" s="21"/>
      <c r="I8" s="21"/>
      <c r="J8" s="21">
        <f>J5</f>
        <v>0</v>
      </c>
      <c r="K8" s="21"/>
      <c r="L8" s="21">
        <f>L5</f>
        <v>0</v>
      </c>
      <c r="M8" s="21">
        <f>M5</f>
        <v>0</v>
      </c>
      <c r="N8" s="21">
        <f>N5</f>
        <v>2426.1534654188467</v>
      </c>
      <c r="O8" s="21">
        <f>O5</f>
        <v>43.773333333333341</v>
      </c>
      <c r="P8" s="21">
        <f>P5</f>
        <v>95.333333333333343</v>
      </c>
    </row>
    <row r="9" spans="1:16">
      <c r="B9" s="19"/>
      <c r="C9" s="19"/>
      <c r="D9" s="258"/>
      <c r="E9" s="19"/>
      <c r="F9" s="19"/>
      <c r="G9" s="19"/>
      <c r="H9" s="19"/>
      <c r="I9" s="19"/>
      <c r="J9" s="19"/>
      <c r="K9" s="19"/>
      <c r="L9" s="19"/>
      <c r="M9" s="19"/>
      <c r="N9" s="19"/>
      <c r="O9" s="19"/>
      <c r="P9" s="19"/>
    </row>
    <row r="10" spans="1:16">
      <c r="A10" s="24" t="s">
        <v>214</v>
      </c>
      <c r="B10" s="25">
        <f ca="1">'EF ele_warmte'!B12</f>
        <v>0.19406413367366648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5328.8001944409698</v>
      </c>
      <c r="C12" s="23">
        <f ca="1">C10*C8</f>
        <v>0</v>
      </c>
      <c r="D12" s="23">
        <f>D8*D10</f>
        <v>14343.187145459882</v>
      </c>
      <c r="E12" s="23">
        <f>E10*E8</f>
        <v>101.65856598465909</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4674</v>
      </c>
      <c r="C18" s="166" t="s">
        <v>111</v>
      </c>
      <c r="D18" s="228"/>
      <c r="E18" s="15"/>
    </row>
    <row r="19" spans="1:7">
      <c r="A19" s="171" t="s">
        <v>72</v>
      </c>
      <c r="B19" s="37">
        <f>aantalw2001_ander</f>
        <v>13</v>
      </c>
      <c r="C19" s="166" t="s">
        <v>111</v>
      </c>
      <c r="D19" s="229"/>
      <c r="E19" s="15"/>
    </row>
    <row r="20" spans="1:7">
      <c r="A20" s="171" t="s">
        <v>73</v>
      </c>
      <c r="B20" s="37">
        <f>aantalw2001_propaan</f>
        <v>21</v>
      </c>
      <c r="C20" s="167">
        <f>IF(ISERROR(B20/SUM($B$20,$B$21,$B$22)*100),0,B20/SUM($B$20,$B$21,$B$22)*100)</f>
        <v>2.5830258302583027</v>
      </c>
      <c r="D20" s="229"/>
      <c r="E20" s="15"/>
    </row>
    <row r="21" spans="1:7">
      <c r="A21" s="171" t="s">
        <v>74</v>
      </c>
      <c r="B21" s="37">
        <f>aantalw2001_elektriciteit</f>
        <v>762</v>
      </c>
      <c r="C21" s="167">
        <f>IF(ISERROR(B21/SUM($B$20,$B$21,$B$22)*100),0,B21/SUM($B$20,$B$21,$B$22)*100)</f>
        <v>93.726937269372684</v>
      </c>
      <c r="D21" s="229"/>
      <c r="E21" s="15"/>
    </row>
    <row r="22" spans="1:7">
      <c r="A22" s="171" t="s">
        <v>75</v>
      </c>
      <c r="B22" s="37">
        <f>aantalw2001_hout</f>
        <v>30</v>
      </c>
      <c r="C22" s="167">
        <f>IF(ISERROR(B22/SUM($B$20,$B$21,$B$22)*100),0,B22/SUM($B$20,$B$21,$B$22)*100)</f>
        <v>3.6900369003690034</v>
      </c>
      <c r="D22" s="229"/>
      <c r="E22" s="15"/>
    </row>
    <row r="23" spans="1:7">
      <c r="A23" s="171" t="s">
        <v>76</v>
      </c>
      <c r="B23" s="37">
        <f>aantalw2001_niet_gespec</f>
        <v>150</v>
      </c>
      <c r="C23" s="166" t="s">
        <v>111</v>
      </c>
      <c r="D23" s="228"/>
      <c r="E23" s="15"/>
    </row>
    <row r="24" spans="1:7">
      <c r="A24" s="171" t="s">
        <v>77</v>
      </c>
      <c r="B24" s="37">
        <f>aantalw2001_steenkool</f>
        <v>71</v>
      </c>
      <c r="C24" s="166" t="s">
        <v>111</v>
      </c>
      <c r="D24" s="229"/>
      <c r="E24" s="15"/>
    </row>
    <row r="25" spans="1:7">
      <c r="A25" s="171" t="s">
        <v>78</v>
      </c>
      <c r="B25" s="37">
        <f>aantalw2001_stookolie</f>
        <v>811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7277</v>
      </c>
      <c r="C28" s="36"/>
      <c r="D28" s="228"/>
    </row>
    <row r="29" spans="1:7" s="15" customFormat="1">
      <c r="A29" s="230" t="s">
        <v>741</v>
      </c>
      <c r="B29" s="37">
        <f>SUM(HH_hh_gas_aantal,HH_rest_gas_aantal)</f>
        <v>6110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6110</v>
      </c>
      <c r="C32" s="167">
        <f>IF(ISERROR(B32/SUM($B$32,$B$34,$B$35,$B$36,$B$38,$B$39)*100),0,B32/SUM($B$32,$B$34,$B$35,$B$36,$B$38,$B$39)*100)</f>
        <v>84.02090209020902</v>
      </c>
      <c r="D32" s="233"/>
      <c r="G32" s="15"/>
    </row>
    <row r="33" spans="1:7">
      <c r="A33" s="171" t="s">
        <v>72</v>
      </c>
      <c r="B33" s="34" t="s">
        <v>111</v>
      </c>
      <c r="C33" s="167"/>
      <c r="D33" s="233"/>
      <c r="G33" s="15"/>
    </row>
    <row r="34" spans="1:7">
      <c r="A34" s="171" t="s">
        <v>73</v>
      </c>
      <c r="B34" s="33">
        <f>IF((($B$28-$B$32-$B$39-$B$77-$B$38)*C20/100)&lt;0,0,($B$28-$B$32-$B$39-$B$77-$B$38)*C20/100)</f>
        <v>30.014760147601478</v>
      </c>
      <c r="C34" s="167">
        <f>IF(ISERROR(B34/SUM($B$32,$B$34,$B$35,$B$36,$B$38,$B$39)*100),0,B34/SUM($B$32,$B$34,$B$35,$B$36,$B$38,$B$39)*100)</f>
        <v>0.41274422645216557</v>
      </c>
      <c r="D34" s="233"/>
      <c r="G34" s="15"/>
    </row>
    <row r="35" spans="1:7">
      <c r="A35" s="171" t="s">
        <v>74</v>
      </c>
      <c r="B35" s="33">
        <f>IF((($B$28-$B$32-$B$39-$B$77-$B$38)*C21/100)&lt;0,0,($B$28-$B$32-$B$39-$B$77-$B$38)*C21/100)</f>
        <v>1089.1070110701105</v>
      </c>
      <c r="C35" s="167">
        <f>IF(ISERROR(B35/SUM($B$32,$B$34,$B$35,$B$36,$B$38,$B$39)*100),0,B35/SUM($B$32,$B$34,$B$35,$B$36,$B$38,$B$39)*100)</f>
        <v>14.97671907412143</v>
      </c>
      <c r="D35" s="233"/>
      <c r="G35" s="15"/>
    </row>
    <row r="36" spans="1:7">
      <c r="A36" s="171" t="s">
        <v>75</v>
      </c>
      <c r="B36" s="33">
        <f>IF((($B$28-$B$32-$B$39-$B$77-$B$38)*C22/100)&lt;0,0,($B$28-$B$32-$B$39-$B$77-$B$38)*C22/100)</f>
        <v>42.878228782287827</v>
      </c>
      <c r="C36" s="167">
        <f>IF(ISERROR(B36/SUM($B$32,$B$34,$B$35,$B$36,$B$38,$B$39)*100),0,B36/SUM($B$32,$B$34,$B$35,$B$36,$B$38,$B$39)*100)</f>
        <v>0.58963460921737942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6110</v>
      </c>
      <c r="C44" s="34" t="s">
        <v>111</v>
      </c>
      <c r="D44" s="174"/>
    </row>
    <row r="45" spans="1:7">
      <c r="A45" s="171" t="s">
        <v>72</v>
      </c>
      <c r="B45" s="33" t="str">
        <f t="shared" si="0"/>
        <v>-</v>
      </c>
      <c r="C45" s="34" t="s">
        <v>111</v>
      </c>
      <c r="D45" s="174"/>
    </row>
    <row r="46" spans="1:7">
      <c r="A46" s="171" t="s">
        <v>73</v>
      </c>
      <c r="B46" s="33">
        <f t="shared" si="0"/>
        <v>30.014760147601478</v>
      </c>
      <c r="C46" s="34" t="s">
        <v>111</v>
      </c>
      <c r="D46" s="174"/>
    </row>
    <row r="47" spans="1:7">
      <c r="A47" s="171" t="s">
        <v>74</v>
      </c>
      <c r="B47" s="33">
        <f t="shared" si="0"/>
        <v>1089.1070110701105</v>
      </c>
      <c r="C47" s="34" t="s">
        <v>111</v>
      </c>
      <c r="D47" s="174"/>
    </row>
    <row r="48" spans="1:7">
      <c r="A48" s="171" t="s">
        <v>75</v>
      </c>
      <c r="B48" s="33">
        <f t="shared" si="0"/>
        <v>42.878228782287827</v>
      </c>
      <c r="C48" s="33">
        <f>B48*10</f>
        <v>428.78228782287829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21367.481</v>
      </c>
      <c r="C5" s="17">
        <f>IF(ISERROR('Eigen informatie GS &amp; warmtenet'!B58),0,'Eigen informatie GS &amp; warmtenet'!B58)</f>
        <v>0</v>
      </c>
      <c r="D5" s="30">
        <f>SUM(D6:D12)</f>
        <v>28424.952240908842</v>
      </c>
      <c r="E5" s="17">
        <f>SUM(E6:E12)</f>
        <v>215.57424970135204</v>
      </c>
      <c r="F5" s="17">
        <f>SUM(F6:F12)</f>
        <v>3204.6697479511736</v>
      </c>
      <c r="G5" s="18"/>
      <c r="H5" s="17"/>
      <c r="I5" s="17"/>
      <c r="J5" s="17">
        <f>SUM(J6:J12)</f>
        <v>0</v>
      </c>
      <c r="K5" s="17"/>
      <c r="L5" s="17"/>
      <c r="M5" s="17"/>
      <c r="N5" s="17">
        <f>SUM(N6:N12)</f>
        <v>1390.5145668845955</v>
      </c>
      <c r="O5" s="17">
        <f>B38*B39*B40</f>
        <v>1.5633333333333335</v>
      </c>
      <c r="P5" s="17">
        <f>B46*B47*B48/1000-B46*B47*B48/1000/B49</f>
        <v>0</v>
      </c>
      <c r="R5" s="32"/>
    </row>
    <row r="6" spans="1:18">
      <c r="A6" s="32" t="s">
        <v>54</v>
      </c>
      <c r="B6" s="37">
        <f>B26</f>
        <v>7060.5659999999998</v>
      </c>
      <c r="C6" s="33"/>
      <c r="D6" s="37">
        <f>IF(ISERROR(TER_kantoor_gas_kWh/1000),0,TER_kantoor_gas_kWh/1000)*0.902</f>
        <v>11664.295300359678</v>
      </c>
      <c r="E6" s="33">
        <f>$C$26*'E Balans VL '!I12/100/3.6*1000000</f>
        <v>20.455495633919675</v>
      </c>
      <c r="F6" s="33">
        <f>$C$26*('E Balans VL '!L12+'E Balans VL '!N12)/100/3.6*1000000</f>
        <v>799.10051487037299</v>
      </c>
      <c r="G6" s="34"/>
      <c r="H6" s="33"/>
      <c r="I6" s="33"/>
      <c r="J6" s="33">
        <f>$C$26*('E Balans VL '!D12+'E Balans VL '!E12)/100/3.6*1000000</f>
        <v>0</v>
      </c>
      <c r="K6" s="33"/>
      <c r="L6" s="33"/>
      <c r="M6" s="33"/>
      <c r="N6" s="33">
        <f>$C$26*'E Balans VL '!Y12/100/3.6*1000000</f>
        <v>70.671063202687876</v>
      </c>
      <c r="O6" s="33"/>
      <c r="P6" s="33"/>
      <c r="R6" s="32"/>
    </row>
    <row r="7" spans="1:18">
      <c r="A7" s="32" t="s">
        <v>53</v>
      </c>
      <c r="B7" s="37">
        <f t="shared" ref="B7:B12" si="0">B27</f>
        <v>2416.4250000000002</v>
      </c>
      <c r="C7" s="33"/>
      <c r="D7" s="37">
        <f>IF(ISERROR(TER_horeca_gas_kWh/1000),0,TER_horeca_gas_kWh/1000)*0.902</f>
        <v>4358.6496646302121</v>
      </c>
      <c r="E7" s="33">
        <f>$C$27*'E Balans VL '!I9/100/3.6*1000000</f>
        <v>101.43477014198271</v>
      </c>
      <c r="F7" s="33">
        <f>$C$27*('E Balans VL '!L9+'E Balans VL '!N9)/100/3.6*1000000</f>
        <v>519.21846471171614</v>
      </c>
      <c r="G7" s="34"/>
      <c r="H7" s="33"/>
      <c r="I7" s="33"/>
      <c r="J7" s="33">
        <f>$C$27*('E Balans VL '!D9+'E Balans VL '!E9)/100/3.6*1000000</f>
        <v>0</v>
      </c>
      <c r="K7" s="33"/>
      <c r="L7" s="33"/>
      <c r="M7" s="33"/>
      <c r="N7" s="33">
        <f>$C$27*'E Balans VL '!Y9/100/3.6*1000000</f>
        <v>0.62269159009674835</v>
      </c>
      <c r="O7" s="33"/>
      <c r="P7" s="33"/>
      <c r="R7" s="32"/>
    </row>
    <row r="8" spans="1:18">
      <c r="A8" s="6" t="s">
        <v>52</v>
      </c>
      <c r="B8" s="37">
        <f t="shared" si="0"/>
        <v>5344.24</v>
      </c>
      <c r="C8" s="33"/>
      <c r="D8" s="37">
        <f>IF(ISERROR(TER_handel_gas_kWh/1000),0,TER_handel_gas_kWh/1000)*0.902</f>
        <v>3406.1160471676021</v>
      </c>
      <c r="E8" s="33">
        <f>$C$28*'E Balans VL '!I13/100/3.6*1000000</f>
        <v>57.401585484513802</v>
      </c>
      <c r="F8" s="33">
        <f>$C$28*('E Balans VL '!L13+'E Balans VL '!N13)/100/3.6*1000000</f>
        <v>691.85599982415158</v>
      </c>
      <c r="G8" s="34"/>
      <c r="H8" s="33"/>
      <c r="I8" s="33"/>
      <c r="J8" s="33">
        <f>$C$28*('E Balans VL '!D13+'E Balans VL '!E13)/100/3.6*1000000</f>
        <v>0</v>
      </c>
      <c r="K8" s="33"/>
      <c r="L8" s="33"/>
      <c r="M8" s="33"/>
      <c r="N8" s="33">
        <f>$C$28*'E Balans VL '!Y13/100/3.6*1000000</f>
        <v>43.352766688191679</v>
      </c>
      <c r="O8" s="33"/>
      <c r="P8" s="33"/>
      <c r="R8" s="32"/>
    </row>
    <row r="9" spans="1:18">
      <c r="A9" s="32" t="s">
        <v>51</v>
      </c>
      <c r="B9" s="37">
        <f t="shared" si="0"/>
        <v>597.02099999999996</v>
      </c>
      <c r="C9" s="33"/>
      <c r="D9" s="37">
        <f>IF(ISERROR(TER_gezond_gas_kWh/1000),0,TER_gezond_gas_kWh/1000)*0.902</f>
        <v>851.78696035939549</v>
      </c>
      <c r="E9" s="33">
        <f>$C$29*'E Balans VL '!I10/100/3.6*1000000</f>
        <v>0.47526733028377266</v>
      </c>
      <c r="F9" s="33">
        <f>$C$29*('E Balans VL '!L10+'E Balans VL '!N10)/100/3.6*1000000</f>
        <v>72.576530280553158</v>
      </c>
      <c r="G9" s="34"/>
      <c r="H9" s="33"/>
      <c r="I9" s="33"/>
      <c r="J9" s="33">
        <f>$C$29*('E Balans VL '!D10+'E Balans VL '!E10)/100/3.6*1000000</f>
        <v>0</v>
      </c>
      <c r="K9" s="33"/>
      <c r="L9" s="33"/>
      <c r="M9" s="33"/>
      <c r="N9" s="33">
        <f>$C$29*'E Balans VL '!Y10/100/3.6*1000000</f>
        <v>4.8225774676784248</v>
      </c>
      <c r="O9" s="33"/>
      <c r="P9" s="33"/>
      <c r="R9" s="32"/>
    </row>
    <row r="10" spans="1:18">
      <c r="A10" s="32" t="s">
        <v>50</v>
      </c>
      <c r="B10" s="37">
        <f t="shared" si="0"/>
        <v>1398.6089999999999</v>
      </c>
      <c r="C10" s="33"/>
      <c r="D10" s="37">
        <f>IF(ISERROR(TER_ander_gas_kWh/1000),0,TER_ander_gas_kWh/1000)*0.902</f>
        <v>2121.2779319886276</v>
      </c>
      <c r="E10" s="33">
        <f>$C$30*'E Balans VL '!I14/100/3.6*1000000</f>
        <v>4.7931065164985895</v>
      </c>
      <c r="F10" s="33">
        <f>$C$30*('E Balans VL '!L14+'E Balans VL '!N14)/100/3.6*1000000</f>
        <v>312.39241782494213</v>
      </c>
      <c r="G10" s="34"/>
      <c r="H10" s="33"/>
      <c r="I10" s="33"/>
      <c r="J10" s="33">
        <f>$C$30*('E Balans VL '!D14+'E Balans VL '!E14)/100/3.6*1000000</f>
        <v>0</v>
      </c>
      <c r="K10" s="33"/>
      <c r="L10" s="33"/>
      <c r="M10" s="33"/>
      <c r="N10" s="33">
        <f>$C$30*'E Balans VL '!Y14/100/3.6*1000000</f>
        <v>985.18782005161688</v>
      </c>
      <c r="O10" s="33"/>
      <c r="P10" s="33"/>
      <c r="R10" s="32"/>
    </row>
    <row r="11" spans="1:18">
      <c r="A11" s="32" t="s">
        <v>55</v>
      </c>
      <c r="B11" s="37">
        <f t="shared" si="0"/>
        <v>1213.049</v>
      </c>
      <c r="C11" s="33"/>
      <c r="D11" s="37">
        <f>IF(ISERROR(TER_onderwijs_gas_kWh/1000),0,TER_onderwijs_gas_kWh/1000)*0.902</f>
        <v>1401.570121498602</v>
      </c>
      <c r="E11" s="33">
        <f>$C$31*'E Balans VL '!I11/100/3.6*1000000</f>
        <v>0.83854341473099736</v>
      </c>
      <c r="F11" s="33">
        <f>$C$31*('E Balans VL '!L11+'E Balans VL '!N11)/100/3.6*1000000</f>
        <v>317.54099151741633</v>
      </c>
      <c r="G11" s="34"/>
      <c r="H11" s="33"/>
      <c r="I11" s="33"/>
      <c r="J11" s="33">
        <f>$C$31*('E Balans VL '!D11+'E Balans VL '!E11)/100/3.6*1000000</f>
        <v>0</v>
      </c>
      <c r="K11" s="33"/>
      <c r="L11" s="33"/>
      <c r="M11" s="33"/>
      <c r="N11" s="33">
        <f>$C$31*'E Balans VL '!Y11/100/3.6*1000000</f>
        <v>1.2074869600459512</v>
      </c>
      <c r="O11" s="33"/>
      <c r="P11" s="33"/>
      <c r="R11" s="32"/>
    </row>
    <row r="12" spans="1:18">
      <c r="A12" s="32" t="s">
        <v>260</v>
      </c>
      <c r="B12" s="37">
        <f t="shared" si="0"/>
        <v>3337.5709999999999</v>
      </c>
      <c r="C12" s="33"/>
      <c r="D12" s="37">
        <f>IF(ISERROR(TER_rest_gas_kWh/1000),0,TER_rest_gas_kWh/1000)*0.902</f>
        <v>4621.2562149047253</v>
      </c>
      <c r="E12" s="33">
        <f>$C$32*'E Balans VL '!I8/100/3.6*1000000</f>
        <v>30.175481179422494</v>
      </c>
      <c r="F12" s="33">
        <f>$C$32*('E Balans VL '!L8+'E Balans VL '!N8)/100/3.6*1000000</f>
        <v>491.98482892202128</v>
      </c>
      <c r="G12" s="34"/>
      <c r="H12" s="33"/>
      <c r="I12" s="33"/>
      <c r="J12" s="33">
        <f>$C$32*('E Balans VL '!D8+'E Balans VL '!E8)/100/3.6*1000000</f>
        <v>0</v>
      </c>
      <c r="K12" s="33"/>
      <c r="L12" s="33"/>
      <c r="M12" s="33"/>
      <c r="N12" s="33">
        <f>$C$32*'E Balans VL '!Y8/100/3.6*1000000</f>
        <v>284.650160924278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21367.481</v>
      </c>
      <c r="C16" s="21">
        <f t="shared" ca="1" si="1"/>
        <v>0</v>
      </c>
      <c r="D16" s="21">
        <f t="shared" ca="1" si="1"/>
        <v>28424.952240908842</v>
      </c>
      <c r="E16" s="21">
        <f t="shared" si="1"/>
        <v>215.57424970135204</v>
      </c>
      <c r="F16" s="21">
        <f t="shared" ca="1" si="1"/>
        <v>3204.6697479511736</v>
      </c>
      <c r="G16" s="21">
        <f t="shared" si="1"/>
        <v>0</v>
      </c>
      <c r="H16" s="21">
        <f t="shared" si="1"/>
        <v>0</v>
      </c>
      <c r="I16" s="21">
        <f t="shared" si="1"/>
        <v>0</v>
      </c>
      <c r="J16" s="21">
        <f t="shared" si="1"/>
        <v>0</v>
      </c>
      <c r="K16" s="21">
        <f t="shared" si="1"/>
        <v>0</v>
      </c>
      <c r="L16" s="21">
        <f t="shared" ca="1" si="1"/>
        <v>0</v>
      </c>
      <c r="M16" s="21">
        <f t="shared" si="1"/>
        <v>0</v>
      </c>
      <c r="N16" s="21">
        <f t="shared" ca="1" si="1"/>
        <v>1390.5145668845955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0.19406413367366648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4146.6616890535288</v>
      </c>
      <c r="C20" s="23">
        <f t="shared" ref="C20:P20" ca="1" si="2">C16*C18</f>
        <v>0</v>
      </c>
      <c r="D20" s="23">
        <f t="shared" ca="1" si="2"/>
        <v>5741.8403526635866</v>
      </c>
      <c r="E20" s="23">
        <f t="shared" si="2"/>
        <v>48.935354682206913</v>
      </c>
      <c r="F20" s="23">
        <f t="shared" ca="1" si="2"/>
        <v>855.64682270296339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7060.5659999999998</v>
      </c>
      <c r="C26" s="39">
        <f>IF(ISERROR(B26*3.6/1000000/'E Balans VL '!Z12*100),0,B26*3.6/1000000/'E Balans VL '!Z12*100)</f>
        <v>0.15509349502169945</v>
      </c>
      <c r="D26" s="237" t="s">
        <v>692</v>
      </c>
      <c r="F26" s="6"/>
    </row>
    <row r="27" spans="1:18">
      <c r="A27" s="231" t="s">
        <v>53</v>
      </c>
      <c r="B27" s="33">
        <f>IF(ISERROR(TER_horeca_ele_kWh/1000),0,TER_horeca_ele_kWh/1000)</f>
        <v>2416.4250000000002</v>
      </c>
      <c r="C27" s="39">
        <f>IF(ISERROR(B27*3.6/1000000/'E Balans VL '!Z9*100),0,B27*3.6/1000000/'E Balans VL '!Z9*100)</f>
        <v>0.19418383595889596</v>
      </c>
      <c r="D27" s="237" t="s">
        <v>692</v>
      </c>
      <c r="F27" s="6"/>
    </row>
    <row r="28" spans="1:18">
      <c r="A28" s="171" t="s">
        <v>52</v>
      </c>
      <c r="B28" s="33">
        <f>IF(ISERROR(TER_handel_ele_kWh/1000),0,TER_handel_ele_kWh/1000)</f>
        <v>5344.24</v>
      </c>
      <c r="C28" s="39">
        <f>IF(ISERROR(B28*3.6/1000000/'E Balans VL '!Z13*100),0,B28*3.6/1000000/'E Balans VL '!Z13*100)</f>
        <v>0.15802544323554393</v>
      </c>
      <c r="D28" s="237" t="s">
        <v>692</v>
      </c>
      <c r="F28" s="6"/>
    </row>
    <row r="29" spans="1:18">
      <c r="A29" s="231" t="s">
        <v>51</v>
      </c>
      <c r="B29" s="33">
        <f>IF(ISERROR(TER_gezond_ele_kWh/1000),0,TER_gezond_ele_kWh/1000)</f>
        <v>597.02099999999996</v>
      </c>
      <c r="C29" s="39">
        <f>IF(ISERROR(B29*3.6/1000000/'E Balans VL '!Z10*100),0,B29*3.6/1000000/'E Balans VL '!Z10*100)</f>
        <v>6.7268852976503146E-2</v>
      </c>
      <c r="D29" s="237" t="s">
        <v>692</v>
      </c>
      <c r="F29" s="6"/>
    </row>
    <row r="30" spans="1:18">
      <c r="A30" s="231" t="s">
        <v>50</v>
      </c>
      <c r="B30" s="33">
        <f>IF(ISERROR(TER_ander_ele_kWh/1000),0,TER_ander_ele_kWh/1000)</f>
        <v>1398.6089999999999</v>
      </c>
      <c r="C30" s="39">
        <f>IF(ISERROR(B30*3.6/1000000/'E Balans VL '!Z14*100),0,B30*3.6/1000000/'E Balans VL '!Z14*100)</f>
        <v>0.10577440785590772</v>
      </c>
      <c r="D30" s="237" t="s">
        <v>692</v>
      </c>
      <c r="F30" s="6"/>
    </row>
    <row r="31" spans="1:18">
      <c r="A31" s="231" t="s">
        <v>55</v>
      </c>
      <c r="B31" s="33">
        <f>IF(ISERROR(TER_onderwijs_ele_kWh/1000),0,TER_onderwijs_ele_kWh/1000)</f>
        <v>1213.049</v>
      </c>
      <c r="C31" s="39">
        <f>IF(ISERROR(B31*3.6/1000000/'E Balans VL '!Z11*100),0,B31*3.6/1000000/'E Balans VL '!Z11*100)</f>
        <v>0.25180081267637394</v>
      </c>
      <c r="D31" s="237" t="s">
        <v>692</v>
      </c>
    </row>
    <row r="32" spans="1:18">
      <c r="A32" s="231" t="s">
        <v>260</v>
      </c>
      <c r="B32" s="33">
        <f>IF(ISERROR(TER_rest_ele_kWh/1000),0,TER_rest_ele_kWh/1000)</f>
        <v>3337.5709999999999</v>
      </c>
      <c r="C32" s="39">
        <f>IF(ISERROR(B32*3.6/1000000/'E Balans VL '!Z8*100),0,B32*3.6/1000000/'E Balans VL '!Z8*100)</f>
        <v>2.8117072248471438E-2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6368.3072000000002</v>
      </c>
      <c r="C5" s="17">
        <f>IF(ISERROR('Eigen informatie GS &amp; warmtenet'!B59),0,'Eigen informatie GS &amp; warmtenet'!B59)</f>
        <v>0</v>
      </c>
      <c r="D5" s="30">
        <f>SUM(D6:D15)</f>
        <v>4448.1530933505937</v>
      </c>
      <c r="E5" s="17">
        <f>SUM(E6:E15)</f>
        <v>468.76809532925654</v>
      </c>
      <c r="F5" s="17">
        <f>SUM(F6:F15)</f>
        <v>2598.1860717471027</v>
      </c>
      <c r="G5" s="18"/>
      <c r="H5" s="17"/>
      <c r="I5" s="17"/>
      <c r="J5" s="17">
        <f>SUM(J6:J15)</f>
        <v>27.278721379541004</v>
      </c>
      <c r="K5" s="17"/>
      <c r="L5" s="17"/>
      <c r="M5" s="17"/>
      <c r="N5" s="17">
        <f>SUM(N6:N15)</f>
        <v>1299.8773386864145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821.95050000000003</v>
      </c>
      <c r="C8" s="33"/>
      <c r="D8" s="37">
        <f>IF( ISERROR(IND_metaal_Gas_kWH/1000),0,IND_metaal_Gas_kWH/1000)*0.902</f>
        <v>229.05985907058223</v>
      </c>
      <c r="E8" s="33">
        <f>C30*'E Balans VL '!I18/100/3.6*1000000</f>
        <v>20.570544249880673</v>
      </c>
      <c r="F8" s="33">
        <f>C30*'E Balans VL '!L18/100/3.6*1000000+C30*'E Balans VL '!N18/100/3.6*1000000</f>
        <v>257.60337529205492</v>
      </c>
      <c r="G8" s="34"/>
      <c r="H8" s="33"/>
      <c r="I8" s="33"/>
      <c r="J8" s="40">
        <f>C30*'E Balans VL '!D18/100/3.6*1000000+C30*'E Balans VL '!E18/100/3.6*1000000</f>
        <v>0</v>
      </c>
      <c r="K8" s="33"/>
      <c r="L8" s="33"/>
      <c r="M8" s="33"/>
      <c r="N8" s="33">
        <f>C30*'E Balans VL '!Y18/100/3.6*1000000</f>
        <v>20.649529707559399</v>
      </c>
      <c r="O8" s="33"/>
      <c r="P8" s="33"/>
      <c r="R8" s="32"/>
    </row>
    <row r="9" spans="1:18">
      <c r="A9" s="6" t="s">
        <v>33</v>
      </c>
      <c r="B9" s="37">
        <f t="shared" si="0"/>
        <v>809.0498</v>
      </c>
      <c r="C9" s="33"/>
      <c r="D9" s="37">
        <f>IF( ISERROR(IND_andere_gas_kWh/1000),0,IND_andere_gas_kWh/1000)*0.902</f>
        <v>1389.4406496780739</v>
      </c>
      <c r="E9" s="33">
        <f>C31*'E Balans VL '!I19/100/3.6*1000000</f>
        <v>222.45551177747456</v>
      </c>
      <c r="F9" s="33">
        <f>C31*'E Balans VL '!L19/100/3.6*1000000+C31*'E Balans VL '!N19/100/3.6*1000000</f>
        <v>637.67202717325949</v>
      </c>
      <c r="G9" s="34"/>
      <c r="H9" s="33"/>
      <c r="I9" s="33"/>
      <c r="J9" s="40">
        <f>C31*'E Balans VL '!D19/100/3.6*1000000+C31*'E Balans VL '!E19/100/3.6*1000000</f>
        <v>0</v>
      </c>
      <c r="K9" s="33"/>
      <c r="L9" s="33"/>
      <c r="M9" s="33"/>
      <c r="N9" s="33">
        <f>C31*'E Balans VL '!Y19/100/3.6*1000000</f>
        <v>261.91077560113547</v>
      </c>
      <c r="O9" s="33"/>
      <c r="P9" s="33"/>
      <c r="R9" s="32"/>
    </row>
    <row r="10" spans="1:18">
      <c r="A10" s="6" t="s">
        <v>41</v>
      </c>
      <c r="B10" s="37">
        <f t="shared" si="0"/>
        <v>375.12290000000002</v>
      </c>
      <c r="C10" s="33"/>
      <c r="D10" s="37">
        <f>IF( ISERROR(IND_voed_gas_kWh/1000),0,IND_voed_gas_kWh/1000)*0.902</f>
        <v>358.47042840900798</v>
      </c>
      <c r="E10" s="33">
        <f>C32*'E Balans VL '!I20/100/3.6*1000000</f>
        <v>3.8241713091152039</v>
      </c>
      <c r="F10" s="33">
        <f>C32*'E Balans VL '!L20/100/3.6*1000000+C32*'E Balans VL '!N20/100/3.6*1000000</f>
        <v>708.60481193273836</v>
      </c>
      <c r="G10" s="34"/>
      <c r="H10" s="33"/>
      <c r="I10" s="33"/>
      <c r="J10" s="40">
        <f>C32*'E Balans VL '!D20/100/3.6*1000000+C32*'E Balans VL '!E20/100/3.6*1000000</f>
        <v>8.977918404685763</v>
      </c>
      <c r="K10" s="33"/>
      <c r="L10" s="33"/>
      <c r="M10" s="33"/>
      <c r="N10" s="33">
        <f>C32*'E Balans VL '!Y20/100/3.6*1000000</f>
        <v>197.73297715965555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4362.1840000000002</v>
      </c>
      <c r="C15" s="33"/>
      <c r="D15" s="37">
        <f>IF( ISERROR(IND_rest_gas_kWh/1000),0,IND_rest_gas_kWh/1000)*0.902</f>
        <v>2471.1821561929296</v>
      </c>
      <c r="E15" s="33">
        <f>C37*'E Balans VL '!I15/100/3.6*1000000</f>
        <v>221.91786799278611</v>
      </c>
      <c r="F15" s="33">
        <f>C37*'E Balans VL '!L15/100/3.6*1000000+C37*'E Balans VL '!N15/100/3.6*1000000</f>
        <v>994.3058573490498</v>
      </c>
      <c r="G15" s="34"/>
      <c r="H15" s="33"/>
      <c r="I15" s="33"/>
      <c r="J15" s="40">
        <f>C37*'E Balans VL '!D15/100/3.6*1000000+C37*'E Balans VL '!E15/100/3.6*1000000</f>
        <v>18.300802974855241</v>
      </c>
      <c r="K15" s="33"/>
      <c r="L15" s="33"/>
      <c r="M15" s="33"/>
      <c r="N15" s="33">
        <f>C37*'E Balans VL '!Y15/100/3.6*1000000</f>
        <v>819.58405621806412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6368.3072000000002</v>
      </c>
      <c r="C18" s="21">
        <f>C5+C16</f>
        <v>0</v>
      </c>
      <c r="D18" s="21">
        <f>MAX((D5+D16),0)</f>
        <v>4448.1530933505937</v>
      </c>
      <c r="E18" s="21">
        <f>MAX((E5+E16),0)</f>
        <v>468.76809532925654</v>
      </c>
      <c r="F18" s="21">
        <f>MAX((F5+F16),0)</f>
        <v>2598.1860717471027</v>
      </c>
      <c r="G18" s="21"/>
      <c r="H18" s="21"/>
      <c r="I18" s="21"/>
      <c r="J18" s="21">
        <f>MAX((J5+J16),0)</f>
        <v>27.278721379541004</v>
      </c>
      <c r="K18" s="21"/>
      <c r="L18" s="21">
        <f>MAX((L5+L16),0)</f>
        <v>0</v>
      </c>
      <c r="M18" s="21"/>
      <c r="N18" s="21">
        <f>MAX((N5+N16),0)</f>
        <v>1299.8773386864145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0.19406413367366648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1235.8600197357728</v>
      </c>
      <c r="C22" s="23">
        <f ca="1">C18*C20</f>
        <v>0</v>
      </c>
      <c r="D22" s="23">
        <f>D18*D20</f>
        <v>898.52692485681996</v>
      </c>
      <c r="E22" s="23">
        <f>E18*E20</f>
        <v>106.41035763974124</v>
      </c>
      <c r="F22" s="23">
        <f>F18*F20</f>
        <v>693.71568115647642</v>
      </c>
      <c r="G22" s="23"/>
      <c r="H22" s="23"/>
      <c r="I22" s="23"/>
      <c r="J22" s="23">
        <f>J18*J20</f>
        <v>9.6566673683575157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821.95050000000003</v>
      </c>
      <c r="C30" s="39">
        <f>IF(ISERROR(B30*3.6/1000000/'E Balans VL '!Z18*100),0,B30*3.6/1000000/'E Balans VL '!Z18*100)</f>
        <v>0.11504567819698187</v>
      </c>
      <c r="D30" s="237" t="s">
        <v>692</v>
      </c>
    </row>
    <row r="31" spans="1:18">
      <c r="A31" s="6" t="s">
        <v>33</v>
      </c>
      <c r="B31" s="37">
        <f>IF( ISERROR(IND_ander_ele_kWh/1000),0,IND_ander_ele_kWh/1000)</f>
        <v>809.0498</v>
      </c>
      <c r="C31" s="39">
        <f>IF(ISERROR(B31*3.6/1000000/'E Balans VL '!Z19*100),0,B31*3.6/1000000/'E Balans VL '!Z19*100)</f>
        <v>3.541197849947568E-2</v>
      </c>
      <c r="D31" s="237" t="s">
        <v>692</v>
      </c>
    </row>
    <row r="32" spans="1:18">
      <c r="A32" s="171" t="s">
        <v>41</v>
      </c>
      <c r="B32" s="37">
        <f>IF( ISERROR(IND_voed_ele_kWh/1000),0,IND_voed_ele_kWh/1000)</f>
        <v>375.12290000000002</v>
      </c>
      <c r="C32" s="39">
        <f>IF(ISERROR(B32*3.6/1000000/'E Balans VL '!Z20*100),0,B32*3.6/1000000/'E Balans VL '!Z20*100)</f>
        <v>9.2867972822949216E-2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4362.1840000000002</v>
      </c>
      <c r="C37" s="39">
        <f>IF(ISERROR(B37*3.6/1000000/'E Balans VL '!Z15*100),0,B37*3.6/1000000/'E Balans VL '!Z15*100)</f>
        <v>3.2344847522495696E-2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7.0131450000000006</v>
      </c>
      <c r="C5" s="17">
        <f>'Eigen informatie GS &amp; warmtenet'!B60</f>
        <v>0</v>
      </c>
      <c r="D5" s="30">
        <f>IF(ISERROR(SUM(LB_lb_gas_kWh,LB_rest_gas_kWh)/1000),0,SUM(LB_lb_gas_kWh,LB_rest_gas_kWh)/1000)*0.902</f>
        <v>20.773468809136627</v>
      </c>
      <c r="E5" s="17">
        <f>B17*'E Balans VL '!I25/3.6*1000000/100</f>
        <v>6.4958686365135174E-2</v>
      </c>
      <c r="F5" s="17">
        <f>B17*('E Balans VL '!L25/3.6*1000000+'E Balans VL '!N25/3.6*1000000)/100</f>
        <v>17.79368486775147</v>
      </c>
      <c r="G5" s="18"/>
      <c r="H5" s="17"/>
      <c r="I5" s="17"/>
      <c r="J5" s="17">
        <f>('E Balans VL '!D25+'E Balans VL '!E25)/3.6*1000000*landbouw!B17/100</f>
        <v>1.0751933954266297</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7.0131450000000006</v>
      </c>
      <c r="C8" s="21">
        <f>C5+C6</f>
        <v>0</v>
      </c>
      <c r="D8" s="21">
        <f>MAX((D5+D6),0)</f>
        <v>20.773468809136627</v>
      </c>
      <c r="E8" s="21">
        <f>MAX((E5+E6),0)</f>
        <v>6.4958686365135174E-2</v>
      </c>
      <c r="F8" s="21">
        <f>MAX((F5+F6),0)</f>
        <v>17.79368486775147</v>
      </c>
      <c r="G8" s="21"/>
      <c r="H8" s="21"/>
      <c r="I8" s="21"/>
      <c r="J8" s="21">
        <f>MAX((J5+J6),0)</f>
        <v>1.0751933954266297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0.19406413367366648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1.3609999087528057</v>
      </c>
      <c r="C12" s="23">
        <f ca="1">C8*C10</f>
        <v>0</v>
      </c>
      <c r="D12" s="23">
        <f>D8*D10</f>
        <v>4.1962406994455987</v>
      </c>
      <c r="E12" s="23">
        <f>E8*E10</f>
        <v>1.4745621804885685E-2</v>
      </c>
      <c r="F12" s="23">
        <f>F8*F10</f>
        <v>4.7509138596896427</v>
      </c>
      <c r="G12" s="23"/>
      <c r="H12" s="23"/>
      <c r="I12" s="23"/>
      <c r="J12" s="23">
        <f>J8*J10</f>
        <v>0.38061846198102689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9.9712051462258673E-4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0.90200000000000002</v>
      </c>
      <c r="C26" s="247">
        <f>B26*'GWP N2O_CH4'!B5</f>
        <v>18.942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7.6999999999999999E-2</v>
      </c>
      <c r="C27" s="247">
        <f>B27*'GWP N2O_CH4'!B5</f>
        <v>1.617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5.2448698387180942E-3</v>
      </c>
      <c r="C28" s="247">
        <f>B28*'GWP N2O_CH4'!B4</f>
        <v>1.6259096500026091</v>
      </c>
      <c r="D28" s="50"/>
    </row>
    <row r="29" spans="1:4">
      <c r="A29" s="41" t="s">
        <v>277</v>
      </c>
      <c r="B29" s="247">
        <f>B34*'ha_N2O bodem landbouw'!B4</f>
        <v>0.31774978308429014</v>
      </c>
      <c r="C29" s="247">
        <f>B29*'GWP N2O_CH4'!B4</f>
        <v>98.502432756129949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7.1265678449258839E-5</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6.791056446310525E-5</v>
      </c>
      <c r="C5" s="464" t="s">
        <v>211</v>
      </c>
      <c r="D5" s="449">
        <f>SUM(D6:D11)</f>
        <v>1.7231497028423188E-4</v>
      </c>
      <c r="E5" s="449">
        <f>SUM(E6:E11)</f>
        <v>1.1934698807000836E-3</v>
      </c>
      <c r="F5" s="462" t="s">
        <v>211</v>
      </c>
      <c r="G5" s="449">
        <f>SUM(G6:G11)</f>
        <v>0.35598198020531785</v>
      </c>
      <c r="H5" s="449">
        <f>SUM(H6:H11)</f>
        <v>6.6231655895918909E-2</v>
      </c>
      <c r="I5" s="464" t="s">
        <v>211</v>
      </c>
      <c r="J5" s="464" t="s">
        <v>211</v>
      </c>
      <c r="K5" s="464" t="s">
        <v>211</v>
      </c>
      <c r="L5" s="464" t="s">
        <v>211</v>
      </c>
      <c r="M5" s="449">
        <f>SUM(M6:M11)</f>
        <v>2.2630791821533255E-2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3.8622538390618672E-5</v>
      </c>
      <c r="C6" s="450"/>
      <c r="D6" s="893">
        <f>vkm_2011_GW_PW*SUMIFS(TableVerdeelsleutelVkm[CNG],TableVerdeelsleutelVkm[Voertuigtype],"Lichte voertuigen")*SUMIFS(TableECFTransport[EnergieConsumptieFactor (PJ per km)],TableECFTransport[Index],CONCATENATE($A6,"_CNG_CNG"))</f>
        <v>8.9338183462833159E-5</v>
      </c>
      <c r="E6" s="893">
        <f>vkm_2011_GW_PW*SUMIFS(TableVerdeelsleutelVkm[LPG],TableVerdeelsleutelVkm[Voertuigtype],"Lichte voertuigen")*SUMIFS(TableECFTransport[EnergieConsumptieFactor (PJ per km)],TableECFTransport[Index],CONCATENATE($A6,"_LPG_LPG"))</f>
        <v>5.8171630089214792E-4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0.12084725781613771</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3.406434459517136E-2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8.039109113964488E-3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6.6639255036775882E-2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2.2789414997330823E-5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3.8554586323168555E-3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7.1699004636257475E-6</v>
      </c>
      <c r="C8" s="450"/>
      <c r="D8" s="452">
        <f>vkm_2011_NGW_PW*SUMIFS(TableVerdeelsleutelVkm[CNG],TableVerdeelsleutelVkm[Voertuigtype],"Lichte voertuigen")*SUMIFS(TableECFTransport[EnergieConsumptieFactor (PJ per km)],TableECFTransport[Index],CONCATENATE($A8,"_CNG_CNG"))</f>
        <v>2.9333609820388677E-5</v>
      </c>
      <c r="E8" s="452">
        <f>vkm_2011_NGW_PW*SUMIFS(TableVerdeelsleutelVkm[LPG],TableVerdeelsleutelVkm[Voertuigtype],"Lichte voertuigen")*SUMIFS(TableECFTransport[EnergieConsumptieFactor (PJ per km)],TableECFTransport[Index],CONCATENATE($A8,"_LPG_LPG"))</f>
        <v>1.7627566955995218E-4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3.4232476068210116E-2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1.0814917421787975E-2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2.3131233230784197E-3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1.0286425798648396E-2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3.3285675651115498E-6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5.9512221387232633E-4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2.2118125608860831E-5</v>
      </c>
      <c r="C10" s="450"/>
      <c r="D10" s="452">
        <f>vkm_2011_SW_PW*SUMIFS(TableVerdeelsleutelVkm[CNG],TableVerdeelsleutelVkm[Voertuigtype],"Lichte voertuigen")*SUMIFS(TableECFTransport[EnergieConsumptieFactor (PJ per km)],TableECFTransport[Index],CONCATENATE($A10,"_CNG_CNG"))</f>
        <v>5.3643177001010028E-5</v>
      </c>
      <c r="E10" s="452">
        <f>vkm_2011_SW_PW*SUMIFS(TableVerdeelsleutelVkm[LPG],TableVerdeelsleutelVkm[Voertuigtype],"Lichte voertuigen")*SUMIFS(TableECFTransport[EnergieConsumptieFactor (PJ per km)],TableECFTransport[Index],CONCATENATE($A10,"_LPG_LPG"))</f>
        <v>4.3547791024798336E-4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8.1446872869298775E-2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2.1310601056655772E-2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5.3673599496993152E-3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4.252969261624702E-2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1.5674839741361133E-5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2.4606185886018473E-3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18.864045684195904</v>
      </c>
      <c r="C14" s="21"/>
      <c r="D14" s="21">
        <f t="shared" ref="D14:M14" si="0">((D5)*10^9/3600)+D12</f>
        <v>47.865269523397743</v>
      </c>
      <c r="E14" s="21">
        <f t="shared" si="0"/>
        <v>331.51941130557873</v>
      </c>
      <c r="F14" s="21"/>
      <c r="G14" s="21">
        <f t="shared" si="0"/>
        <v>98883.883390366071</v>
      </c>
      <c r="H14" s="21">
        <f t="shared" si="0"/>
        <v>18397.682193310808</v>
      </c>
      <c r="I14" s="21"/>
      <c r="J14" s="21"/>
      <c r="K14" s="21"/>
      <c r="L14" s="21"/>
      <c r="M14" s="21">
        <f t="shared" si="0"/>
        <v>6286.3310615370156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0.19406413367366648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3.6608346832839453</v>
      </c>
      <c r="C18" s="23"/>
      <c r="D18" s="23">
        <f t="shared" ref="D18:M18" si="1">D14*D16</f>
        <v>9.668784443726345</v>
      </c>
      <c r="E18" s="23">
        <f t="shared" si="1"/>
        <v>75.25490636636637</v>
      </c>
      <c r="F18" s="23"/>
      <c r="G18" s="23">
        <f t="shared" si="1"/>
        <v>26401.996865227742</v>
      </c>
      <c r="H18" s="23">
        <f t="shared" si="1"/>
        <v>4581.0228661343908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7.3460670497485381E-3</v>
      </c>
      <c r="H50" s="321">
        <f t="shared" si="2"/>
        <v>0</v>
      </c>
      <c r="I50" s="321">
        <f t="shared" si="2"/>
        <v>0</v>
      </c>
      <c r="J50" s="321">
        <f t="shared" si="2"/>
        <v>0</v>
      </c>
      <c r="K50" s="321">
        <f t="shared" si="2"/>
        <v>0</v>
      </c>
      <c r="L50" s="321">
        <f t="shared" si="2"/>
        <v>0</v>
      </c>
      <c r="M50" s="321">
        <f t="shared" si="2"/>
        <v>4.1892478890487929E-4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7.3460670497485381E-3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4.1892478890487929E-4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2040.574180485705</v>
      </c>
      <c r="H54" s="21">
        <f t="shared" si="3"/>
        <v>0</v>
      </c>
      <c r="I54" s="21">
        <f t="shared" si="3"/>
        <v>0</v>
      </c>
      <c r="J54" s="21">
        <f t="shared" si="3"/>
        <v>0</v>
      </c>
      <c r="K54" s="21">
        <f t="shared" si="3"/>
        <v>0</v>
      </c>
      <c r="L54" s="21">
        <f t="shared" si="3"/>
        <v>0</v>
      </c>
      <c r="M54" s="21">
        <f t="shared" si="3"/>
        <v>116.36799691802203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0.19406413367366648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544.8333061896833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22353.445</v>
      </c>
      <c r="D10" s="1025">
        <f ca="1">tertiair!C16</f>
        <v>0</v>
      </c>
      <c r="E10" s="1025">
        <f ca="1">tertiair!D16</f>
        <v>28424.952240908842</v>
      </c>
      <c r="F10" s="1025">
        <f>tertiair!E16</f>
        <v>215.57424970135204</v>
      </c>
      <c r="G10" s="1025">
        <f ca="1">tertiair!F16</f>
        <v>3204.6697479511736</v>
      </c>
      <c r="H10" s="1025">
        <f>tertiair!G16</f>
        <v>0</v>
      </c>
      <c r="I10" s="1025">
        <f>tertiair!H16</f>
        <v>0</v>
      </c>
      <c r="J10" s="1025">
        <f>tertiair!I16</f>
        <v>0</v>
      </c>
      <c r="K10" s="1025">
        <f>tertiair!J16</f>
        <v>0</v>
      </c>
      <c r="L10" s="1025">
        <f>tertiair!K16</f>
        <v>0</v>
      </c>
      <c r="M10" s="1025">
        <f ca="1">tertiair!L16</f>
        <v>0</v>
      </c>
      <c r="N10" s="1025">
        <f>tertiair!M16</f>
        <v>0</v>
      </c>
      <c r="O10" s="1025">
        <f ca="1">tertiair!N16</f>
        <v>1390.5145668845955</v>
      </c>
      <c r="P10" s="1025">
        <f>tertiair!O16</f>
        <v>1.5633333333333335</v>
      </c>
      <c r="Q10" s="1026">
        <f>tertiair!P16</f>
        <v>0</v>
      </c>
      <c r="R10" s="701">
        <f ca="1">SUM(C10:Q10)</f>
        <v>55590.719138779292</v>
      </c>
      <c r="S10" s="67"/>
    </row>
    <row r="11" spans="1:19" s="474" customFormat="1">
      <c r="A11" s="810" t="s">
        <v>225</v>
      </c>
      <c r="B11" s="815"/>
      <c r="C11" s="1025">
        <f>huishoudens!B8</f>
        <v>27458.964691547539</v>
      </c>
      <c r="D11" s="1025">
        <f>huishoudens!C8</f>
        <v>0</v>
      </c>
      <c r="E11" s="1025">
        <f>huishoudens!D8</f>
        <v>71005.876957722183</v>
      </c>
      <c r="F11" s="1025">
        <f>huishoudens!E8</f>
        <v>447.83509244343213</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2426.1534654188467</v>
      </c>
      <c r="P11" s="1025">
        <f>huishoudens!O8</f>
        <v>43.773333333333341</v>
      </c>
      <c r="Q11" s="1026">
        <f>huishoudens!P8</f>
        <v>95.333333333333343</v>
      </c>
      <c r="R11" s="701">
        <f>SUM(C11:Q11)</f>
        <v>101477.93687379865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6368.3072000000002</v>
      </c>
      <c r="D13" s="1025">
        <f>industrie!C18</f>
        <v>0</v>
      </c>
      <c r="E13" s="1025">
        <f>industrie!D18</f>
        <v>4448.1530933505937</v>
      </c>
      <c r="F13" s="1025">
        <f>industrie!E18</f>
        <v>468.76809532925654</v>
      </c>
      <c r="G13" s="1025">
        <f>industrie!F18</f>
        <v>2598.1860717471027</v>
      </c>
      <c r="H13" s="1025">
        <f>industrie!G18</f>
        <v>0</v>
      </c>
      <c r="I13" s="1025">
        <f>industrie!H18</f>
        <v>0</v>
      </c>
      <c r="J13" s="1025">
        <f>industrie!I18</f>
        <v>0</v>
      </c>
      <c r="K13" s="1025">
        <f>industrie!J18</f>
        <v>27.278721379541004</v>
      </c>
      <c r="L13" s="1025">
        <f>industrie!K18</f>
        <v>0</v>
      </c>
      <c r="M13" s="1025">
        <f>industrie!L18</f>
        <v>0</v>
      </c>
      <c r="N13" s="1025">
        <f>industrie!M18</f>
        <v>0</v>
      </c>
      <c r="O13" s="1025">
        <f>industrie!N18</f>
        <v>1299.8773386864145</v>
      </c>
      <c r="P13" s="1025">
        <f>industrie!O18</f>
        <v>0</v>
      </c>
      <c r="Q13" s="1026">
        <f>industrie!P18</f>
        <v>0</v>
      </c>
      <c r="R13" s="701">
        <f>SUM(C13:Q13)</f>
        <v>15210.570520492909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56180.716891547541</v>
      </c>
      <c r="D16" s="733">
        <f t="shared" ref="D16:R16" ca="1" si="0">SUM(D9:D15)</f>
        <v>0</v>
      </c>
      <c r="E16" s="733">
        <f t="shared" ca="1" si="0"/>
        <v>103878.98229198162</v>
      </c>
      <c r="F16" s="733">
        <f t="shared" si="0"/>
        <v>1132.1774374740407</v>
      </c>
      <c r="G16" s="733">
        <f t="shared" ca="1" si="0"/>
        <v>5802.8558196982758</v>
      </c>
      <c r="H16" s="733">
        <f t="shared" si="0"/>
        <v>0</v>
      </c>
      <c r="I16" s="733">
        <f t="shared" si="0"/>
        <v>0</v>
      </c>
      <c r="J16" s="733">
        <f t="shared" si="0"/>
        <v>0</v>
      </c>
      <c r="K16" s="733">
        <f t="shared" si="0"/>
        <v>27.278721379541004</v>
      </c>
      <c r="L16" s="733">
        <f t="shared" si="0"/>
        <v>0</v>
      </c>
      <c r="M16" s="733">
        <f t="shared" ca="1" si="0"/>
        <v>0</v>
      </c>
      <c r="N16" s="733">
        <f t="shared" si="0"/>
        <v>0</v>
      </c>
      <c r="O16" s="733">
        <f t="shared" ca="1" si="0"/>
        <v>5116.5453709898575</v>
      </c>
      <c r="P16" s="733">
        <f t="shared" si="0"/>
        <v>45.336666666666673</v>
      </c>
      <c r="Q16" s="733">
        <f t="shared" si="0"/>
        <v>95.333333333333343</v>
      </c>
      <c r="R16" s="733">
        <f t="shared" ca="1" si="0"/>
        <v>172279.22653307085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2040.574180485705</v>
      </c>
      <c r="I19" s="1025">
        <f>transport!H54</f>
        <v>0</v>
      </c>
      <c r="J19" s="1025">
        <f>transport!I54</f>
        <v>0</v>
      </c>
      <c r="K19" s="1025">
        <f>transport!J54</f>
        <v>0</v>
      </c>
      <c r="L19" s="1025">
        <f>transport!K54</f>
        <v>0</v>
      </c>
      <c r="M19" s="1025">
        <f>transport!L54</f>
        <v>0</v>
      </c>
      <c r="N19" s="1025">
        <f>transport!M54</f>
        <v>116.36799691802203</v>
      </c>
      <c r="O19" s="1025">
        <f>transport!N54</f>
        <v>0</v>
      </c>
      <c r="P19" s="1025">
        <f>transport!O54</f>
        <v>0</v>
      </c>
      <c r="Q19" s="1026">
        <f>transport!P54</f>
        <v>0</v>
      </c>
      <c r="R19" s="701">
        <f>SUM(C19:Q19)</f>
        <v>2156.9421774037269</v>
      </c>
      <c r="S19" s="67"/>
    </row>
    <row r="20" spans="1:19" s="474" customFormat="1">
      <c r="A20" s="810" t="s">
        <v>307</v>
      </c>
      <c r="B20" s="815"/>
      <c r="C20" s="1025">
        <f>transport!B14</f>
        <v>18.864045684195904</v>
      </c>
      <c r="D20" s="1025">
        <f>transport!C14</f>
        <v>0</v>
      </c>
      <c r="E20" s="1025">
        <f>transport!D14</f>
        <v>47.865269523397743</v>
      </c>
      <c r="F20" s="1025">
        <f>transport!E14</f>
        <v>331.51941130557873</v>
      </c>
      <c r="G20" s="1025">
        <f>transport!F14</f>
        <v>0</v>
      </c>
      <c r="H20" s="1025">
        <f>transport!G14</f>
        <v>98883.883390366071</v>
      </c>
      <c r="I20" s="1025">
        <f>transport!H14</f>
        <v>18397.682193310808</v>
      </c>
      <c r="J20" s="1025">
        <f>transport!I14</f>
        <v>0</v>
      </c>
      <c r="K20" s="1025">
        <f>transport!J14</f>
        <v>0</v>
      </c>
      <c r="L20" s="1025">
        <f>transport!K14</f>
        <v>0</v>
      </c>
      <c r="M20" s="1025">
        <f>transport!L14</f>
        <v>0</v>
      </c>
      <c r="N20" s="1025">
        <f>transport!M14</f>
        <v>6286.3310615370156</v>
      </c>
      <c r="O20" s="1025">
        <f>transport!N14</f>
        <v>0</v>
      </c>
      <c r="P20" s="1025">
        <f>transport!O14</f>
        <v>0</v>
      </c>
      <c r="Q20" s="1026">
        <f>transport!P14</f>
        <v>0</v>
      </c>
      <c r="R20" s="701">
        <f>SUM(C20:Q20)</f>
        <v>123966.14537172708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18.864045684195904</v>
      </c>
      <c r="D22" s="813">
        <f t="shared" ref="D22:R22" si="1">SUM(D18:D21)</f>
        <v>0</v>
      </c>
      <c r="E22" s="813">
        <f t="shared" si="1"/>
        <v>47.865269523397743</v>
      </c>
      <c r="F22" s="813">
        <f t="shared" si="1"/>
        <v>331.51941130557873</v>
      </c>
      <c r="G22" s="813">
        <f t="shared" si="1"/>
        <v>0</v>
      </c>
      <c r="H22" s="813">
        <f t="shared" si="1"/>
        <v>100924.45757085178</v>
      </c>
      <c r="I22" s="813">
        <f t="shared" si="1"/>
        <v>18397.682193310808</v>
      </c>
      <c r="J22" s="813">
        <f t="shared" si="1"/>
        <v>0</v>
      </c>
      <c r="K22" s="813">
        <f t="shared" si="1"/>
        <v>0</v>
      </c>
      <c r="L22" s="813">
        <f t="shared" si="1"/>
        <v>0</v>
      </c>
      <c r="M22" s="813">
        <f t="shared" si="1"/>
        <v>0</v>
      </c>
      <c r="N22" s="813">
        <f t="shared" si="1"/>
        <v>6402.6990584550376</v>
      </c>
      <c r="O22" s="813">
        <f t="shared" si="1"/>
        <v>0</v>
      </c>
      <c r="P22" s="813">
        <f t="shared" si="1"/>
        <v>0</v>
      </c>
      <c r="Q22" s="813">
        <f t="shared" si="1"/>
        <v>0</v>
      </c>
      <c r="R22" s="813">
        <f t="shared" si="1"/>
        <v>126123.08754913081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7.0131450000000006</v>
      </c>
      <c r="D24" s="1025">
        <f>+landbouw!C8</f>
        <v>0</v>
      </c>
      <c r="E24" s="1025">
        <f>+landbouw!D8</f>
        <v>20.773468809136627</v>
      </c>
      <c r="F24" s="1025">
        <f>+landbouw!E8</f>
        <v>6.4958686365135174E-2</v>
      </c>
      <c r="G24" s="1025">
        <f>+landbouw!F8</f>
        <v>17.79368486775147</v>
      </c>
      <c r="H24" s="1025">
        <f>+landbouw!G8</f>
        <v>0</v>
      </c>
      <c r="I24" s="1025">
        <f>+landbouw!H8</f>
        <v>0</v>
      </c>
      <c r="J24" s="1025">
        <f>+landbouw!I8</f>
        <v>0</v>
      </c>
      <c r="K24" s="1025">
        <f>+landbouw!J8</f>
        <v>1.0751933954266297</v>
      </c>
      <c r="L24" s="1025">
        <f>+landbouw!K8</f>
        <v>0</v>
      </c>
      <c r="M24" s="1025">
        <f>+landbouw!L8</f>
        <v>0</v>
      </c>
      <c r="N24" s="1025">
        <f>+landbouw!M8</f>
        <v>0</v>
      </c>
      <c r="O24" s="1025">
        <f>+landbouw!N8</f>
        <v>0</v>
      </c>
      <c r="P24" s="1025">
        <f>+landbouw!O8</f>
        <v>0</v>
      </c>
      <c r="Q24" s="1026">
        <f>+landbouw!P8</f>
        <v>0</v>
      </c>
      <c r="R24" s="701">
        <f>SUM(C24:Q24)</f>
        <v>46.720450758679867</v>
      </c>
      <c r="S24" s="67"/>
    </row>
    <row r="25" spans="1:19" s="474" customFormat="1" ht="15" thickBot="1">
      <c r="A25" s="832" t="s">
        <v>864</v>
      </c>
      <c r="B25" s="1028"/>
      <c r="C25" s="1029">
        <f>IF(Onbekend_ele_kWh="---",0,Onbekend_ele_kWh)/1000+IF(REST_rest_ele_kWh="---",0,REST_rest_ele_kWh)/1000</f>
        <v>1308.0340000000001</v>
      </c>
      <c r="D25" s="1029"/>
      <c r="E25" s="1029">
        <f>IF(onbekend_gas_kWh="---",0,onbekend_gas_kWh)/1000+IF(REST_rest_gas_kWh="---",0,REST_rest_gas_kWh)/1000</f>
        <v>4976.3816184695797</v>
      </c>
      <c r="F25" s="1029"/>
      <c r="G25" s="1029"/>
      <c r="H25" s="1029"/>
      <c r="I25" s="1029"/>
      <c r="J25" s="1029"/>
      <c r="K25" s="1029"/>
      <c r="L25" s="1029"/>
      <c r="M25" s="1029"/>
      <c r="N25" s="1029"/>
      <c r="O25" s="1029"/>
      <c r="P25" s="1029"/>
      <c r="Q25" s="1030"/>
      <c r="R25" s="701">
        <f>SUM(C25:Q25)</f>
        <v>6284.4156184695803</v>
      </c>
      <c r="S25" s="67"/>
    </row>
    <row r="26" spans="1:19" s="474" customFormat="1" ht="15.75" thickBot="1">
      <c r="A26" s="706" t="s">
        <v>865</v>
      </c>
      <c r="B26" s="818"/>
      <c r="C26" s="813">
        <f>SUM(C24:C25)</f>
        <v>1315.047145</v>
      </c>
      <c r="D26" s="813">
        <f t="shared" ref="D26:R26" si="2">SUM(D24:D25)</f>
        <v>0</v>
      </c>
      <c r="E26" s="813">
        <f t="shared" si="2"/>
        <v>4997.1550872787166</v>
      </c>
      <c r="F26" s="813">
        <f t="shared" si="2"/>
        <v>6.4958686365135174E-2</v>
      </c>
      <c r="G26" s="813">
        <f t="shared" si="2"/>
        <v>17.79368486775147</v>
      </c>
      <c r="H26" s="813">
        <f t="shared" si="2"/>
        <v>0</v>
      </c>
      <c r="I26" s="813">
        <f t="shared" si="2"/>
        <v>0</v>
      </c>
      <c r="J26" s="813">
        <f t="shared" si="2"/>
        <v>0</v>
      </c>
      <c r="K26" s="813">
        <f t="shared" si="2"/>
        <v>1.0751933954266297</v>
      </c>
      <c r="L26" s="813">
        <f t="shared" si="2"/>
        <v>0</v>
      </c>
      <c r="M26" s="813">
        <f t="shared" si="2"/>
        <v>0</v>
      </c>
      <c r="N26" s="813">
        <f t="shared" si="2"/>
        <v>0</v>
      </c>
      <c r="O26" s="813">
        <f t="shared" si="2"/>
        <v>0</v>
      </c>
      <c r="P26" s="813">
        <f t="shared" si="2"/>
        <v>0</v>
      </c>
      <c r="Q26" s="813">
        <f t="shared" si="2"/>
        <v>0</v>
      </c>
      <c r="R26" s="813">
        <f t="shared" si="2"/>
        <v>6331.1360692282606</v>
      </c>
      <c r="S26" s="67"/>
    </row>
    <row r="27" spans="1:19" s="474" customFormat="1" ht="17.25" thickTop="1" thickBot="1">
      <c r="A27" s="707" t="s">
        <v>116</v>
      </c>
      <c r="B27" s="806"/>
      <c r="C27" s="708">
        <f ca="1">C22+C16+C26</f>
        <v>57514.628082231735</v>
      </c>
      <c r="D27" s="708">
        <f t="shared" ref="D27:R27" ca="1" si="3">D22+D16+D26</f>
        <v>0</v>
      </c>
      <c r="E27" s="708">
        <f t="shared" ca="1" si="3"/>
        <v>108924.00264878375</v>
      </c>
      <c r="F27" s="708">
        <f t="shared" si="3"/>
        <v>1463.7618074659845</v>
      </c>
      <c r="G27" s="708">
        <f t="shared" ca="1" si="3"/>
        <v>5820.6495045660276</v>
      </c>
      <c r="H27" s="708">
        <f t="shared" si="3"/>
        <v>100924.45757085178</v>
      </c>
      <c r="I27" s="708">
        <f t="shared" si="3"/>
        <v>18397.682193310808</v>
      </c>
      <c r="J27" s="708">
        <f t="shared" si="3"/>
        <v>0</v>
      </c>
      <c r="K27" s="708">
        <f t="shared" si="3"/>
        <v>28.353914774967635</v>
      </c>
      <c r="L27" s="708">
        <f t="shared" si="3"/>
        <v>0</v>
      </c>
      <c r="M27" s="708">
        <f t="shared" ca="1" si="3"/>
        <v>0</v>
      </c>
      <c r="N27" s="708">
        <f t="shared" si="3"/>
        <v>6402.6990584550376</v>
      </c>
      <c r="O27" s="708">
        <f t="shared" ca="1" si="3"/>
        <v>5116.5453709898575</v>
      </c>
      <c r="P27" s="708">
        <f t="shared" si="3"/>
        <v>45.336666666666673</v>
      </c>
      <c r="Q27" s="708">
        <f t="shared" si="3"/>
        <v>95.333333333333343</v>
      </c>
      <c r="R27" s="708">
        <f t="shared" ca="1" si="3"/>
        <v>304733.45015142992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4338.0019385469514</v>
      </c>
      <c r="D40" s="1025">
        <f ca="1">tertiair!C20</f>
        <v>0</v>
      </c>
      <c r="E40" s="1025">
        <f ca="1">tertiair!D20</f>
        <v>5741.8403526635866</v>
      </c>
      <c r="F40" s="1025">
        <f>tertiair!E20</f>
        <v>48.935354682206913</v>
      </c>
      <c r="G40" s="1025">
        <f ca="1">tertiair!F20</f>
        <v>855.64682270296339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10984.424468595709</v>
      </c>
    </row>
    <row r="41" spans="1:18">
      <c r="A41" s="823" t="s">
        <v>225</v>
      </c>
      <c r="B41" s="830"/>
      <c r="C41" s="1025">
        <f ca="1">huishoudens!B12</f>
        <v>5328.8001944409698</v>
      </c>
      <c r="D41" s="1025">
        <f ca="1">huishoudens!C12</f>
        <v>0</v>
      </c>
      <c r="E41" s="1025">
        <f>huishoudens!D12</f>
        <v>14343.187145459882</v>
      </c>
      <c r="F41" s="1025">
        <f>huishoudens!E12</f>
        <v>101.65856598465909</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19773.645905885511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1235.8600197357728</v>
      </c>
      <c r="D43" s="1025">
        <f ca="1">industrie!C22</f>
        <v>0</v>
      </c>
      <c r="E43" s="1025">
        <f>industrie!D22</f>
        <v>898.52692485681996</v>
      </c>
      <c r="F43" s="1025">
        <f>industrie!E22</f>
        <v>106.41035763974124</v>
      </c>
      <c r="G43" s="1025">
        <f>industrie!F22</f>
        <v>693.71568115647642</v>
      </c>
      <c r="H43" s="1025">
        <f>industrie!G22</f>
        <v>0</v>
      </c>
      <c r="I43" s="1025">
        <f>industrie!H22</f>
        <v>0</v>
      </c>
      <c r="J43" s="1025">
        <f>industrie!I22</f>
        <v>0</v>
      </c>
      <c r="K43" s="1025">
        <f>industrie!J22</f>
        <v>9.6566673683575157</v>
      </c>
      <c r="L43" s="1025">
        <f>industrie!K22</f>
        <v>0</v>
      </c>
      <c r="M43" s="1025">
        <f>industrie!L22</f>
        <v>0</v>
      </c>
      <c r="N43" s="1025">
        <f>industrie!M22</f>
        <v>0</v>
      </c>
      <c r="O43" s="1025">
        <f>industrie!N22</f>
        <v>0</v>
      </c>
      <c r="P43" s="1025">
        <f>industrie!O22</f>
        <v>0</v>
      </c>
      <c r="Q43" s="775">
        <f>industrie!P22</f>
        <v>0</v>
      </c>
      <c r="R43" s="850">
        <f t="shared" ca="1" si="4"/>
        <v>2944.1696507571678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10902.662152723693</v>
      </c>
      <c r="D46" s="733">
        <f t="shared" ref="D46:Q46" ca="1" si="5">SUM(D39:D45)</f>
        <v>0</v>
      </c>
      <c r="E46" s="733">
        <f t="shared" ca="1" si="5"/>
        <v>20983.554422980287</v>
      </c>
      <c r="F46" s="733">
        <f t="shared" si="5"/>
        <v>257.00427830660726</v>
      </c>
      <c r="G46" s="733">
        <f t="shared" ca="1" si="5"/>
        <v>1549.3625038594398</v>
      </c>
      <c r="H46" s="733">
        <f t="shared" si="5"/>
        <v>0</v>
      </c>
      <c r="I46" s="733">
        <f t="shared" si="5"/>
        <v>0</v>
      </c>
      <c r="J46" s="733">
        <f t="shared" si="5"/>
        <v>0</v>
      </c>
      <c r="K46" s="733">
        <f t="shared" si="5"/>
        <v>9.6566673683575157</v>
      </c>
      <c r="L46" s="733">
        <f t="shared" si="5"/>
        <v>0</v>
      </c>
      <c r="M46" s="733">
        <f t="shared" ca="1" si="5"/>
        <v>0</v>
      </c>
      <c r="N46" s="733">
        <f t="shared" si="5"/>
        <v>0</v>
      </c>
      <c r="O46" s="733">
        <f t="shared" ca="1" si="5"/>
        <v>0</v>
      </c>
      <c r="P46" s="733">
        <f t="shared" si="5"/>
        <v>0</v>
      </c>
      <c r="Q46" s="733">
        <f t="shared" si="5"/>
        <v>0</v>
      </c>
      <c r="R46" s="733">
        <f ca="1">SUM(R39:R45)</f>
        <v>33702.240025238389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544.8333061896833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544.8333061896833</v>
      </c>
    </row>
    <row r="50" spans="1:18">
      <c r="A50" s="826" t="s">
        <v>307</v>
      </c>
      <c r="B50" s="836"/>
      <c r="C50" s="704">
        <f ca="1">transport!B18</f>
        <v>3.6608346832839453</v>
      </c>
      <c r="D50" s="704">
        <f>transport!C18</f>
        <v>0</v>
      </c>
      <c r="E50" s="704">
        <f>transport!D18</f>
        <v>9.668784443726345</v>
      </c>
      <c r="F50" s="704">
        <f>transport!E18</f>
        <v>75.25490636636637</v>
      </c>
      <c r="G50" s="704">
        <f>transport!F18</f>
        <v>0</v>
      </c>
      <c r="H50" s="704">
        <f>transport!G18</f>
        <v>26401.996865227742</v>
      </c>
      <c r="I50" s="704">
        <f>transport!H18</f>
        <v>4581.0228661343908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31071.604256855509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3.6608346832839453</v>
      </c>
      <c r="D52" s="733">
        <f t="shared" ref="D52:Q52" ca="1" si="6">SUM(D48:D51)</f>
        <v>0</v>
      </c>
      <c r="E52" s="733">
        <f t="shared" si="6"/>
        <v>9.668784443726345</v>
      </c>
      <c r="F52" s="733">
        <f t="shared" si="6"/>
        <v>75.25490636636637</v>
      </c>
      <c r="G52" s="733">
        <f t="shared" si="6"/>
        <v>0</v>
      </c>
      <c r="H52" s="733">
        <f t="shared" si="6"/>
        <v>26946.830171417427</v>
      </c>
      <c r="I52" s="733">
        <f t="shared" si="6"/>
        <v>4581.0228661343908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31616.437563045194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1.3609999087528057</v>
      </c>
      <c r="D54" s="704">
        <f ca="1">+landbouw!C12</f>
        <v>0</v>
      </c>
      <c r="E54" s="704">
        <f>+landbouw!D12</f>
        <v>4.1962406994455987</v>
      </c>
      <c r="F54" s="704">
        <f>+landbouw!E12</f>
        <v>1.4745621804885685E-2</v>
      </c>
      <c r="G54" s="704">
        <f>+landbouw!F12</f>
        <v>4.7509138596896427</v>
      </c>
      <c r="H54" s="704">
        <f>+landbouw!G12</f>
        <v>0</v>
      </c>
      <c r="I54" s="704">
        <f>+landbouw!H12</f>
        <v>0</v>
      </c>
      <c r="J54" s="704">
        <f>+landbouw!I12</f>
        <v>0</v>
      </c>
      <c r="K54" s="704">
        <f>+landbouw!J12</f>
        <v>0.38061846198102689</v>
      </c>
      <c r="L54" s="704">
        <f>+landbouw!K12</f>
        <v>0</v>
      </c>
      <c r="M54" s="704">
        <f>+landbouw!L12</f>
        <v>0</v>
      </c>
      <c r="N54" s="704">
        <f>+landbouw!M12</f>
        <v>0</v>
      </c>
      <c r="O54" s="704">
        <f>+landbouw!N12</f>
        <v>0</v>
      </c>
      <c r="P54" s="704">
        <f>+landbouw!O12</f>
        <v>0</v>
      </c>
      <c r="Q54" s="705">
        <f>+landbouw!P12</f>
        <v>0</v>
      </c>
      <c r="R54" s="732">
        <f ca="1">SUM(C54:Q54)</f>
        <v>10.703518551673959</v>
      </c>
    </row>
    <row r="55" spans="1:18" ht="15" thickBot="1">
      <c r="A55" s="826" t="s">
        <v>864</v>
      </c>
      <c r="B55" s="836"/>
      <c r="C55" s="704">
        <f ca="1">C25*'EF ele_warmte'!B12</f>
        <v>253.84248502570068</v>
      </c>
      <c r="D55" s="704"/>
      <c r="E55" s="704">
        <f>E25*EF_CO2_aardgas</f>
        <v>1005.2290869308551</v>
      </c>
      <c r="F55" s="704"/>
      <c r="G55" s="704"/>
      <c r="H55" s="704"/>
      <c r="I55" s="704"/>
      <c r="J55" s="704"/>
      <c r="K55" s="704"/>
      <c r="L55" s="704"/>
      <c r="M55" s="704"/>
      <c r="N55" s="704"/>
      <c r="O55" s="704"/>
      <c r="P55" s="704"/>
      <c r="Q55" s="705"/>
      <c r="R55" s="732">
        <f ca="1">SUM(C55:Q55)</f>
        <v>1259.0715719565558</v>
      </c>
    </row>
    <row r="56" spans="1:18" ht="15.75" thickBot="1">
      <c r="A56" s="824" t="s">
        <v>865</v>
      </c>
      <c r="B56" s="837"/>
      <c r="C56" s="733">
        <f ca="1">SUM(C54:C55)</f>
        <v>255.20348493445348</v>
      </c>
      <c r="D56" s="733">
        <f t="shared" ref="D56:Q56" ca="1" si="7">SUM(D54:D55)</f>
        <v>0</v>
      </c>
      <c r="E56" s="733">
        <f t="shared" si="7"/>
        <v>1009.4253276303008</v>
      </c>
      <c r="F56" s="733">
        <f t="shared" si="7"/>
        <v>1.4745621804885685E-2</v>
      </c>
      <c r="G56" s="733">
        <f t="shared" si="7"/>
        <v>4.7509138596896427</v>
      </c>
      <c r="H56" s="733">
        <f t="shared" si="7"/>
        <v>0</v>
      </c>
      <c r="I56" s="733">
        <f t="shared" si="7"/>
        <v>0</v>
      </c>
      <c r="J56" s="733">
        <f t="shared" si="7"/>
        <v>0</v>
      </c>
      <c r="K56" s="733">
        <f t="shared" si="7"/>
        <v>0.38061846198102689</v>
      </c>
      <c r="L56" s="733">
        <f t="shared" si="7"/>
        <v>0</v>
      </c>
      <c r="M56" s="733">
        <f t="shared" si="7"/>
        <v>0</v>
      </c>
      <c r="N56" s="733">
        <f t="shared" si="7"/>
        <v>0</v>
      </c>
      <c r="O56" s="733">
        <f t="shared" si="7"/>
        <v>0</v>
      </c>
      <c r="P56" s="733">
        <f t="shared" si="7"/>
        <v>0</v>
      </c>
      <c r="Q56" s="734">
        <f t="shared" si="7"/>
        <v>0</v>
      </c>
      <c r="R56" s="735">
        <f ca="1">SUM(R54:R55)</f>
        <v>1269.7750905082298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11161.526472341429</v>
      </c>
      <c r="D61" s="741">
        <f t="shared" ref="D61:Q61" ca="1" si="8">D46+D52+D56</f>
        <v>0</v>
      </c>
      <c r="E61" s="741">
        <f t="shared" ca="1" si="8"/>
        <v>22002.648535054315</v>
      </c>
      <c r="F61" s="741">
        <f t="shared" si="8"/>
        <v>332.27393029477849</v>
      </c>
      <c r="G61" s="741">
        <f t="shared" ca="1" si="8"/>
        <v>1554.1134177191295</v>
      </c>
      <c r="H61" s="741">
        <f t="shared" si="8"/>
        <v>26946.830171417427</v>
      </c>
      <c r="I61" s="741">
        <f t="shared" si="8"/>
        <v>4581.0228661343908</v>
      </c>
      <c r="J61" s="741">
        <f t="shared" si="8"/>
        <v>0</v>
      </c>
      <c r="K61" s="741">
        <f t="shared" si="8"/>
        <v>10.037285830338543</v>
      </c>
      <c r="L61" s="741">
        <f t="shared" si="8"/>
        <v>0</v>
      </c>
      <c r="M61" s="741">
        <f t="shared" ca="1" si="8"/>
        <v>0</v>
      </c>
      <c r="N61" s="741">
        <f t="shared" si="8"/>
        <v>0</v>
      </c>
      <c r="O61" s="741">
        <f t="shared" ca="1" si="8"/>
        <v>0</v>
      </c>
      <c r="P61" s="741">
        <f t="shared" si="8"/>
        <v>0</v>
      </c>
      <c r="Q61" s="741">
        <f t="shared" si="8"/>
        <v>0</v>
      </c>
      <c r="R61" s="741">
        <f ca="1">R46+R52+R56</f>
        <v>66588.452678791815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0.19406413367366646</v>
      </c>
      <c r="D63" s="782">
        <f t="shared" ca="1" si="9"/>
        <v>0</v>
      </c>
      <c r="E63" s="1036">
        <f t="shared" ca="1" si="9"/>
        <v>0.20199999999999999</v>
      </c>
      <c r="F63" s="782">
        <f t="shared" si="9"/>
        <v>0.22700000000000001</v>
      </c>
      <c r="G63" s="782">
        <f t="shared" ca="1" si="9"/>
        <v>0.26700000000000002</v>
      </c>
      <c r="H63" s="782">
        <f t="shared" si="9"/>
        <v>0.26700000000000002</v>
      </c>
      <c r="I63" s="782">
        <f t="shared" si="9"/>
        <v>0.24899999999999997</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7009.9834110035372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7009.9834110035372</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7009.9834110035372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7009.9834110035372</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27458.964691547539</v>
      </c>
      <c r="C4" s="478">
        <f>huishoudens!C8</f>
        <v>0</v>
      </c>
      <c r="D4" s="478">
        <f>huishoudens!D8</f>
        <v>71005.876957722183</v>
      </c>
      <c r="E4" s="478">
        <f>huishoudens!E8</f>
        <v>447.83509244343213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2426.1534654188467</v>
      </c>
      <c r="O4" s="478">
        <f>huishoudens!O8</f>
        <v>43.773333333333341</v>
      </c>
      <c r="P4" s="479">
        <f>huishoudens!P8</f>
        <v>95.333333333333343</v>
      </c>
      <c r="Q4" s="480">
        <f>SUM(B4:P4)</f>
        <v>101477.93687379865</v>
      </c>
    </row>
    <row r="5" spans="1:17">
      <c r="A5" s="477" t="s">
        <v>156</v>
      </c>
      <c r="B5" s="478">
        <f ca="1">tertiair!B16</f>
        <v>21367.481</v>
      </c>
      <c r="C5" s="478">
        <f ca="1">tertiair!C16</f>
        <v>0</v>
      </c>
      <c r="D5" s="478">
        <f ca="1">tertiair!D16</f>
        <v>28424.952240908842</v>
      </c>
      <c r="E5" s="478">
        <f>tertiair!E16</f>
        <v>215.57424970135204</v>
      </c>
      <c r="F5" s="478">
        <f ca="1">tertiair!F16</f>
        <v>3204.6697479511736</v>
      </c>
      <c r="G5" s="478">
        <f>tertiair!G16</f>
        <v>0</v>
      </c>
      <c r="H5" s="478">
        <f>tertiair!H16</f>
        <v>0</v>
      </c>
      <c r="I5" s="478">
        <f>tertiair!I16</f>
        <v>0</v>
      </c>
      <c r="J5" s="478">
        <f>tertiair!J16</f>
        <v>0</v>
      </c>
      <c r="K5" s="478">
        <f>tertiair!K16</f>
        <v>0</v>
      </c>
      <c r="L5" s="478">
        <f ca="1">tertiair!L16</f>
        <v>0</v>
      </c>
      <c r="M5" s="478">
        <f>tertiair!M16</f>
        <v>0</v>
      </c>
      <c r="N5" s="478">
        <f ca="1">tertiair!N16</f>
        <v>1390.5145668845955</v>
      </c>
      <c r="O5" s="478">
        <f>tertiair!O16</f>
        <v>1.5633333333333335</v>
      </c>
      <c r="P5" s="479">
        <f>tertiair!P16</f>
        <v>0</v>
      </c>
      <c r="Q5" s="477">
        <f t="shared" ref="Q5:Q14" ca="1" si="0">SUM(B5:P5)</f>
        <v>54604.755138779285</v>
      </c>
    </row>
    <row r="6" spans="1:17">
      <c r="A6" s="477" t="s">
        <v>194</v>
      </c>
      <c r="B6" s="478">
        <f>'openbare verlichting'!B8</f>
        <v>985.96400000000006</v>
      </c>
      <c r="C6" s="478"/>
      <c r="D6" s="478"/>
      <c r="E6" s="478"/>
      <c r="F6" s="478"/>
      <c r="G6" s="478"/>
      <c r="H6" s="478"/>
      <c r="I6" s="478"/>
      <c r="J6" s="478"/>
      <c r="K6" s="478"/>
      <c r="L6" s="478"/>
      <c r="M6" s="478"/>
      <c r="N6" s="478"/>
      <c r="O6" s="478"/>
      <c r="P6" s="479"/>
      <c r="Q6" s="477">
        <f t="shared" si="0"/>
        <v>985.96400000000006</v>
      </c>
    </row>
    <row r="7" spans="1:17">
      <c r="A7" s="477" t="s">
        <v>112</v>
      </c>
      <c r="B7" s="478">
        <f>landbouw!B8</f>
        <v>7.0131450000000006</v>
      </c>
      <c r="C7" s="478">
        <f>landbouw!C8</f>
        <v>0</v>
      </c>
      <c r="D7" s="478">
        <f>landbouw!D8</f>
        <v>20.773468809136627</v>
      </c>
      <c r="E7" s="478">
        <f>landbouw!E8</f>
        <v>6.4958686365135174E-2</v>
      </c>
      <c r="F7" s="478">
        <f>landbouw!F8</f>
        <v>17.79368486775147</v>
      </c>
      <c r="G7" s="478">
        <f>landbouw!G8</f>
        <v>0</v>
      </c>
      <c r="H7" s="478">
        <f>landbouw!H8</f>
        <v>0</v>
      </c>
      <c r="I7" s="478">
        <f>landbouw!I8</f>
        <v>0</v>
      </c>
      <c r="J7" s="478">
        <f>landbouw!J8</f>
        <v>1.0751933954266297</v>
      </c>
      <c r="K7" s="478">
        <f>landbouw!K8</f>
        <v>0</v>
      </c>
      <c r="L7" s="478">
        <f>landbouw!L8</f>
        <v>0</v>
      </c>
      <c r="M7" s="478">
        <f>landbouw!M8</f>
        <v>0</v>
      </c>
      <c r="N7" s="478">
        <f>landbouw!N8</f>
        <v>0</v>
      </c>
      <c r="O7" s="478">
        <f>landbouw!O8</f>
        <v>0</v>
      </c>
      <c r="P7" s="479">
        <f>landbouw!P8</f>
        <v>0</v>
      </c>
      <c r="Q7" s="477">
        <f t="shared" si="0"/>
        <v>46.720450758679867</v>
      </c>
    </row>
    <row r="8" spans="1:17">
      <c r="A8" s="477" t="s">
        <v>650</v>
      </c>
      <c r="B8" s="478">
        <f>industrie!B18</f>
        <v>6368.3072000000002</v>
      </c>
      <c r="C8" s="478">
        <f>industrie!C18</f>
        <v>0</v>
      </c>
      <c r="D8" s="478">
        <f>industrie!D18</f>
        <v>4448.1530933505937</v>
      </c>
      <c r="E8" s="478">
        <f>industrie!E18</f>
        <v>468.76809532925654</v>
      </c>
      <c r="F8" s="478">
        <f>industrie!F18</f>
        <v>2598.1860717471027</v>
      </c>
      <c r="G8" s="478">
        <f>industrie!G18</f>
        <v>0</v>
      </c>
      <c r="H8" s="478">
        <f>industrie!H18</f>
        <v>0</v>
      </c>
      <c r="I8" s="478">
        <f>industrie!I18</f>
        <v>0</v>
      </c>
      <c r="J8" s="478">
        <f>industrie!J18</f>
        <v>27.278721379541004</v>
      </c>
      <c r="K8" s="478">
        <f>industrie!K18</f>
        <v>0</v>
      </c>
      <c r="L8" s="478">
        <f>industrie!L18</f>
        <v>0</v>
      </c>
      <c r="M8" s="478">
        <f>industrie!M18</f>
        <v>0</v>
      </c>
      <c r="N8" s="478">
        <f>industrie!N18</f>
        <v>1299.8773386864145</v>
      </c>
      <c r="O8" s="478">
        <f>industrie!O18</f>
        <v>0</v>
      </c>
      <c r="P8" s="479">
        <f>industrie!P18</f>
        <v>0</v>
      </c>
      <c r="Q8" s="477">
        <f t="shared" si="0"/>
        <v>15210.570520492909</v>
      </c>
    </row>
    <row r="9" spans="1:17" s="483" customFormat="1">
      <c r="A9" s="481" t="s">
        <v>571</v>
      </c>
      <c r="B9" s="482">
        <f>transport!B14</f>
        <v>18.864045684195904</v>
      </c>
      <c r="C9" s="482">
        <f>transport!C14</f>
        <v>0</v>
      </c>
      <c r="D9" s="482">
        <f>transport!D14</f>
        <v>47.865269523397743</v>
      </c>
      <c r="E9" s="482">
        <f>transport!E14</f>
        <v>331.51941130557873</v>
      </c>
      <c r="F9" s="482">
        <f>transport!F14</f>
        <v>0</v>
      </c>
      <c r="G9" s="482">
        <f>transport!G14</f>
        <v>98883.883390366071</v>
      </c>
      <c r="H9" s="482">
        <f>transport!H14</f>
        <v>18397.682193310808</v>
      </c>
      <c r="I9" s="482">
        <f>transport!I14</f>
        <v>0</v>
      </c>
      <c r="J9" s="482">
        <f>transport!J14</f>
        <v>0</v>
      </c>
      <c r="K9" s="482">
        <f>transport!K14</f>
        <v>0</v>
      </c>
      <c r="L9" s="482">
        <f>transport!L14</f>
        <v>0</v>
      </c>
      <c r="M9" s="482">
        <f>transport!M14</f>
        <v>6286.3310615370156</v>
      </c>
      <c r="N9" s="482">
        <f>transport!N14</f>
        <v>0</v>
      </c>
      <c r="O9" s="482">
        <f>transport!O14</f>
        <v>0</v>
      </c>
      <c r="P9" s="482">
        <f>transport!P14</f>
        <v>0</v>
      </c>
      <c r="Q9" s="481">
        <f>SUM(B9:P9)</f>
        <v>123966.14537172708</v>
      </c>
    </row>
    <row r="10" spans="1:17">
      <c r="A10" s="477" t="s">
        <v>561</v>
      </c>
      <c r="B10" s="478">
        <f>transport!B54</f>
        <v>0</v>
      </c>
      <c r="C10" s="478">
        <f>transport!C54</f>
        <v>0</v>
      </c>
      <c r="D10" s="478">
        <f>transport!D54</f>
        <v>0</v>
      </c>
      <c r="E10" s="478">
        <f>transport!E54</f>
        <v>0</v>
      </c>
      <c r="F10" s="478">
        <f>transport!F54</f>
        <v>0</v>
      </c>
      <c r="G10" s="478">
        <f>transport!G54</f>
        <v>2040.574180485705</v>
      </c>
      <c r="H10" s="478">
        <f>transport!H54</f>
        <v>0</v>
      </c>
      <c r="I10" s="478">
        <f>transport!I54</f>
        <v>0</v>
      </c>
      <c r="J10" s="478">
        <f>transport!J54</f>
        <v>0</v>
      </c>
      <c r="K10" s="478">
        <f>transport!K54</f>
        <v>0</v>
      </c>
      <c r="L10" s="478">
        <f>transport!L54</f>
        <v>0</v>
      </c>
      <c r="M10" s="478">
        <f>transport!M54</f>
        <v>116.36799691802203</v>
      </c>
      <c r="N10" s="478">
        <f>transport!N54</f>
        <v>0</v>
      </c>
      <c r="O10" s="478">
        <f>transport!O54</f>
        <v>0</v>
      </c>
      <c r="P10" s="479">
        <f>transport!P54</f>
        <v>0</v>
      </c>
      <c r="Q10" s="477">
        <f t="shared" si="0"/>
        <v>2156.9421774037269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1308.0340000000001</v>
      </c>
      <c r="C14" s="485"/>
      <c r="D14" s="485">
        <f>'SEAP template'!E25</f>
        <v>4976.3816184695797</v>
      </c>
      <c r="E14" s="485"/>
      <c r="F14" s="485"/>
      <c r="G14" s="485"/>
      <c r="H14" s="485"/>
      <c r="I14" s="485"/>
      <c r="J14" s="485"/>
      <c r="K14" s="485"/>
      <c r="L14" s="485"/>
      <c r="M14" s="485"/>
      <c r="N14" s="485"/>
      <c r="O14" s="485"/>
      <c r="P14" s="486"/>
      <c r="Q14" s="477">
        <f t="shared" si="0"/>
        <v>6284.4156184695803</v>
      </c>
    </row>
    <row r="15" spans="1:17" s="487" customFormat="1">
      <c r="A15" s="1051" t="s">
        <v>565</v>
      </c>
      <c r="B15" s="991">
        <f ca="1">SUM(B4:B14)</f>
        <v>57514.628082231735</v>
      </c>
      <c r="C15" s="991">
        <f t="shared" ref="C15:Q15" ca="1" si="1">SUM(C4:C14)</f>
        <v>0</v>
      </c>
      <c r="D15" s="991">
        <f t="shared" ca="1" si="1"/>
        <v>108924.00264878373</v>
      </c>
      <c r="E15" s="991">
        <f t="shared" si="1"/>
        <v>1463.7618074659845</v>
      </c>
      <c r="F15" s="991">
        <f t="shared" ca="1" si="1"/>
        <v>5820.6495045660276</v>
      </c>
      <c r="G15" s="991">
        <f t="shared" si="1"/>
        <v>100924.45757085178</v>
      </c>
      <c r="H15" s="991">
        <f t="shared" si="1"/>
        <v>18397.682193310808</v>
      </c>
      <c r="I15" s="991">
        <f t="shared" si="1"/>
        <v>0</v>
      </c>
      <c r="J15" s="991">
        <f t="shared" si="1"/>
        <v>28.353914774967635</v>
      </c>
      <c r="K15" s="991">
        <f t="shared" si="1"/>
        <v>0</v>
      </c>
      <c r="L15" s="991">
        <f t="shared" ca="1" si="1"/>
        <v>0</v>
      </c>
      <c r="M15" s="991">
        <f t="shared" si="1"/>
        <v>6402.6990584550376</v>
      </c>
      <c r="N15" s="991">
        <f t="shared" ca="1" si="1"/>
        <v>5116.5453709898575</v>
      </c>
      <c r="O15" s="991">
        <f t="shared" si="1"/>
        <v>45.336666666666673</v>
      </c>
      <c r="P15" s="991">
        <f t="shared" si="1"/>
        <v>95.333333333333343</v>
      </c>
      <c r="Q15" s="991">
        <f t="shared" ca="1" si="1"/>
        <v>304733.45015142992</v>
      </c>
    </row>
    <row r="17" spans="1:17">
      <c r="A17" s="488" t="s">
        <v>566</v>
      </c>
      <c r="B17" s="787">
        <f ca="1">huishoudens!B10</f>
        <v>0.19406413367366648</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5328.8001944409698</v>
      </c>
      <c r="C22" s="478">
        <f t="shared" ref="C22:C32" ca="1" si="3">C4*$C$17</f>
        <v>0</v>
      </c>
      <c r="D22" s="478">
        <f t="shared" ref="D22:D32" si="4">D4*$D$17</f>
        <v>14343.187145459882</v>
      </c>
      <c r="E22" s="478">
        <f t="shared" ref="E22:E32" si="5">E4*$E$17</f>
        <v>101.65856598465909</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19773.645905885511</v>
      </c>
    </row>
    <row r="23" spans="1:17">
      <c r="A23" s="477" t="s">
        <v>156</v>
      </c>
      <c r="B23" s="478">
        <f t="shared" ca="1" si="2"/>
        <v>4146.6616890535288</v>
      </c>
      <c r="C23" s="478">
        <f t="shared" ca="1" si="3"/>
        <v>0</v>
      </c>
      <c r="D23" s="478">
        <f t="shared" ca="1" si="4"/>
        <v>5741.8403526635866</v>
      </c>
      <c r="E23" s="478">
        <f t="shared" si="5"/>
        <v>48.935354682206913</v>
      </c>
      <c r="F23" s="478">
        <f t="shared" ca="1" si="6"/>
        <v>855.64682270296339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10793.084219102286</v>
      </c>
    </row>
    <row r="24" spans="1:17">
      <c r="A24" s="477" t="s">
        <v>194</v>
      </c>
      <c r="B24" s="478">
        <f t="shared" ca="1" si="2"/>
        <v>191.3402494934229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191.3402494934229</v>
      </c>
    </row>
    <row r="25" spans="1:17">
      <c r="A25" s="477" t="s">
        <v>112</v>
      </c>
      <c r="B25" s="478">
        <f t="shared" ca="1" si="2"/>
        <v>1.3609999087528057</v>
      </c>
      <c r="C25" s="478">
        <f t="shared" ca="1" si="3"/>
        <v>0</v>
      </c>
      <c r="D25" s="478">
        <f t="shared" si="4"/>
        <v>4.1962406994455987</v>
      </c>
      <c r="E25" s="478">
        <f t="shared" si="5"/>
        <v>1.4745621804885685E-2</v>
      </c>
      <c r="F25" s="478">
        <f t="shared" si="6"/>
        <v>4.7509138596896427</v>
      </c>
      <c r="G25" s="478">
        <f t="shared" si="7"/>
        <v>0</v>
      </c>
      <c r="H25" s="478">
        <f t="shared" si="8"/>
        <v>0</v>
      </c>
      <c r="I25" s="478">
        <f t="shared" si="9"/>
        <v>0</v>
      </c>
      <c r="J25" s="478">
        <f t="shared" si="10"/>
        <v>0.38061846198102689</v>
      </c>
      <c r="K25" s="478">
        <f t="shared" si="11"/>
        <v>0</v>
      </c>
      <c r="L25" s="478">
        <f t="shared" si="12"/>
        <v>0</v>
      </c>
      <c r="M25" s="478">
        <f t="shared" si="13"/>
        <v>0</v>
      </c>
      <c r="N25" s="478">
        <f t="shared" si="14"/>
        <v>0</v>
      </c>
      <c r="O25" s="478">
        <f t="shared" si="15"/>
        <v>0</v>
      </c>
      <c r="P25" s="479">
        <f t="shared" si="16"/>
        <v>0</v>
      </c>
      <c r="Q25" s="477">
        <f t="shared" ca="1" si="17"/>
        <v>10.703518551673959</v>
      </c>
    </row>
    <row r="26" spans="1:17">
      <c r="A26" s="477" t="s">
        <v>650</v>
      </c>
      <c r="B26" s="478">
        <f t="shared" ca="1" si="2"/>
        <v>1235.8600197357728</v>
      </c>
      <c r="C26" s="478">
        <f t="shared" ca="1" si="3"/>
        <v>0</v>
      </c>
      <c r="D26" s="478">
        <f t="shared" si="4"/>
        <v>898.52692485681996</v>
      </c>
      <c r="E26" s="478">
        <f t="shared" si="5"/>
        <v>106.41035763974124</v>
      </c>
      <c r="F26" s="478">
        <f t="shared" si="6"/>
        <v>693.71568115647642</v>
      </c>
      <c r="G26" s="478">
        <f t="shared" si="7"/>
        <v>0</v>
      </c>
      <c r="H26" s="478">
        <f t="shared" si="8"/>
        <v>0</v>
      </c>
      <c r="I26" s="478">
        <f t="shared" si="9"/>
        <v>0</v>
      </c>
      <c r="J26" s="478">
        <f t="shared" si="10"/>
        <v>9.6566673683575157</v>
      </c>
      <c r="K26" s="478">
        <f t="shared" si="11"/>
        <v>0</v>
      </c>
      <c r="L26" s="478">
        <f t="shared" si="12"/>
        <v>0</v>
      </c>
      <c r="M26" s="478">
        <f t="shared" si="13"/>
        <v>0</v>
      </c>
      <c r="N26" s="478">
        <f t="shared" si="14"/>
        <v>0</v>
      </c>
      <c r="O26" s="478">
        <f t="shared" si="15"/>
        <v>0</v>
      </c>
      <c r="P26" s="479">
        <f t="shared" si="16"/>
        <v>0</v>
      </c>
      <c r="Q26" s="477">
        <f t="shared" ca="1" si="17"/>
        <v>2944.1696507571678</v>
      </c>
    </row>
    <row r="27" spans="1:17" s="483" customFormat="1">
      <c r="A27" s="481" t="s">
        <v>571</v>
      </c>
      <c r="B27" s="781">
        <f t="shared" ca="1" si="2"/>
        <v>3.6608346832839453</v>
      </c>
      <c r="C27" s="482">
        <f t="shared" ca="1" si="3"/>
        <v>0</v>
      </c>
      <c r="D27" s="482">
        <f t="shared" si="4"/>
        <v>9.668784443726345</v>
      </c>
      <c r="E27" s="482">
        <f t="shared" si="5"/>
        <v>75.25490636636637</v>
      </c>
      <c r="F27" s="482">
        <f t="shared" si="6"/>
        <v>0</v>
      </c>
      <c r="G27" s="482">
        <f t="shared" si="7"/>
        <v>26401.996865227742</v>
      </c>
      <c r="H27" s="482">
        <f t="shared" si="8"/>
        <v>4581.0228661343908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31071.604256855509</v>
      </c>
    </row>
    <row r="28" spans="1:17">
      <c r="A28" s="477" t="s">
        <v>561</v>
      </c>
      <c r="B28" s="478">
        <f t="shared" ca="1" si="2"/>
        <v>0</v>
      </c>
      <c r="C28" s="478">
        <f t="shared" ca="1" si="3"/>
        <v>0</v>
      </c>
      <c r="D28" s="478">
        <f t="shared" si="4"/>
        <v>0</v>
      </c>
      <c r="E28" s="478">
        <f t="shared" si="5"/>
        <v>0</v>
      </c>
      <c r="F28" s="478">
        <f t="shared" si="6"/>
        <v>0</v>
      </c>
      <c r="G28" s="478">
        <f t="shared" si="7"/>
        <v>544.8333061896833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544.8333061896833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253.84248502570068</v>
      </c>
      <c r="C32" s="478">
        <f t="shared" ca="1" si="3"/>
        <v>0</v>
      </c>
      <c r="D32" s="478">
        <f t="shared" si="4"/>
        <v>1005.2290869308551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1259.0715719565558</v>
      </c>
    </row>
    <row r="33" spans="1:17" s="487" customFormat="1">
      <c r="A33" s="1051" t="s">
        <v>565</v>
      </c>
      <c r="B33" s="991">
        <f ca="1">SUM(B22:B32)</f>
        <v>11161.526472341435</v>
      </c>
      <c r="C33" s="991">
        <f t="shared" ref="C33:Q33" ca="1" si="18">SUM(C22:C32)</f>
        <v>0</v>
      </c>
      <c r="D33" s="991">
        <f t="shared" ca="1" si="18"/>
        <v>22002.648535054315</v>
      </c>
      <c r="E33" s="991">
        <f t="shared" si="18"/>
        <v>332.27393029477849</v>
      </c>
      <c r="F33" s="991">
        <f t="shared" ca="1" si="18"/>
        <v>1554.1134177191293</v>
      </c>
      <c r="G33" s="991">
        <f t="shared" si="18"/>
        <v>26946.830171417427</v>
      </c>
      <c r="H33" s="991">
        <f t="shared" si="18"/>
        <v>4581.0228661343908</v>
      </c>
      <c r="I33" s="991">
        <f t="shared" si="18"/>
        <v>0</v>
      </c>
      <c r="J33" s="991">
        <f t="shared" si="18"/>
        <v>10.037285830338543</v>
      </c>
      <c r="K33" s="991">
        <f t="shared" si="18"/>
        <v>0</v>
      </c>
      <c r="L33" s="991">
        <f t="shared" ca="1" si="18"/>
        <v>0</v>
      </c>
      <c r="M33" s="991">
        <f t="shared" si="18"/>
        <v>0</v>
      </c>
      <c r="N33" s="991">
        <f t="shared" ca="1" si="18"/>
        <v>0</v>
      </c>
      <c r="O33" s="991">
        <f t="shared" si="18"/>
        <v>0</v>
      </c>
      <c r="P33" s="991">
        <f t="shared" si="18"/>
        <v>0</v>
      </c>
      <c r="Q33" s="991">
        <f t="shared" ca="1" si="18"/>
        <v>66588.4526787918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7009.9834110035372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7009.9834110035372</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0.19406413367366648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0.19406413367366648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2019-08-12T08:06:15Z</dcterms:modified>
</cp:coreProperties>
</file>