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K20" s="1"/>
  <c r="J19"/>
  <c r="I19"/>
  <c r="H19"/>
  <c r="G19"/>
  <c r="F19"/>
  <c r="E19"/>
  <c r="D19"/>
  <c r="C19"/>
  <c r="B19"/>
  <c r="N18"/>
  <c r="M18"/>
  <c r="L18"/>
  <c r="K18"/>
  <c r="J18"/>
  <c r="I18"/>
  <c r="O18" s="1"/>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D20"/>
  <c r="B17"/>
  <c r="G12"/>
  <c r="F12"/>
  <c r="E12"/>
  <c r="D12"/>
  <c r="C12"/>
  <c r="G10"/>
  <c r="F10"/>
  <c r="B8"/>
  <c r="B6"/>
  <c r="B5"/>
  <c r="B4"/>
  <c r="B10" s="1"/>
  <c r="I102" l="1"/>
  <c r="H17" s="1"/>
  <c r="H20" s="1"/>
  <c r="B102"/>
  <c r="C17" s="1"/>
  <c r="C102"/>
  <c r="F102"/>
  <c r="G102"/>
  <c r="I101"/>
  <c r="H8" s="1"/>
  <c r="H10" s="1"/>
  <c r="H101"/>
  <c r="B101"/>
  <c r="C8" s="1"/>
  <c r="C101"/>
  <c r="D101"/>
  <c r="F101"/>
  <c r="G101"/>
  <c r="O9"/>
  <c r="B20"/>
  <c r="O19"/>
  <c r="C20"/>
  <c r="C1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N26" s="1"/>
  <c r="L24"/>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P52" s="1"/>
  <c r="O48"/>
  <c r="M48"/>
  <c r="L48"/>
  <c r="K48"/>
  <c r="J48"/>
  <c r="G48"/>
  <c r="D48"/>
  <c r="Q18"/>
  <c r="Q22" s="1"/>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Q56"/>
  <c r="I56"/>
  <c r="R44"/>
  <c r="I26"/>
  <c r="E25"/>
  <c r="E55" s="1"/>
  <c r="C25"/>
  <c r="B14" i="48" s="1"/>
  <c r="L26" i="14"/>
  <c r="J26"/>
  <c r="H26"/>
  <c r="L78" l="1"/>
  <c r="L9" i="59"/>
  <c r="L10" s="1"/>
  <c r="M22" i="14"/>
  <c r="K78"/>
  <c r="K8" i="59"/>
  <c r="K10" s="1"/>
  <c r="E90" i="14"/>
  <c r="E18" i="59"/>
  <c r="E20" s="1"/>
  <c r="O28" i="48"/>
  <c r="D22" i="14"/>
  <c r="L22"/>
  <c r="K20" i="59"/>
  <c r="L20"/>
  <c r="D14" i="48"/>
  <c r="E10" i="59"/>
  <c r="G22" i="14"/>
  <c r="O22"/>
  <c r="P22"/>
  <c r="O25" i="48"/>
  <c r="N78" i="14"/>
  <c r="K90"/>
  <c r="L90"/>
  <c r="H90"/>
  <c r="L13" i="15"/>
  <c r="N13"/>
  <c r="F77" i="14"/>
  <c r="O78"/>
  <c r="N88"/>
  <c r="E78"/>
  <c r="H77"/>
  <c r="H9" i="59" s="1"/>
  <c r="H10" s="1"/>
  <c r="O88" i="14"/>
  <c r="G89"/>
  <c r="G78"/>
  <c r="O31" i="48"/>
  <c r="O27"/>
  <c r="O29"/>
  <c r="P31"/>
  <c r="O24"/>
  <c r="O30"/>
  <c r="P24"/>
  <c r="P30"/>
  <c r="R9" i="14"/>
  <c r="R25"/>
  <c r="O90" l="1"/>
  <c r="O18" i="59"/>
  <c r="O20" s="1"/>
  <c r="C89" i="14"/>
  <c r="C19" i="59" s="1"/>
  <c r="G19"/>
  <c r="G20" s="1"/>
  <c r="B77" i="14"/>
  <c r="B9" i="59" s="1"/>
  <c r="F9"/>
  <c r="N90" i="14"/>
  <c r="N18" i="59"/>
  <c r="N20" s="1"/>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28"/>
  <c r="E24"/>
  <c r="E31"/>
  <c r="E29"/>
  <c r="E30"/>
  <c r="M26"/>
  <c r="M32"/>
  <c r="M22"/>
  <c r="M29"/>
  <c r="M25"/>
  <c r="M30"/>
  <c r="M24"/>
  <c r="M23"/>
  <c r="K5"/>
  <c r="L10" i="14"/>
  <c r="L16" s="1"/>
  <c r="L27" s="1"/>
  <c r="D30" i="48"/>
  <c r="D28"/>
  <c r="D29"/>
  <c r="D31"/>
  <c r="D24"/>
  <c r="D32"/>
  <c r="L32"/>
  <c r="L28"/>
  <c r="L29"/>
  <c r="L22"/>
  <c r="L27"/>
  <c r="L30"/>
  <c r="L31"/>
  <c r="L24"/>
  <c r="P5"/>
  <c r="P23" s="1"/>
  <c r="Q10" i="14"/>
  <c r="K32" i="48"/>
  <c r="K28"/>
  <c r="K26"/>
  <c r="K24"/>
  <c r="K27"/>
  <c r="K25"/>
  <c r="K22"/>
  <c r="K31"/>
  <c r="K30"/>
  <c r="K29"/>
  <c r="B7"/>
  <c r="C24" i="14"/>
  <c r="C26" s="1"/>
  <c r="J29" i="48"/>
  <c r="J31"/>
  <c r="J32"/>
  <c r="J28"/>
  <c r="J24"/>
  <c r="J27"/>
  <c r="J30"/>
  <c r="P4"/>
  <c r="Q11" i="14"/>
  <c r="O4" i="48"/>
  <c r="P11" i="14"/>
  <c r="I28" i="48"/>
  <c r="I29"/>
  <c r="I31"/>
  <c r="I26"/>
  <c r="I32"/>
  <c r="I25"/>
  <c r="I27"/>
  <c r="I22"/>
  <c r="I30"/>
  <c r="I24"/>
  <c r="E11" i="14"/>
  <c r="D4" i="48"/>
  <c r="D22" s="1"/>
  <c r="H29"/>
  <c r="H26"/>
  <c r="H32"/>
  <c r="H25"/>
  <c r="H28"/>
  <c r="H22"/>
  <c r="H30"/>
  <c r="H24"/>
  <c r="H23"/>
  <c r="D11" i="14"/>
  <c r="C4" i="48"/>
  <c r="G32"/>
  <c r="G26"/>
  <c r="G25"/>
  <c r="G24"/>
  <c r="G22"/>
  <c r="G30"/>
  <c r="G29"/>
  <c r="G23"/>
  <c r="C11" i="14"/>
  <c r="B4" i="48"/>
  <c r="F29"/>
  <c r="F32"/>
  <c r="F30"/>
  <c r="F27"/>
  <c r="F31"/>
  <c r="F28"/>
  <c r="F24"/>
  <c r="N29"/>
  <c r="N32"/>
  <c r="N24"/>
  <c r="N28"/>
  <c r="N31"/>
  <c r="N27"/>
  <c r="N30"/>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E9" i="48" l="1"/>
  <c r="F20" i="14"/>
  <c r="F22" s="1"/>
  <c r="P22" i="16"/>
  <c r="Q43" i="14" s="1"/>
  <c r="P8" i="48"/>
  <c r="P26" s="1"/>
  <c r="Q13" i="14"/>
  <c r="Q16" s="1"/>
  <c r="Q27" s="1"/>
  <c r="D9" i="48"/>
  <c r="D27" s="1"/>
  <c r="E20" i="14"/>
  <c r="E22" s="1"/>
  <c r="P22" i="48"/>
  <c r="B9"/>
  <c r="C20" i="14"/>
  <c r="O5" i="48"/>
  <c r="O23" s="1"/>
  <c r="P10" i="14"/>
  <c r="F4" i="48"/>
  <c r="F22" s="1"/>
  <c r="G11" i="14"/>
  <c r="K24"/>
  <c r="K26" s="1"/>
  <c r="J7" i="48"/>
  <c r="J25" s="1"/>
  <c r="O22"/>
  <c r="J10" i="14"/>
  <c r="J16" s="1"/>
  <c r="J27" s="1"/>
  <c r="I5" i="48"/>
  <c r="K23"/>
  <c r="K15"/>
  <c r="M12" i="22"/>
  <c r="N18" i="14"/>
  <c r="M13" i="48"/>
  <c r="M31" s="1"/>
  <c r="C22" i="14"/>
  <c r="G13" i="48"/>
  <c r="H18" i="14"/>
  <c r="R18" s="1"/>
  <c r="H13" i="48"/>
  <c r="H31" s="1"/>
  <c r="I18" i="14"/>
  <c r="L46"/>
  <c r="L61" s="1"/>
  <c r="L63" s="1"/>
  <c r="K33" i="48"/>
  <c r="D24" i="1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M9" i="48"/>
  <c r="N20" i="14"/>
  <c r="H20"/>
  <c r="G9" i="48"/>
  <c r="O8"/>
  <c r="P13" i="14"/>
  <c r="P16" s="1"/>
  <c r="P27" s="1"/>
  <c r="N19"/>
  <c r="N22" s="1"/>
  <c r="N27" s="1"/>
  <c r="N63" s="1"/>
  <c r="M10" i="48"/>
  <c r="M28" s="1"/>
  <c r="E7"/>
  <c r="E25" s="1"/>
  <c r="F24" i="14"/>
  <c r="F26" s="1"/>
  <c r="G31" i="48"/>
  <c r="Q13"/>
  <c r="I23"/>
  <c r="I33" s="1"/>
  <c r="I15"/>
  <c r="H19" i="14"/>
  <c r="R19" s="1"/>
  <c r="G10" i="48"/>
  <c r="K11" i="14"/>
  <c r="J4" i="48"/>
  <c r="E27"/>
  <c r="Q46" i="14"/>
  <c r="Q61" s="1"/>
  <c r="Q63" s="1"/>
  <c r="N52"/>
  <c r="N61" s="1"/>
  <c r="P33" i="48"/>
  <c r="J63" i="14"/>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O26"/>
  <c r="O33" s="1"/>
  <c r="O15"/>
  <c r="H9"/>
  <c r="I20" i="14"/>
  <c r="E22" i="48"/>
  <c r="Q4"/>
  <c r="E20" i="15"/>
  <c r="F40" i="14" s="1"/>
  <c r="E5" i="48"/>
  <c r="E23" s="1"/>
  <c r="F10" i="14"/>
  <c r="G28" i="48"/>
  <c r="Q10"/>
  <c r="K10" i="14"/>
  <c r="J5" i="48"/>
  <c r="J23" s="1"/>
  <c r="M27"/>
  <c r="M33" s="1"/>
  <c r="M15"/>
  <c r="J22"/>
  <c r="R11" i="14"/>
  <c r="H22"/>
  <c r="H27" s="1"/>
  <c r="H63" s="1"/>
  <c r="M61"/>
  <c r="M27"/>
  <c r="E16"/>
  <c r="E27" s="1"/>
  <c r="E63"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F13" i="14"/>
  <c r="F16" s="1"/>
  <c r="F27" s="1"/>
  <c r="F63" s="1"/>
  <c r="J22" i="16"/>
  <c r="K43" i="14" s="1"/>
  <c r="K46" s="1"/>
  <c r="K61" s="1"/>
  <c r="K13"/>
  <c r="J8" i="48"/>
  <c r="J26" s="1"/>
  <c r="H27"/>
  <c r="H33" s="1"/>
  <c r="H15"/>
  <c r="R20" i="14"/>
  <c r="R22" s="1"/>
  <c r="I22"/>
  <c r="I27" s="1"/>
  <c r="F46"/>
  <c r="F61" s="1"/>
  <c r="J15" i="48"/>
  <c r="J33"/>
  <c r="E22" i="16"/>
  <c r="F43" i="14" s="1"/>
  <c r="I63"/>
  <c r="Q5" i="48"/>
  <c r="Q9"/>
  <c r="K16" i="14"/>
  <c r="K27"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<sst xmlns="http://schemas.openxmlformats.org/spreadsheetml/2006/main" count="2441" uniqueCount="918">
  <si>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</si>
  <si>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</si>
  <si>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</si>
  <si>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</si>
  <si>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</si>
  <si>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</si>
  <si>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</si>
  <si>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</si>
  <si>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</si>
  <si>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</si>
  <si>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</si>
  <si>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</si>
  <si>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</si>
  <si>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</si>
  <si>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</si>
  <si>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</si>
  <si>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</si>
  <si>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</si>
  <si>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</si>
  <si>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</si>
  <si>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</si>
  <si>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</si>
  <si>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</si>
  <si>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</si>
  <si>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</si>
  <si>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</si>
  <si>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</si>
  <si>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</si>
  <si>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</si>
  <si>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</si>
  <si>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</si>
  <si>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</si>
  <si>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</si>
  <si>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</si>
  <si>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</si>
  <si>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</si>
  <si>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</si>
  <si>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</si>
  <si>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</si>
  <si>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</si>
  <si>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</si>
  <si>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</si>
  <si>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</si>
  <si>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</si>
  <si>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</si>
  <si>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</si>
  <si>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</si>
  <si>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</si>
  <si>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</si>
  <si>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</si>
  <si>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</si>
  <si>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</si>
  <si>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</si>
  <si>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</si>
  <si>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</si>
  <si>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</si>
  <si>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</si>
  <si>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</si>
  <si>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</si>
  <si>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</si>
  <si>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</si>
  <si>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</si>
  <si>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</si>
  <si>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</si>
  <si>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</si>
  <si>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</si>
  <si>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</si>
  <si>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</si>
  <si>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</si>
  <si>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</si>
  <si>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</si>
  <si>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</si>
  <si>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</si>
  <si>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</si>
  <si>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</si>
  <si>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</si>
  <si>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</si>
  <si>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</si>
  <si>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</si>
  <si>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</si>
  <si>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</si>
  <si>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</si>
  <si>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</si>
  <si>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</si>
  <si>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</si>
  <si>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</si>
  <si>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</si>
  <si>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</si>
  <si>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</si>
  <si>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</si>
  <si>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</si>
  <si>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</si>
  <si>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</si>
  <si>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</si>
  <si>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</si>
  <si>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</si>
  <si>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</si>
  <si>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</si>
  <si>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</si>
  <si>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</si>
  <si>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</si>
  <si>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</si>
  <si>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</si>
  <si>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</si>
  <si>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</si>
  <si>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</si>
  <si>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</si>
  <si>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</si>
  <si>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</si>
  <si>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</si>
  <si>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</si>
  <si>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</si>
  <si>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</si>
  <si>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</si>
  <si>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</si>
  <si>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</si>
  <si>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</si>
  <si>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</si>
  <si>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</si>
  <si>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</si>
  <si>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</si>
  <si>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</si>
  <si>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</si>
  <si>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</si>
  <si>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</si>
  <si>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</si>
  <si>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</si>
  <si>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</si>
  <si>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</si>
  <si>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</si>
  <si>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</si>
  <si>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</si>
  <si>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</si>
  <si>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</si>
  <si>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</si>
  <si>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</si>
  <si>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</si>
  <si>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</si>
  <si>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</si>
  <si>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</si>
  <si>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</si>
  <si>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</si>
  <si>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</si>
  <si>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</si>
  <si>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</si>
  <si>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</si>
  <si>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</si>
  <si>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</si>
  <si>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</si>
  <si>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</si>
  <si>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</si>
  <si>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</si>
  <si>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</si>
  <si>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</si>
  <si>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</si>
  <si>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</si>
  <si>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</si>
  <si>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</si>
  <si>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</si>
  <si>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</si>
  <si>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</si>
  <si>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</si>
  <si>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</si>
  <si>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</si>
  <si>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</si>
  <si>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</si>
  <si>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</si>
  <si>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</si>
  <si>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</si>
  <si>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</si>
  <si>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</si>
  <si>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</si>
  <si>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</si>
  <si>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</si>
  <si>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</si>
  <si>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</si>
  <si>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</si>
  <si>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</si>
  <si>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</si>
  <si>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</si>
  <si>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</si>
  <si>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</si>
  <si>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</si>
  <si>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</si>
  <si>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</si>
  <si>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</si>
  <si>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</si>
  <si>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</si>
  <si>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</si>
  <si>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</si>
  <si>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</si>
  <si>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</si>
  <si>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</si>
  <si>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</si>
  <si>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</si>
  <si>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</si>
  <si>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</si>
  <si>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</si>
  <si>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</si>
  <si>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</si>
  <si>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</si>
  <si>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</si>
  <si>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</si>
  <si>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</si>
  <si>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</si>
  <si>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</si>
  <si>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</si>
  <si>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</si>
  <si>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</si>
  <si>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</si>
  <si>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</si>
  <si>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</si>
  <si>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</si>
  <si>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</si>
  <si>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</si>
  <si>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</si>
  <si>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</si>
  <si>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</si>
  <si>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</si>
  <si>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</si>
  <si>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</si>
  <si>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</si>
  <si>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</si>
  <si>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</si>
  <si>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</si>
  <si>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</si>
  <si>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</si>
  <si>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</si>
  <si>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</si>
  <si>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</si>
  <si>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</si>
  <si>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</si>
  <si>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</si>
  <si>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</si>
  <si>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</si>
  <si>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</si>
  <si>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</si>
  <si>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</si>
  <si>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</si>
  <si>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</si>
  <si>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</si>
  <si>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</si>
  <si>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</si>
  <si>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</si>
  <si>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</si>
  <si>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</si>
  <si>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</si>
  <si>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</si>
  <si>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</si>
  <si>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</si>
  <si>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</si>
  <si>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</si>
  <si>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</si>
  <si>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</si>
  <si>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</si>
  <si>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</si>
  <si>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</si>
  <si>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</si>
  <si>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</si>
  <si>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</si>
  <si>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</si>
  <si>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</si>
  <si>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</si>
  <si>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</si>
  <si>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</si>
  <si>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</si>
  <si>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</si>
  <si>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</si>
  <si>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</si>
  <si>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</si>
  <si>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</si>
  <si>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</si>
  <si>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</si>
  <si>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</si>
  <si>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</si>
  <si>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</si>
  <si>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</si>
  <si>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</si>
  <si>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</si>
  <si>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</si>
  <si>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</si>
  <si>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</si>
  <si>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</si>
  <si>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</si>
  <si>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</si>
  <si>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</si>
  <si>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</si>
  <si>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</si>
  <si>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</si>
  <si>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</si>
  <si>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</si>
  <si>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</si>
  <si>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</si>
  <si>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</si>
  <si>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</si>
  <si>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</si>
  <si>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</si>
  <si>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</si>
  <si>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</si>
  <si>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</si>
  <si>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</si>
  <si>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</si>
  <si>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</si>
  <si>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</si>
  <si>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</si>
  <si>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</si>
  <si>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</si>
  <si>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</si>
  <si>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</si>
  <si>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</si>
  <si>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</si>
  <si>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</si>
  <si>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</si>
  <si>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</si>
  <si>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</si>
  <si>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</si>
  <si>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</si>
  <si>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</si>
  <si>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</si>
  <si>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</si>
  <si>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</si>
  <si>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</si>
  <si>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</si>
  <si>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</si>
  <si>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</si>
  <si>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</si>
  <si>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</si>
  <si>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</si>
  <si>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</si>
  <si>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</si>
  <si>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</si>
  <si>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</si>
  <si>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</si>
  <si>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</si>
  <si>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</si>
  <si>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</si>
  <si>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</si>
  <si>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</si>
  <si>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</si>
  <si>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</si>
  <si>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</si>
  <si>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</si>
  <si>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</si>
  <si>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</si>
  <si>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</si>
  <si>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</si>
  <si>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</si>
  <si>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</si>
  <si>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</si>
  <si>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</si>
  <si>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</si>
  <si>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</si>
  <si>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</si>
  <si>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</si>
  <si>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</si>
  <si>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</si>
  <si>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</si>
  <si>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</si>
  <si>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</si>
  <si>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</si>
  <si>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</si>
  <si>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</si>
  <si>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</si>
  <si>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</si>
  <si>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</si>
  <si>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</si>
  <si>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</si>
  <si>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</si>
  <si>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</si>
  <si>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</si>
  <si>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</si>
  <si>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</si>
  <si>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</si>
  <si>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</si>
  <si>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</si>
  <si>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</si>
  <si>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</si>
  <si>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</si>
  <si>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</si>
  <si>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</si>
  <si>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</si>
  <si>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</si>
  <si>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</si>
  <si>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</si>
  <si>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</si>
  <si>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</si>
  <si>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</si>
  <si>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</si>
  <si>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</si>
  <si>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</si>
  <si>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</si>
  <si>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</si>
  <si>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</si>
  <si>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</si>
  <si>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</si>
  <si>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</si>
  <si>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</si>
  <si>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</si>
  <si>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</si>
  <si>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</si>
  <si>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</si>
  <si>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</si>
  <si>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</si>
  <si>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</si>
  <si>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</si>
  <si>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</si>
  <si>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</si>
  <si>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</si>
  <si>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</si>
  <si>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</si>
  <si>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</si>
  <si>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</si>
  <si>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</si>
  <si>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</si>
  <si>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</si>
  <si>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</si>
  <si>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</si>
  <si>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</si>
  <si>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</si>
  <si>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</si>
  <si>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</si>
  <si>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</si>
  <si>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</si>
  <si>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</si>
  <si>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</si>
  <si>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</si>
  <si>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</si>
  <si>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</si>
  <si>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</si>
  <si>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</si>
  <si>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</si>
  <si>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</si>
  <si>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</si>
  <si>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</si>
  <si>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</si>
  <si>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</si>
  <si>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</si>
  <si>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</si>
  <si>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</si>
  <si>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</si>
  <si>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</si>
  <si>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</si>
  <si>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</si>
  <si>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</si>
  <si>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</si>
  <si>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</si>
  <si>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</si>
  <si>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</si>
  <si>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</si>
  <si>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</si>
  <si>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</si>
  <si>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</si>
  <si>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</si>
  <si>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</si>
  <si>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</si>
  <si>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</si>
  <si>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</si>
  <si>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</si>
  <si>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</si>
  <si>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</si>
  <si>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</si>
  <si>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</si>
  <si>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</si>
  <si>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</si>
  <si>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</si>
  <si>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</si>
  <si>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</si>
  <si>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</si>
  <si>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</si>
  <si>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</si>
  <si>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</si>
  <si>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</si>
  <si>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</si>
  <si>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</si>
  <si>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</si>
  <si>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</si>
  <si>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</si>
  <si>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</si>
  <si>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</si>
  <si>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</si>
  <si>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</si>
  <si>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</si>
  <si>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</si>
  <si>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</si>
  <si>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</si>
  <si>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</si>
  <si>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</si>
  <si>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</si>
  <si>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</si>
  <si>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</si>
  <si>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</si>
  <si>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</si>
  <si>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</si>
  <si>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</si>
  <si>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</si>
  <si>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</si>
  <si>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</si>
  <si>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</si>
  <si>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</si>
  <si>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</si>
  <si>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</si>
  <si>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</si>
  <si>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</si>
  <si>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</si>
  <si>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</si>
  <si>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</si>
  <si>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</si>
  <si>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</si>
  <si>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</si>
  <si>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</si>
  <si>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</si>
  <si>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</si>
  <si>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</si>
  <si>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</si>
  <si>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</si>
  <si>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</si>
  <si>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</si>
  <si>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</si>
  <si>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</si>
  <si>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</si>
  <si>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</si>
  <si>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</si>
  <si>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</si>
  <si>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</si>
  <si>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</si>
  <si>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</si>
  <si>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</si>
  <si>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</si>
  <si>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</si>
  <si>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</si>
  <si>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</si>
  <si>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</si>
  <si>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</si>
  <si>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</si>
  <si>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</si>
  <si>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</si>
  <si>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</si>
  <si>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</si>
  <si>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</si>
  <si>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</si>
  <si>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</si>
  <si>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</si>
  <si>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</si>
  <si>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</si>
  <si>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</si>
  <si>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</si>
  <si>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</si>
  <si>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</si>
  <si>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</si>
  <si>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</si>
  <si>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</si>
  <si>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</si>
  <si>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</si>
  <si>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</si>
  <si>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</si>
  <si>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</si>
  <si>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</si>
  <si>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</si>
  <si>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</si>
  <si>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</si>
  <si>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</si>
  <si>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</si>
  <si>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</si>
  <si>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</si>
  <si>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</si>
  <si>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</si>
  <si>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</si>
  <si>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</si>
  <si>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</si>
  <si>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</si>
  <si>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</si>
  <si>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</si>
  <si>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</si>
  <si>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</si>
  <si>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</si>
  <si>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</si>
  <si>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</si>
  <si>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</si>
  <si>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</si>
  <si>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</si>
  <si>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</si>
  <si>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</si>
  <si>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</si>
  <si>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</si>
  <si>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</si>
  <si>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</si>
  <si>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</si>
  <si>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</si>
  <si>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</si>
  <si>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</si>
  <si>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</si>
  <si>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</si>
  <si>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</si>
  <si>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</si>
  <si>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</si>
  <si>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</si>
  <si>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</si>
  <si>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</si>
  <si>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</si>
  <si>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</si>
  <si>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</si>
  <si>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</si>
  <si>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</si>
  <si>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</si>
  <si>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</si>
  <si>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</si>
  <si>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</si>
  <si>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</si>
  <si>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</si>
  <si>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</si>
  <si>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</si>
  <si>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</si>
  <si>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</si>
  <si>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</si>
  <si>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</si>
  <si>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</si>
  <si>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</si>
  <si>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</si>
  <si>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</si>
  <si>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</si>
  <si>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</si>
  <si>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</si>
  <si>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</si>
  <si>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</si>
  <si>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</si>
  <si>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</si>
  <si>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</si>
  <si>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</si>
  <si>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</si>
  <si>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</si>
  <si>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</si>
  <si>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</si>
  <si>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</si>
  <si>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</si>
  <si>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</si>
  <si>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</si>
  <si>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</si>
  <si>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</si>
  <si>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</si>
  <si>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</si>
  <si>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</si>
  <si>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</si>
  <si>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</si>
  <si>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</si>
  <si>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</si>
  <si>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</si>
  <si>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</si>
  <si>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</si>
  <si>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</si>
  <si>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</si>
  <si>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</si>
  <si>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</si>
  <si>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</si>
  <si>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</si>
  <si>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</si>
  <si>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</si>
  <si>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</si>
  <si>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</si>
  <si>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</si>
  <si>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</si>
  <si>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</si>
  <si>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</si>
  <si>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</si>
  <si>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</si>
  <si>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</si>
  <si>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</si>
  <si>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</si>
  <si>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</si>
  <si>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</si>
  <si>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</si>
  <si>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</si>
  <si>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</si>
  <si>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</si>
  <si>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</si>
  <si>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</si>
  <si>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</si>
  <si>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</si>
  <si>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</si>
  <si>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</si>
  <si>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</si>
  <si>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</si>
  <si>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</si>
  <si>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</si>
  <si>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</si>
  <si>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</si>
  <si>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</si>
  <si>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</si>
  <si>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</si>
  <si>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</si>
  <si>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</si>
  <si>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</si>
  <si>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</si>
  <si>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</si>
  <si>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</si>
  <si>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</si>
  <si>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</si>
  <si>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</si>
  <si>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</si>
  <si>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</si>
  <si>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</si>
  <si>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</si>
  <si>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</si>
  <si>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</si>
  <si>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</si>
  <si>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</si>
  <si>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</si>
  <si>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</si>
  <si>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</si>
  <si>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</si>
  <si>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</si>
  <si>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</si>
  <si>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</si>
  <si>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</si>
  <si>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</si>
  <si>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</si>
  <si>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</si>
  <si>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</si>
  <si>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</si>
  <si>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</si>
  <si>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</si>
  <si>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</si>
  <si>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</si>
  <si>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</si>
  <si>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</si>
  <si>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</si>
  <si>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</si>
  <si>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</si>
  <si>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</si>
  <si>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</si>
  <si>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</si>
  <si>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</si>
  <si>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</si>
  <si>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</si>
  <si>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</si>
  <si>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</si>
  <si>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</si>
  <si>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</si>
  <si>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</si>
  <si>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</si>
  <si>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</si>
  <si>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</si>
  <si>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</si>
  <si>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</si>
  <si>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</si>
  <si>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</si>
  <si>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</si>
  <si>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</si>
  <si>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</si>
  <si>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</si>
  <si>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</si>
  <si>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</si>
  <si>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</si>
  <si>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</si>
  <si>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</si>
  <si>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</si>
  <si>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</si>
  <si>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</si>
  <si>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</si>
  <si>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</si>
  <si>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</si>
  <si>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</si>
  <si>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</si>
  <si>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</si>
  <si>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</si>
  <si>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</si>
  <si>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</si>
  <si>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</si>
  <si>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</si>
  <si>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</si>
  <si>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</si>
  <si>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</si>
  <si>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</si>
  <si>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</si>
  <si>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</si>
  <si>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</si>
  <si>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</si>
  <si>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</si>
  <si>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</si>
  <si>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</si>
  <si>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</si>
  <si>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</si>
  <si>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</si>
  <si>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</si>
  <si>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</si>
  <si>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</si>
  <si>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</si>
  <si>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</si>
  <si>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</si>
  <si>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</si>
  <si>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</si>
  <si>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</si>
  <si>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</si>
  <si>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</si>
  <si>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</si>
  <si>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</si>
  <si>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</si>
  <si>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</si>
  <si>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</si>
  <si>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</si>
  <si>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</si>
  <si>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</si>
  <si>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</si>
  <si>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</si>
  <si>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</si>
  <si>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</si>
  <si>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</si>
  <si>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</si>
  <si>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</si>
  <si>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</si>
  <si>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</si>
  <si>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</si>
  <si>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</si>
  <si>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</si>
  <si>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</si>
  <si>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</si>
  <si>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</si>
  <si>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</si>
  <si>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</si>
  <si>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</si>
  <si>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</si>
  <si>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</si>
  <si>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</si>
  <si>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</si>
  <si>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</si>
  <si>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</si>
  <si>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</si>
  <si>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</si>
  <si>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</si>
  <si>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</si>
  <si>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</si>
  <si>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</si>
  <si>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</si>
  <si>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</si>
  <si>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</si>
  <si>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</si>
  <si>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</si>
  <si>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</si>
  <si>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</si>
  <si>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</si>
  <si>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</si>
  <si>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</si>
  <si>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</si>
  <si>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</si>
  <si>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</si>
  <si>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</si>
  <si>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</si>
  <si>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</si>
  <si>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</si>
  <si>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</si>
  <si>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</si>
  <si>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</si>
  <si>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</si>
  <si>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</si>
  <si>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</si>
  <si>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</si>
  <si>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</si>
  <si>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</si>
  <si>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</si>
  <si>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</si>
  <si>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</si>
  <si>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</si>
  <si>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</si>
  <si>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</si>
  <si>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</si>
  <si>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</si>
  <si>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</si>
  <si>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</si>
  <si>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</si>
  <si>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</si>
  <si>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</si>
  <si>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</si>
  <si>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</si>
  <si>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</si>
  <si>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</si>
  <si>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</si>
  <si>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</si>
  <si>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</si>
  <si>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</si>
  <si>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</si>
  <si>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</si>
  <si>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</si>
  <si>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</si>
  <si>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</si>
  <si>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</si>
  <si>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</si>
  <si>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</si>
  <si>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</si>
  <si>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</si>
  <si>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</si>
  <si>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</si>
  <si>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</si>
  <si>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</si>
  <si>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</si>
  <si>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</si>
  <si>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</si>
  <si>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</si>
  <si>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</si>
  <si>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</si>
  <si>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</si>
  <si>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</si>
  <si>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</si>
  <si>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</si>
  <si>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</si>
  <si>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</si>
  <si>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</si>
  <si>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</si>
  <si>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73107</t>
  </si>
  <si>
    <t>MAASMECHELEN</t>
  </si>
  <si>
    <t>Cultuurgrond (ha)</t>
  </si>
  <si>
    <t>Paarden&amp;pony's 200 - 600 kg</t>
  </si>
  <si>
    <t>Paarden&amp;pony's &lt; 200 kg</t>
  </si>
  <si>
    <t>op basis van VEA (maart 2018) en Inventaris Hernieuwbare Energiebronnen (juni 2018)</t>
  </si>
  <si>
    <t>VEA (juni 2018)</t>
  </si>
  <si>
    <t>Filip Willems</t>
  </si>
  <si>
    <t>Rodenbachstraat 11 , 3630 Maasmechelen</t>
  </si>
  <si>
    <t>WKK-0384 Filip Willems</t>
  </si>
  <si>
    <t>stirlingmotor</t>
  </si>
  <si>
    <t>Inter-Energa</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</si>
</sst>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356931.49306361878</c:v>
                </c:pt>
                <c:pt idx="1">
                  <c:v>113489.80039780824</c:v>
                </c:pt>
                <c:pt idx="2">
                  <c:v>2194.5230000000001</c:v>
                </c:pt>
                <c:pt idx="3">
                  <c:v>87983.301698547482</c:v>
                </c:pt>
                <c:pt idx="4">
                  <c:v>161686.08796684578</c:v>
                </c:pt>
                <c:pt idx="5">
                  <c:v>301573.17322123592</c:v>
                </c:pt>
                <c:pt idx="6">
                  <c:v>5424.1600410748151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4656"/>
        <c:axId val="182696192"/>
      </c:barChart>
      <c:catAx>
        <c:axId val="182694656"/>
        <c:scaling>
          <c:orientation val="minMax"/>
        </c:scaling>
        <c:axPos val="b"/>
        <c:numFmt formatCode="General" sourceLinked="0"/>
        <c:tickLblPos val="nextTo"/>
        <c:crossAx val="182696192"/>
        <c:crosses val="autoZero"/>
        <c:auto val="1"/>
        <c:lblAlgn val="ctr"/>
        <c:lblOffset val="100"/>
      </c:catAx>
      <c:valAx>
        <c:axId val="182696192"/>
        <c:scaling>
          <c:orientation val="minMax"/>
        </c:scaling>
        <c:axPos val="l"/>
        <c:majorGridlines/>
        <c:numFmt formatCode="#,##0" sourceLinked="1"/>
        <c:tickLblPos val="nextTo"/>
        <c:crossAx val="1826946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356931.49306361878</c:v>
                </c:pt>
                <c:pt idx="1">
                  <c:v>113489.80039780824</c:v>
                </c:pt>
                <c:pt idx="2">
                  <c:v>2194.5230000000001</c:v>
                </c:pt>
                <c:pt idx="3">
                  <c:v>87983.301698547482</c:v>
                </c:pt>
                <c:pt idx="4">
                  <c:v>161686.08796684578</c:v>
                </c:pt>
                <c:pt idx="5">
                  <c:v>301573.17322123592</c:v>
                </c:pt>
                <c:pt idx="6">
                  <c:v>5424.1600410748151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73971.744906736989</c:v>
                </c:pt>
                <c:pt idx="2">
                  <c:v>22281.577009929373</c:v>
                </c:pt>
                <c:pt idx="3">
                  <c:v>454.93150323242043</c:v>
                </c:pt>
                <c:pt idx="4">
                  <c:v>22581.884090064174</c:v>
                </c:pt>
                <c:pt idx="5">
                  <c:v>34423.334429656345</c:v>
                </c:pt>
                <c:pt idx="6">
                  <c:v>76280.45150790608</c:v>
                </c:pt>
                <c:pt idx="7">
                  <c:v>1386.5858660314764</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3840"/>
        <c:axId val="182805632"/>
      </c:barChart>
      <c:catAx>
        <c:axId val="182803840"/>
        <c:scaling>
          <c:orientation val="minMax"/>
        </c:scaling>
        <c:axPos val="b"/>
        <c:numFmt formatCode="General" sourceLinked="0"/>
        <c:tickLblPos val="nextTo"/>
        <c:crossAx val="182805632"/>
        <c:crosses val="autoZero"/>
        <c:auto val="1"/>
        <c:lblAlgn val="ctr"/>
        <c:lblOffset val="100"/>
      </c:catAx>
      <c:valAx>
        <c:axId val="182805632"/>
        <c:scaling>
          <c:orientation val="minMax"/>
        </c:scaling>
        <c:axPos val="l"/>
        <c:majorGridlines/>
        <c:numFmt formatCode="#,##0" sourceLinked="1"/>
        <c:tickLblPos val="nextTo"/>
        <c:crossAx val="18280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73971.744906736989</c:v>
                </c:pt>
                <c:pt idx="2">
                  <c:v>22281.577009929373</c:v>
                </c:pt>
                <c:pt idx="3">
                  <c:v>454.93150323242043</c:v>
                </c:pt>
                <c:pt idx="4">
                  <c:v>22581.884090064174</c:v>
                </c:pt>
                <c:pt idx="5">
                  <c:v>34423.334429656345</c:v>
                </c:pt>
                <c:pt idx="6">
                  <c:v>76280.45150790608</c:v>
                </c:pt>
                <c:pt idx="7">
                  <c:v>1386.5858660314764</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73107</v>
      </c>
      <c r="B6" s="398"/>
      <c r="C6" s="399"/>
    </row>
    <row r="7" spans="1:7" s="396" customFormat="1" ht="15.75" customHeight="1">
      <c r="A7" s="400" t="str">
        <f>txtMunicipality</f>
        <v>MAASMECHELEN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0.20730313750752233</v>
      </c>
      <c r="C17" s="512">
        <f ca="1">'EF ele_warmte'!B22</f>
        <v>0.22444444444444447</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0.20730313750752233</v>
      </c>
      <c r="C29" s="513">
        <f ca="1">'EF ele_warmte'!B22</f>
        <v>0.22444444444444447</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73107</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14754</v>
      </c>
      <c r="C9" s="338">
        <v>15482</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2052</v>
      </c>
    </row>
    <row r="15" spans="1:6">
      <c r="A15" s="1295" t="s">
        <v>184</v>
      </c>
      <c r="B15" s="335">
        <v>7</v>
      </c>
    </row>
    <row r="16" spans="1:6">
      <c r="A16" s="1295" t="s">
        <v>6</v>
      </c>
      <c r="B16" s="335">
        <v>425</v>
      </c>
    </row>
    <row r="17" spans="1:6">
      <c r="A17" s="1295" t="s">
        <v>7</v>
      </c>
      <c r="B17" s="335">
        <v>138</v>
      </c>
    </row>
    <row r="18" spans="1:6">
      <c r="A18" s="1295" t="s">
        <v>8</v>
      </c>
      <c r="B18" s="335">
        <v>360</v>
      </c>
    </row>
    <row r="19" spans="1:6">
      <c r="A19" s="1295" t="s">
        <v>9</v>
      </c>
      <c r="B19" s="335">
        <v>337</v>
      </c>
    </row>
    <row r="20" spans="1:6">
      <c r="A20" s="1295" t="s">
        <v>10</v>
      </c>
      <c r="B20" s="335">
        <v>255</v>
      </c>
    </row>
    <row r="21" spans="1:6">
      <c r="A21" s="1295" t="s">
        <v>11</v>
      </c>
      <c r="B21" s="335">
        <v>1989</v>
      </c>
    </row>
    <row r="22" spans="1:6">
      <c r="A22" s="1295" t="s">
        <v>12</v>
      </c>
      <c r="B22" s="335">
        <v>2384</v>
      </c>
    </row>
    <row r="23" spans="1:6">
      <c r="A23" s="1295" t="s">
        <v>13</v>
      </c>
      <c r="B23" s="335">
        <v>52</v>
      </c>
    </row>
    <row r="24" spans="1:6">
      <c r="A24" s="1295" t="s">
        <v>14</v>
      </c>
      <c r="B24" s="335">
        <v>3</v>
      </c>
    </row>
    <row r="25" spans="1:6">
      <c r="A25" s="1295" t="s">
        <v>15</v>
      </c>
      <c r="B25" s="335">
        <v>357</v>
      </c>
    </row>
    <row r="26" spans="1:6">
      <c r="A26" s="1295" t="s">
        <v>16</v>
      </c>
      <c r="B26" s="335">
        <v>13</v>
      </c>
    </row>
    <row r="27" spans="1:6">
      <c r="A27" s="1295" t="s">
        <v>17</v>
      </c>
      <c r="B27" s="335">
        <v>0</v>
      </c>
    </row>
    <row r="28" spans="1:6" s="341" customFormat="1">
      <c r="A28" s="1296" t="s">
        <v>18</v>
      </c>
      <c r="B28" s="1296">
        <v>0</v>
      </c>
    </row>
    <row r="29" spans="1:6">
      <c r="A29" s="1296" t="s">
        <v>909</v>
      </c>
      <c r="B29" s="1296">
        <v>25</v>
      </c>
      <c r="C29" s="341"/>
      <c r="D29" s="341"/>
      <c r="E29" s="341"/>
      <c r="F29" s="341"/>
    </row>
    <row r="30" spans="1:6">
      <c r="A30" s="1291" t="s">
        <v>910</v>
      </c>
      <c r="B30" s="1291">
        <v>3</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3</v>
      </c>
      <c r="F35" s="335">
        <v>25840</v>
      </c>
    </row>
    <row r="36" spans="1:6">
      <c r="A36" s="1295" t="s">
        <v>25</v>
      </c>
      <c r="B36" s="1295" t="s">
        <v>27</v>
      </c>
      <c r="C36" s="335">
        <v>0</v>
      </c>
      <c r="D36" s="335">
        <v>0</v>
      </c>
      <c r="E36" s="335">
        <v>36</v>
      </c>
      <c r="F36" s="335">
        <v>285431</v>
      </c>
    </row>
    <row r="37" spans="1:6">
      <c r="A37" s="1295" t="s">
        <v>25</v>
      </c>
      <c r="B37" s="1295" t="s">
        <v>28</v>
      </c>
      <c r="C37" s="335">
        <v>0</v>
      </c>
      <c r="D37" s="335">
        <v>0</v>
      </c>
      <c r="E37" s="335">
        <v>0</v>
      </c>
      <c r="F37" s="335">
        <v>0</v>
      </c>
    </row>
    <row r="38" spans="1:6">
      <c r="A38" s="1295" t="s">
        <v>25</v>
      </c>
      <c r="B38" s="1295" t="s">
        <v>29</v>
      </c>
      <c r="C38" s="335">
        <v>0</v>
      </c>
      <c r="D38" s="335">
        <v>0</v>
      </c>
      <c r="E38" s="335">
        <v>1</v>
      </c>
      <c r="F38" s="335">
        <v>13799</v>
      </c>
    </row>
    <row r="39" spans="1:6">
      <c r="A39" s="1295" t="s">
        <v>30</v>
      </c>
      <c r="B39" s="1295" t="s">
        <v>31</v>
      </c>
      <c r="C39" s="335">
        <v>7829</v>
      </c>
      <c r="D39" s="335">
        <v>149208282</v>
      </c>
      <c r="E39" s="335">
        <v>15050</v>
      </c>
      <c r="F39" s="335">
        <v>53888911</v>
      </c>
    </row>
    <row r="40" spans="1:6">
      <c r="A40" s="1295" t="s">
        <v>30</v>
      </c>
      <c r="B40" s="1295" t="s">
        <v>29</v>
      </c>
      <c r="C40" s="335">
        <v>0</v>
      </c>
      <c r="D40" s="335">
        <v>0</v>
      </c>
      <c r="E40" s="335">
        <v>0</v>
      </c>
      <c r="F40" s="335">
        <v>0</v>
      </c>
    </row>
    <row r="41" spans="1:6">
      <c r="A41" s="1295" t="s">
        <v>32</v>
      </c>
      <c r="B41" s="1295" t="s">
        <v>33</v>
      </c>
      <c r="C41" s="335">
        <v>56</v>
      </c>
      <c r="D41" s="335">
        <v>2150481</v>
      </c>
      <c r="E41" s="335">
        <v>145</v>
      </c>
      <c r="F41" s="335">
        <v>2089633</v>
      </c>
    </row>
    <row r="42" spans="1:6">
      <c r="A42" s="1295" t="s">
        <v>32</v>
      </c>
      <c r="B42" s="1295" t="s">
        <v>34</v>
      </c>
      <c r="C42" s="335">
        <v>3</v>
      </c>
      <c r="D42" s="335">
        <v>1025107</v>
      </c>
      <c r="E42" s="335">
        <v>3</v>
      </c>
      <c r="F42" s="335">
        <v>277243</v>
      </c>
    </row>
    <row r="43" spans="1:6">
      <c r="A43" s="1295" t="s">
        <v>32</v>
      </c>
      <c r="B43" s="1295" t="s">
        <v>35</v>
      </c>
      <c r="C43" s="335">
        <v>0</v>
      </c>
      <c r="D43" s="335">
        <v>0</v>
      </c>
      <c r="E43" s="335">
        <v>0</v>
      </c>
      <c r="F43" s="335">
        <v>0</v>
      </c>
    </row>
    <row r="44" spans="1:6">
      <c r="A44" s="1295" t="s">
        <v>32</v>
      </c>
      <c r="B44" s="1295" t="s">
        <v>36</v>
      </c>
      <c r="C44" s="335">
        <v>5</v>
      </c>
      <c r="D44" s="335">
        <v>2357611</v>
      </c>
      <c r="E44" s="335">
        <v>19</v>
      </c>
      <c r="F44" s="335">
        <v>2917615</v>
      </c>
    </row>
    <row r="45" spans="1:6">
      <c r="A45" s="1295" t="s">
        <v>32</v>
      </c>
      <c r="B45" s="1295" t="s">
        <v>37</v>
      </c>
      <c r="C45" s="335">
        <v>0</v>
      </c>
      <c r="D45" s="335">
        <v>0</v>
      </c>
      <c r="E45" s="335">
        <v>8</v>
      </c>
      <c r="F45" s="335">
        <v>12457257</v>
      </c>
    </row>
    <row r="46" spans="1:6">
      <c r="A46" s="1295" t="s">
        <v>32</v>
      </c>
      <c r="B46" s="1295" t="s">
        <v>38</v>
      </c>
      <c r="C46" s="335">
        <v>0</v>
      </c>
      <c r="D46" s="335">
        <v>0</v>
      </c>
      <c r="E46" s="335">
        <v>0</v>
      </c>
      <c r="F46" s="335">
        <v>0</v>
      </c>
    </row>
    <row r="47" spans="1:6">
      <c r="A47" s="1295" t="s">
        <v>32</v>
      </c>
      <c r="B47" s="1295" t="s">
        <v>39</v>
      </c>
      <c r="C47" s="335">
        <v>0</v>
      </c>
      <c r="D47" s="335">
        <v>0</v>
      </c>
      <c r="E47" s="335">
        <v>4</v>
      </c>
      <c r="F47" s="335">
        <v>296372</v>
      </c>
    </row>
    <row r="48" spans="1:6">
      <c r="A48" s="1295" t="s">
        <v>32</v>
      </c>
      <c r="B48" s="1295" t="s">
        <v>29</v>
      </c>
      <c r="C48" s="335">
        <v>5</v>
      </c>
      <c r="D48" s="335">
        <v>1373182</v>
      </c>
      <c r="E48" s="335">
        <v>3</v>
      </c>
      <c r="F48" s="335">
        <v>265960</v>
      </c>
    </row>
    <row r="49" spans="1:6">
      <c r="A49" s="1295" t="s">
        <v>32</v>
      </c>
      <c r="B49" s="1295" t="s">
        <v>40</v>
      </c>
      <c r="C49" s="335">
        <v>0</v>
      </c>
      <c r="D49" s="335">
        <v>0</v>
      </c>
      <c r="E49" s="335">
        <v>9</v>
      </c>
      <c r="F49" s="335">
        <v>391361</v>
      </c>
    </row>
    <row r="50" spans="1:6">
      <c r="A50" s="1295" t="s">
        <v>32</v>
      </c>
      <c r="B50" s="1295" t="s">
        <v>41</v>
      </c>
      <c r="C50" s="335">
        <v>20</v>
      </c>
      <c r="D50" s="335">
        <v>36924445</v>
      </c>
      <c r="E50" s="335">
        <v>39</v>
      </c>
      <c r="F50" s="335">
        <v>32870831</v>
      </c>
    </row>
    <row r="51" spans="1:6">
      <c r="A51" s="1295" t="s">
        <v>42</v>
      </c>
      <c r="B51" s="1295" t="s">
        <v>43</v>
      </c>
      <c r="C51" s="335">
        <v>10</v>
      </c>
      <c r="D51" s="335">
        <v>242025</v>
      </c>
      <c r="E51" s="335">
        <v>48</v>
      </c>
      <c r="F51" s="335">
        <v>19026213</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168</v>
      </c>
      <c r="F54" s="335">
        <v>2194523</v>
      </c>
    </row>
    <row r="55" spans="1:6">
      <c r="A55" s="1295" t="s">
        <v>46</v>
      </c>
      <c r="B55" s="1295" t="s">
        <v>29</v>
      </c>
      <c r="C55" s="335">
        <v>0</v>
      </c>
      <c r="D55" s="335">
        <v>0</v>
      </c>
      <c r="E55" s="335">
        <v>0</v>
      </c>
      <c r="F55" s="335">
        <v>0</v>
      </c>
    </row>
    <row r="56" spans="1:6">
      <c r="A56" s="1295" t="s">
        <v>48</v>
      </c>
      <c r="B56" s="1295" t="s">
        <v>29</v>
      </c>
      <c r="C56" s="335">
        <v>242</v>
      </c>
      <c r="D56" s="335">
        <v>25743309</v>
      </c>
      <c r="E56" s="335">
        <v>276</v>
      </c>
      <c r="F56" s="335">
        <v>2391734</v>
      </c>
    </row>
    <row r="57" spans="1:6">
      <c r="A57" s="1295" t="s">
        <v>49</v>
      </c>
      <c r="B57" s="1295" t="s">
        <v>50</v>
      </c>
      <c r="C57" s="335">
        <v>64</v>
      </c>
      <c r="D57" s="335">
        <v>2255028</v>
      </c>
      <c r="E57" s="335">
        <v>201</v>
      </c>
      <c r="F57" s="335">
        <v>12451311</v>
      </c>
    </row>
    <row r="58" spans="1:6">
      <c r="A58" s="1295" t="s">
        <v>49</v>
      </c>
      <c r="B58" s="1295" t="s">
        <v>51</v>
      </c>
      <c r="C58" s="335">
        <v>28</v>
      </c>
      <c r="D58" s="335">
        <v>1288865</v>
      </c>
      <c r="E58" s="335">
        <v>62</v>
      </c>
      <c r="F58" s="335">
        <v>770762</v>
      </c>
    </row>
    <row r="59" spans="1:6">
      <c r="A59" s="1295" t="s">
        <v>49</v>
      </c>
      <c r="B59" s="1295" t="s">
        <v>52</v>
      </c>
      <c r="C59" s="335">
        <v>185</v>
      </c>
      <c r="D59" s="335">
        <v>14556260</v>
      </c>
      <c r="E59" s="335">
        <v>467</v>
      </c>
      <c r="F59" s="335">
        <v>22226859</v>
      </c>
    </row>
    <row r="60" spans="1:6">
      <c r="A60" s="1295" t="s">
        <v>49</v>
      </c>
      <c r="B60" s="1295" t="s">
        <v>53</v>
      </c>
      <c r="C60" s="335">
        <v>84</v>
      </c>
      <c r="D60" s="335">
        <v>7108978</v>
      </c>
      <c r="E60" s="335">
        <v>176</v>
      </c>
      <c r="F60" s="335">
        <v>7377859</v>
      </c>
    </row>
    <row r="61" spans="1:6">
      <c r="A61" s="1295" t="s">
        <v>49</v>
      </c>
      <c r="B61" s="1295" t="s">
        <v>54</v>
      </c>
      <c r="C61" s="335">
        <v>161</v>
      </c>
      <c r="D61" s="335">
        <v>10960113</v>
      </c>
      <c r="E61" s="335">
        <v>679</v>
      </c>
      <c r="F61" s="335">
        <v>12871244</v>
      </c>
    </row>
    <row r="62" spans="1:6">
      <c r="A62" s="1295" t="s">
        <v>49</v>
      </c>
      <c r="B62" s="1295" t="s">
        <v>55</v>
      </c>
      <c r="C62" s="335">
        <v>14</v>
      </c>
      <c r="D62" s="335">
        <v>2020742</v>
      </c>
      <c r="E62" s="335">
        <v>32</v>
      </c>
      <c r="F62" s="335">
        <v>1438917</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1</v>
      </c>
      <c r="D65" s="335">
        <v>1564</v>
      </c>
      <c r="E65" s="335">
        <v>1</v>
      </c>
      <c r="F65" s="335">
        <v>4131</v>
      </c>
    </row>
    <row r="66" spans="1:6">
      <c r="A66" s="1295" t="s">
        <v>56</v>
      </c>
      <c r="B66" s="1295" t="s">
        <v>58</v>
      </c>
      <c r="C66" s="335">
        <v>0</v>
      </c>
      <c r="D66" s="335">
        <v>0</v>
      </c>
      <c r="E66" s="335">
        <v>0</v>
      </c>
      <c r="F66" s="335">
        <v>0</v>
      </c>
    </row>
    <row r="67" spans="1:6">
      <c r="A67" s="1296" t="s">
        <v>56</v>
      </c>
      <c r="B67" s="1296" t="s">
        <v>59</v>
      </c>
      <c r="C67" s="335">
        <v>0</v>
      </c>
      <c r="D67" s="335">
        <v>0</v>
      </c>
      <c r="E67" s="335">
        <v>4</v>
      </c>
      <c r="F67" s="335">
        <v>343497</v>
      </c>
    </row>
    <row r="68" spans="1:6">
      <c r="A68" s="1291" t="s">
        <v>56</v>
      </c>
      <c r="B68" s="1291" t="s">
        <v>60</v>
      </c>
      <c r="C68" s="335">
        <v>7</v>
      </c>
      <c r="D68" s="335">
        <v>247227</v>
      </c>
      <c r="E68" s="335">
        <v>23</v>
      </c>
      <c r="F68" s="335">
        <v>759231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80231751</v>
      </c>
      <c r="E73" s="335">
        <v>83028744.968455166</v>
      </c>
    </row>
    <row r="74" spans="1:6">
      <c r="A74" s="1295" t="s">
        <v>64</v>
      </c>
      <c r="B74" s="1295" t="s">
        <v>727</v>
      </c>
      <c r="C74" s="1295" t="s">
        <v>728</v>
      </c>
      <c r="D74" s="335">
        <v>3485353.7998049688</v>
      </c>
      <c r="E74" s="335">
        <v>3723685.2682883344</v>
      </c>
    </row>
    <row r="75" spans="1:6">
      <c r="A75" s="1295" t="s">
        <v>65</v>
      </c>
      <c r="B75" s="1295" t="s">
        <v>725</v>
      </c>
      <c r="C75" s="1295" t="s">
        <v>729</v>
      </c>
      <c r="D75" s="335">
        <v>53234102</v>
      </c>
      <c r="E75" s="335">
        <v>55098335.241859458</v>
      </c>
    </row>
    <row r="76" spans="1:6">
      <c r="A76" s="1295" t="s">
        <v>65</v>
      </c>
      <c r="B76" s="1295" t="s">
        <v>727</v>
      </c>
      <c r="C76" s="1295" t="s">
        <v>730</v>
      </c>
      <c r="D76" s="335">
        <v>108135.79980496853</v>
      </c>
      <c r="E76" s="335">
        <v>180312.91423421574</v>
      </c>
    </row>
    <row r="77" spans="1:6">
      <c r="A77" s="1295" t="s">
        <v>66</v>
      </c>
      <c r="B77" s="1295" t="s">
        <v>725</v>
      </c>
      <c r="C77" s="1295" t="s">
        <v>731</v>
      </c>
      <c r="D77" s="335">
        <v>160222975</v>
      </c>
      <c r="E77" s="335">
        <v>194478451.86697337</v>
      </c>
    </row>
    <row r="78" spans="1:6">
      <c r="A78" s="1291" t="s">
        <v>66</v>
      </c>
      <c r="B78" s="1291" t="s">
        <v>727</v>
      </c>
      <c r="C78" s="1291" t="s">
        <v>732</v>
      </c>
      <c r="D78" s="1291">
        <v>33572519</v>
      </c>
      <c r="E78" s="1291">
        <v>38009999.026339144</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1432998.4003900629</v>
      </c>
      <c r="C83" s="335">
        <v>1375873.6667068128</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7362.9880000000003</v>
      </c>
    </row>
    <row r="92" spans="1:6">
      <c r="A92" s="1291" t="s">
        <v>69</v>
      </c>
      <c r="B92" s="338">
        <v>4634.7669999999998</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3400</v>
      </c>
    </row>
    <row r="98" spans="1:6">
      <c r="A98" s="1295" t="s">
        <v>72</v>
      </c>
      <c r="B98" s="335">
        <v>6</v>
      </c>
    </row>
    <row r="99" spans="1:6">
      <c r="A99" s="1295" t="s">
        <v>73</v>
      </c>
      <c r="B99" s="335">
        <v>67</v>
      </c>
    </row>
    <row r="100" spans="1:6">
      <c r="A100" s="1295" t="s">
        <v>74</v>
      </c>
      <c r="B100" s="335">
        <v>207</v>
      </c>
    </row>
    <row r="101" spans="1:6">
      <c r="A101" s="1295" t="s">
        <v>75</v>
      </c>
      <c r="B101" s="335">
        <v>62</v>
      </c>
    </row>
    <row r="102" spans="1:6">
      <c r="A102" s="1295" t="s">
        <v>76</v>
      </c>
      <c r="B102" s="335">
        <v>166</v>
      </c>
    </row>
    <row r="103" spans="1:6">
      <c r="A103" s="1295" t="s">
        <v>77</v>
      </c>
      <c r="B103" s="335">
        <v>284</v>
      </c>
    </row>
    <row r="104" spans="1:6">
      <c r="A104" s="1295" t="s">
        <v>78</v>
      </c>
      <c r="B104" s="335">
        <v>8734</v>
      </c>
    </row>
    <row r="105" spans="1:6">
      <c r="A105" s="1291" t="s">
        <v>79</v>
      </c>
      <c r="B105" s="1291">
        <v>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10</v>
      </c>
      <c r="C123" s="335">
        <v>8</v>
      </c>
    </row>
    <row r="124" spans="1:6">
      <c r="A124" s="1291" t="s">
        <v>89</v>
      </c>
      <c r="B124" s="335">
        <v>0</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371</v>
      </c>
    </row>
    <row r="130" spans="1:6">
      <c r="A130" s="1295" t="s">
        <v>295</v>
      </c>
      <c r="B130" s="335">
        <v>0</v>
      </c>
    </row>
    <row r="131" spans="1:6">
      <c r="A131" s="1295" t="s">
        <v>296</v>
      </c>
      <c r="B131" s="335">
        <v>0</v>
      </c>
    </row>
    <row r="132" spans="1:6">
      <c r="A132" s="1291" t="s">
        <v>297</v>
      </c>
      <c r="B132" s="338">
        <v>13</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193583.62956890301</v>
      </c>
      <c r="C3" s="43" t="s">
        <v>170</v>
      </c>
      <c r="D3" s="43"/>
      <c r="E3" s="156"/>
      <c r="F3" s="43"/>
      <c r="G3" s="43"/>
      <c r="H3" s="43"/>
      <c r="I3" s="43"/>
      <c r="J3" s="43"/>
      <c r="K3" s="96"/>
    </row>
    <row r="4" spans="1:11">
      <c r="A4" s="366" t="s">
        <v>171</v>
      </c>
      <c r="B4" s="49">
        <f>IF(ISERROR('SEAP template'!B78+'SEAP template'!C78),0,'SEAP template'!B78+'SEAP template'!C78)</f>
        <v>12002.255000000001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1.01</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0.20730313750752233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5.0500000000000007</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22.5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0.22444444444444447</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2194.5230000000001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2194.5230000000001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0.20730313750752233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454.93150323242043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53888.911</v>
      </c>
      <c r="C5" s="17">
        <f>IF(ISERROR('Eigen informatie GS &amp; warmtenet'!B57),0,'Eigen informatie GS &amp; warmtenet'!B57)</f>
        <v>0</v>
      </c>
      <c r="D5" s="30">
        <f>(SUM(HH_hh_gas_kWh,HH_rest_gas_kWh)/1000)*0.902</f>
        <v>134585.870364</v>
      </c>
      <c r="E5" s="17">
        <f>B46*B57</f>
        <v>8950.5811352383844</v>
      </c>
      <c r="F5" s="17">
        <f>B51*B62</f>
        <v>120059.57428657681</v>
      </c>
      <c r="G5" s="18"/>
      <c r="H5" s="17"/>
      <c r="I5" s="17"/>
      <c r="J5" s="17">
        <f>B50*B61+C50*C61</f>
        <v>0</v>
      </c>
      <c r="K5" s="17"/>
      <c r="L5" s="17"/>
      <c r="M5" s="17"/>
      <c r="N5" s="17">
        <f>B48*B59+C48*C59</f>
        <v>31050.968277803626</v>
      </c>
      <c r="O5" s="17">
        <f>B69*B70*B71</f>
        <v>594.06666666666672</v>
      </c>
      <c r="P5" s="17">
        <f>B77*B78*B79/1000-B77*B78*B79/1000/B80</f>
        <v>438.5333333333333</v>
      </c>
    </row>
    <row r="6" spans="1:16">
      <c r="A6" s="16" t="s">
        <v>634</v>
      </c>
      <c r="B6" s="783">
        <f>kWh_PV_kleiner_dan_10kW</f>
        <v>7362.9880000000003</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61251.898999999998</v>
      </c>
      <c r="C8" s="21">
        <f>C5</f>
        <v>0</v>
      </c>
      <c r="D8" s="21">
        <f>D5</f>
        <v>134585.870364</v>
      </c>
      <c r="E8" s="21">
        <f>E5</f>
        <v>8950.5811352383844</v>
      </c>
      <c r="F8" s="21">
        <f>F5</f>
        <v>120059.57428657681</v>
      </c>
      <c r="G8" s="21"/>
      <c r="H8" s="21"/>
      <c r="I8" s="21"/>
      <c r="J8" s="21">
        <f>J5</f>
        <v>0</v>
      </c>
      <c r="K8" s="21"/>
      <c r="L8" s="21">
        <f>L5</f>
        <v>0</v>
      </c>
      <c r="M8" s="21">
        <f>M5</f>
        <v>0</v>
      </c>
      <c r="N8" s="21">
        <f>N5</f>
        <v>31050.968277803626</v>
      </c>
      <c r="O8" s="21">
        <f>O5</f>
        <v>594.06666666666672</v>
      </c>
      <c r="P8" s="21">
        <f>P5</f>
        <v>438.5333333333333</v>
      </c>
    </row>
    <row r="9" spans="1:16">
      <c r="B9" s="19"/>
      <c r="C9" s="19"/>
      <c r="D9" s="261"/>
      <c r="E9" s="19"/>
      <c r="F9" s="19"/>
      <c r="G9" s="19"/>
      <c r="H9" s="19"/>
      <c r="I9" s="19"/>
      <c r="J9" s="19"/>
      <c r="K9" s="19"/>
      <c r="L9" s="19"/>
      <c r="M9" s="19"/>
      <c r="N9" s="19"/>
      <c r="O9" s="19"/>
      <c r="P9" s="19"/>
    </row>
    <row r="10" spans="1:16">
      <c r="A10" s="24" t="s">
        <v>214</v>
      </c>
      <c r="B10" s="25">
        <f ca="1">'EF ele_warmte'!B12</f>
        <v>0.20730313750752233</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12697.710840993868</v>
      </c>
      <c r="C12" s="23">
        <f ca="1">C10*C8</f>
        <v>0</v>
      </c>
      <c r="D12" s="23">
        <f>D8*D10</f>
        <v>27186.345813528002</v>
      </c>
      <c r="E12" s="23">
        <f>E10*E8</f>
        <v>2031.7819176991134</v>
      </c>
      <c r="F12" s="23">
        <f>F10*F8</f>
        <v>32055.90633451601</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3400</v>
      </c>
      <c r="C18" s="168" t="s">
        <v>111</v>
      </c>
      <c r="D18" s="230"/>
      <c r="E18" s="15"/>
    </row>
    <row r="19" spans="1:7">
      <c r="A19" s="173" t="s">
        <v>72</v>
      </c>
      <c r="B19" s="37">
        <f>aantalw2001_ander</f>
        <v>6</v>
      </c>
      <c r="C19" s="168" t="s">
        <v>111</v>
      </c>
      <c r="D19" s="231"/>
      <c r="E19" s="15"/>
    </row>
    <row r="20" spans="1:7">
      <c r="A20" s="173" t="s">
        <v>73</v>
      </c>
      <c r="B20" s="37">
        <f>aantalw2001_propaan</f>
        <v>67</v>
      </c>
      <c r="C20" s="169">
        <f>IF(ISERROR(B20/SUM($B$20,$B$21,$B$22)*100),0,B20/SUM($B$20,$B$21,$B$22)*100)</f>
        <v>19.940476190476193</v>
      </c>
      <c r="D20" s="231"/>
      <c r="E20" s="15"/>
    </row>
    <row r="21" spans="1:7">
      <c r="A21" s="173" t="s">
        <v>74</v>
      </c>
      <c r="B21" s="37">
        <f>aantalw2001_elektriciteit</f>
        <v>207</v>
      </c>
      <c r="C21" s="169">
        <f>IF(ISERROR(B21/SUM($B$20,$B$21,$B$22)*100),0,B21/SUM($B$20,$B$21,$B$22)*100)</f>
        <v>61.607142857142861</v>
      </c>
      <c r="D21" s="231"/>
      <c r="E21" s="15"/>
    </row>
    <row r="22" spans="1:7">
      <c r="A22" s="173" t="s">
        <v>75</v>
      </c>
      <c r="B22" s="37">
        <f>aantalw2001_hout</f>
        <v>62</v>
      </c>
      <c r="C22" s="169">
        <f>IF(ISERROR(B22/SUM($B$20,$B$21,$B$22)*100),0,B22/SUM($B$20,$B$21,$B$22)*100)</f>
        <v>18.452380952380953</v>
      </c>
      <c r="D22" s="231"/>
      <c r="E22" s="15"/>
    </row>
    <row r="23" spans="1:7">
      <c r="A23" s="173" t="s">
        <v>76</v>
      </c>
      <c r="B23" s="37">
        <f>aantalw2001_niet_gespec</f>
        <v>166</v>
      </c>
      <c r="C23" s="168" t="s">
        <v>111</v>
      </c>
      <c r="D23" s="230"/>
      <c r="E23" s="15"/>
    </row>
    <row r="24" spans="1:7">
      <c r="A24" s="173" t="s">
        <v>77</v>
      </c>
      <c r="B24" s="37">
        <f>aantalw2001_steenkool</f>
        <v>284</v>
      </c>
      <c r="C24" s="168" t="s">
        <v>111</v>
      </c>
      <c r="D24" s="231"/>
      <c r="E24" s="15"/>
    </row>
    <row r="25" spans="1:7">
      <c r="A25" s="173" t="s">
        <v>78</v>
      </c>
      <c r="B25" s="37">
        <f>aantalw2001_stookolie</f>
        <v>8734</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14754</v>
      </c>
      <c r="C28" s="36"/>
      <c r="D28" s="230"/>
    </row>
    <row r="29" spans="1:7" s="15" customFormat="1">
      <c r="A29" s="232" t="s">
        <v>746</v>
      </c>
      <c r="B29" s="37">
        <f>SUM(HH_hh_gas_aantal,HH_rest_gas_aantal)</f>
        <v>7829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7829</v>
      </c>
      <c r="C32" s="169">
        <f>IF(ISERROR(B32/SUM($B$32,$B$34,$B$35,$B$36,$B$38,$B$39)*100),0,B32/SUM($B$32,$B$34,$B$35,$B$36,$B$38,$B$39)*100)</f>
        <v>53.146425904555016</v>
      </c>
      <c r="D32" s="235"/>
      <c r="G32" s="15"/>
    </row>
    <row r="33" spans="1:7">
      <c r="A33" s="173" t="s">
        <v>72</v>
      </c>
      <c r="B33" s="34" t="s">
        <v>111</v>
      </c>
      <c r="C33" s="169"/>
      <c r="D33" s="235"/>
      <c r="G33" s="15"/>
    </row>
    <row r="34" spans="1:7">
      <c r="A34" s="173" t="s">
        <v>73</v>
      </c>
      <c r="B34" s="33">
        <f>IF((($B$28-$B$32-$B$39-$B$77-$B$38)*C20/100)&lt;0,0,($B$28-$B$32-$B$39-$B$77-$B$38)*C20/100)</f>
        <v>429.53779761904775</v>
      </c>
      <c r="C34" s="169">
        <f>IF(ISERROR(B34/SUM($B$32,$B$34,$B$35,$B$36,$B$38,$B$39)*100),0,B34/SUM($B$32,$B$34,$B$35,$B$36,$B$38,$B$39)*100)</f>
        <v>2.915876706395002</v>
      </c>
      <c r="D34" s="235"/>
      <c r="G34" s="15"/>
    </row>
    <row r="35" spans="1:7">
      <c r="A35" s="173" t="s">
        <v>74</v>
      </c>
      <c r="B35" s="33">
        <f>IF((($B$28-$B$32-$B$39-$B$77-$B$38)*C21/100)&lt;0,0,($B$28-$B$32-$B$39-$B$77-$B$38)*C21/100)</f>
        <v>1327.0794642857145</v>
      </c>
      <c r="C35" s="169">
        <f>IF(ISERROR(B35/SUM($B$32,$B$34,$B$35,$B$36,$B$38,$B$39)*100),0,B35/SUM($B$32,$B$34,$B$35,$B$36,$B$38,$B$39)*100)</f>
        <v>9.0087534063248551</v>
      </c>
      <c r="D35" s="235"/>
      <c r="G35" s="15"/>
    </row>
    <row r="36" spans="1:7">
      <c r="A36" s="173" t="s">
        <v>75</v>
      </c>
      <c r="B36" s="33">
        <f>IF((($B$28-$B$32-$B$39-$B$77-$B$38)*C22/100)&lt;0,0,($B$28-$B$32-$B$39-$B$77-$B$38)*C22/100)</f>
        <v>397.48273809523818</v>
      </c>
      <c r="C36" s="169">
        <f>IF(ISERROR(B36/SUM($B$32,$B$34,$B$35,$B$36,$B$38,$B$39)*100),0,B36/SUM($B$32,$B$34,$B$35,$B$36,$B$38,$B$39)*100)</f>
        <v>2.6982739671117928</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4747.8999999999996</v>
      </c>
      <c r="C39" s="169">
        <f>IF(ISERROR(B39/SUM($B$32,$B$34,$B$35,$B$36,$B$38,$B$39)*100),0,B39/SUM($B$32,$B$34,$B$35,$B$36,$B$38,$B$39)*100)</f>
        <v>32.230670015613327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7829</v>
      </c>
      <c r="C44" s="34" t="s">
        <v>111</v>
      </c>
      <c r="D44" s="176"/>
    </row>
    <row r="45" spans="1:7">
      <c r="A45" s="173" t="s">
        <v>72</v>
      </c>
      <c r="B45" s="33" t="str">
        <f t="shared" si="0"/>
        <v>-</v>
      </c>
      <c r="C45" s="34" t="s">
        <v>111</v>
      </c>
      <c r="D45" s="176"/>
    </row>
    <row r="46" spans="1:7">
      <c r="A46" s="173" t="s">
        <v>73</v>
      </c>
      <c r="B46" s="33">
        <f t="shared" si="0"/>
        <v>429.53779761904775</v>
      </c>
      <c r="C46" s="34" t="s">
        <v>111</v>
      </c>
      <c r="D46" s="176"/>
    </row>
    <row r="47" spans="1:7">
      <c r="A47" s="173" t="s">
        <v>74</v>
      </c>
      <c r="B47" s="33">
        <f t="shared" si="0"/>
        <v>1327.0794642857145</v>
      </c>
      <c r="C47" s="34" t="s">
        <v>111</v>
      </c>
      <c r="D47" s="176"/>
    </row>
    <row r="48" spans="1:7">
      <c r="A48" s="173" t="s">
        <v>75</v>
      </c>
      <c r="B48" s="33">
        <f t="shared" si="0"/>
        <v>397.48273809523818</v>
      </c>
      <c r="C48" s="33">
        <f>B48*10</f>
        <v>3974.8273809523816</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4747.8999999999996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380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57136.952000000005</v>
      </c>
      <c r="C5" s="17">
        <f>IF(ISERROR('Eigen informatie GS &amp; warmtenet'!B58),0,'Eigen informatie GS &amp; warmtenet'!B58)</f>
        <v>0</v>
      </c>
      <c r="D5" s="30">
        <f>SUM(D6:D12)</f>
        <v>34447.367372000001</v>
      </c>
      <c r="E5" s="17">
        <f>SUM(E6:E12)</f>
        <v>845.38856798700465</v>
      </c>
      <c r="F5" s="17">
        <f>SUM(F6:F12)</f>
        <v>12309.498796388099</v>
      </c>
      <c r="G5" s="18"/>
      <c r="H5" s="17"/>
      <c r="I5" s="17"/>
      <c r="J5" s="17">
        <f>SUM(J6:J12)</f>
        <v>0</v>
      </c>
      <c r="K5" s="17"/>
      <c r="L5" s="17"/>
      <c r="M5" s="17"/>
      <c r="N5" s="17">
        <f>SUM(N6:N12)</f>
        <v>8750.5936614331404</v>
      </c>
      <c r="O5" s="17">
        <f>B38*B39*B40</f>
        <v>0</v>
      </c>
      <c r="P5" s="17">
        <f>B46*B47*B48/1000-B46*B47*B48/1000/B49</f>
        <v>0</v>
      </c>
      <c r="R5" s="32"/>
    </row>
    <row r="6" spans="1:18">
      <c r="A6" s="32" t="s">
        <v>54</v>
      </c>
      <c r="B6" s="37">
        <f>B26</f>
        <v>12871.244000000001</v>
      </c>
      <c r="C6" s="33"/>
      <c r="D6" s="37">
        <f>IF(ISERROR(TER_kantoor_gas_kWh/1000),0,TER_kantoor_gas_kWh/1000)*0.902</f>
        <v>9886.0219259999994</v>
      </c>
      <c r="E6" s="33">
        <f>$C$26*'E Balans VL '!I12/100/3.6*1000000</f>
        <v>50.007507941126569</v>
      </c>
      <c r="F6" s="33">
        <f>$C$26*('E Balans VL '!L12+'E Balans VL '!N12)/100/3.6*1000000</f>
        <v>1957.5990934171355</v>
      </c>
      <c r="G6" s="34"/>
      <c r="H6" s="33"/>
      <c r="I6" s="33"/>
      <c r="J6" s="33">
        <f>$C$26*('E Balans VL '!D12+'E Balans VL '!E12)/100/3.6*1000000</f>
        <v>0</v>
      </c>
      <c r="K6" s="33"/>
      <c r="L6" s="33"/>
      <c r="M6" s="33"/>
      <c r="N6" s="33">
        <f>$C$26*'E Balans VL '!Y12/100/3.6*1000000</f>
        <v>7.0935973810580037</v>
      </c>
      <c r="O6" s="33"/>
      <c r="P6" s="33"/>
      <c r="R6" s="32"/>
    </row>
    <row r="7" spans="1:18">
      <c r="A7" s="32" t="s">
        <v>53</v>
      </c>
      <c r="B7" s="37">
        <f t="shared" ref="B7:B12" si="0">B27</f>
        <v>7377.8590000000004</v>
      </c>
      <c r="C7" s="33"/>
      <c r="D7" s="37">
        <f>IF(ISERROR(TER_horeca_gas_kWh/1000),0,TER_horeca_gas_kWh/1000)*0.902</f>
        <v>6412.2981559999998</v>
      </c>
      <c r="E7" s="33">
        <f>$C$27*'E Balans VL '!I9/100/3.6*1000000</f>
        <v>415.59676998268583</v>
      </c>
      <c r="F7" s="33">
        <f>$C$27*('E Balans VL '!L9+'E Balans VL '!N9)/100/3.6*1000000</f>
        <v>2127.3328321986019</v>
      </c>
      <c r="G7" s="34"/>
      <c r="H7" s="33"/>
      <c r="I7" s="33"/>
      <c r="J7" s="33">
        <f>$C$27*('E Balans VL '!D9+'E Balans VL '!E9)/100/3.6*1000000</f>
        <v>0</v>
      </c>
      <c r="K7" s="33"/>
      <c r="L7" s="33"/>
      <c r="M7" s="33"/>
      <c r="N7" s="33">
        <f>$C$27*'E Balans VL '!Y9/100/3.6*1000000</f>
        <v>2.0369885309374407</v>
      </c>
      <c r="O7" s="33"/>
      <c r="P7" s="33"/>
      <c r="R7" s="32"/>
    </row>
    <row r="8" spans="1:18">
      <c r="A8" s="6" t="s">
        <v>52</v>
      </c>
      <c r="B8" s="37">
        <f t="shared" si="0"/>
        <v>22226.859</v>
      </c>
      <c r="C8" s="33"/>
      <c r="D8" s="37">
        <f>IF(ISERROR(TER_handel_gas_kWh/1000),0,TER_handel_gas_kWh/1000)*0.902</f>
        <v>13129.746520000001</v>
      </c>
      <c r="E8" s="33">
        <f>$C$28*'E Balans VL '!I13/100/3.6*1000000</f>
        <v>320.36444642130226</v>
      </c>
      <c r="F8" s="33">
        <f>$C$28*('E Balans VL '!L13+'E Balans VL '!N13)/100/3.6*1000000</f>
        <v>3861.3230369171251</v>
      </c>
      <c r="G8" s="34"/>
      <c r="H8" s="33"/>
      <c r="I8" s="33"/>
      <c r="J8" s="33">
        <f>$C$28*('E Balans VL '!D13+'E Balans VL '!E13)/100/3.6*1000000</f>
        <v>0</v>
      </c>
      <c r="K8" s="33"/>
      <c r="L8" s="33"/>
      <c r="M8" s="33"/>
      <c r="N8" s="33">
        <f>$C$28*'E Balans VL '!Y13/100/3.6*1000000</f>
        <v>66.594143908915768</v>
      </c>
      <c r="O8" s="33"/>
      <c r="P8" s="33"/>
      <c r="R8" s="32"/>
    </row>
    <row r="9" spans="1:18">
      <c r="A9" s="32" t="s">
        <v>51</v>
      </c>
      <c r="B9" s="37">
        <f t="shared" si="0"/>
        <v>770.76199999999994</v>
      </c>
      <c r="C9" s="33"/>
      <c r="D9" s="37">
        <f>IF(ISERROR(TER_gezond_gas_kWh/1000),0,TER_gezond_gas_kWh/1000)*0.902</f>
        <v>1162.5562300000001</v>
      </c>
      <c r="E9" s="33">
        <f>$C$29*'E Balans VL '!I10/100/3.6*1000000</f>
        <v>0.82337359017392586</v>
      </c>
      <c r="F9" s="33">
        <f>$C$29*('E Balans VL '!L10+'E Balans VL '!N10)/100/3.6*1000000</f>
        <v>125.73470653618385</v>
      </c>
      <c r="G9" s="34"/>
      <c r="H9" s="33"/>
      <c r="I9" s="33"/>
      <c r="J9" s="33">
        <f>$C$29*('E Balans VL '!D10+'E Balans VL '!E10)/100/3.6*1000000</f>
        <v>0</v>
      </c>
      <c r="K9" s="33"/>
      <c r="L9" s="33"/>
      <c r="M9" s="33"/>
      <c r="N9" s="33">
        <f>$C$29*'E Balans VL '!Y10/100/3.6*1000000</f>
        <v>7.9345550019767064</v>
      </c>
      <c r="O9" s="33"/>
      <c r="P9" s="33"/>
      <c r="R9" s="32"/>
    </row>
    <row r="10" spans="1:18">
      <c r="A10" s="32" t="s">
        <v>50</v>
      </c>
      <c r="B10" s="37">
        <f t="shared" si="0"/>
        <v>12451.311</v>
      </c>
      <c r="C10" s="33"/>
      <c r="D10" s="37">
        <f>IF(ISERROR(TER_ander_gas_kWh/1000),0,TER_ander_gas_kWh/1000)*0.902</f>
        <v>2034.0352559999999</v>
      </c>
      <c r="E10" s="33">
        <f>$C$30*'E Balans VL '!I14/100/3.6*1000000</f>
        <v>57.261685303999499</v>
      </c>
      <c r="F10" s="33">
        <f>$C$30*('E Balans VL '!L14+'E Balans VL '!N14)/100/3.6*1000000</f>
        <v>3732.0506563486097</v>
      </c>
      <c r="G10" s="34"/>
      <c r="H10" s="33"/>
      <c r="I10" s="33"/>
      <c r="J10" s="33">
        <f>$C$30*('E Balans VL '!D14+'E Balans VL '!E14)/100/3.6*1000000</f>
        <v>0</v>
      </c>
      <c r="K10" s="33"/>
      <c r="L10" s="33"/>
      <c r="M10" s="33"/>
      <c r="N10" s="33">
        <f>$C$30*'E Balans VL '!Y14/100/3.6*1000000</f>
        <v>8666.934376610252</v>
      </c>
      <c r="O10" s="33"/>
      <c r="P10" s="33"/>
      <c r="R10" s="32"/>
    </row>
    <row r="11" spans="1:18">
      <c r="A11" s="32" t="s">
        <v>55</v>
      </c>
      <c r="B11" s="37">
        <f t="shared" si="0"/>
        <v>1438.9169999999999</v>
      </c>
      <c r="C11" s="33"/>
      <c r="D11" s="37">
        <f>IF(ISERROR(TER_onderwijs_gas_kWh/1000),0,TER_onderwijs_gas_kWh/1000)*0.902</f>
        <v>1822.709284</v>
      </c>
      <c r="E11" s="33">
        <f>$C$31*'E Balans VL '!I11/100/3.6*1000000</f>
        <v>1.334784747716635</v>
      </c>
      <c r="F11" s="33">
        <f>$C$31*('E Balans VL '!L11+'E Balans VL '!N11)/100/3.6*1000000</f>
        <v>505.45847097044384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57136.952000000005</v>
      </c>
      <c r="C16" s="21">
        <f t="shared" ca="1" si="1"/>
        <v>0</v>
      </c>
      <c r="D16" s="21">
        <f t="shared" ca="1" si="1"/>
        <v>34447.367372000001</v>
      </c>
      <c r="E16" s="21">
        <f t="shared" si="1"/>
        <v>845.38856798700465</v>
      </c>
      <c r="F16" s="21">
        <f t="shared" ca="1" si="1"/>
        <v>12309.498796388099</v>
      </c>
      <c r="G16" s="21">
        <f t="shared" si="1"/>
        <v>0</v>
      </c>
      <c r="H16" s="21">
        <f t="shared" si="1"/>
        <v>0</v>
      </c>
      <c r="I16" s="21">
        <f t="shared" si="1"/>
        <v>0</v>
      </c>
      <c r="J16" s="21">
        <f t="shared" si="1"/>
        <v>0</v>
      </c>
      <c r="K16" s="21">
        <f t="shared" si="1"/>
        <v>0</v>
      </c>
      <c r="L16" s="21">
        <f t="shared" ca="1" si="1"/>
        <v>0</v>
      </c>
      <c r="M16" s="21">
        <f t="shared" si="1"/>
        <v>0</v>
      </c>
      <c r="N16" s="21">
        <f t="shared" ca="1" si="1"/>
        <v>8750.5936614331404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0.20730313750752233</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11844.669417216704</v>
      </c>
      <c r="C20" s="23">
        <f t="shared" ref="C20:P20" ca="1" si="2">C16*C18</f>
        <v>0</v>
      </c>
      <c r="D20" s="23">
        <f t="shared" ca="1" si="2"/>
        <v>6958.3682091440005</v>
      </c>
      <c r="E20" s="23">
        <f t="shared" si="2"/>
        <v>191.90320493305006</v>
      </c>
      <c r="F20" s="23">
        <f t="shared" ca="1" si="2"/>
        <v>3286.6361786356229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12871.244000000001</v>
      </c>
      <c r="C26" s="39">
        <f>IF(ISERROR(B26*3.6/1000000/'E Balans VL '!Z12*100),0,B26*3.6/1000000/'E Balans VL '!Z12*100)</f>
        <v>0.27339159814546282</v>
      </c>
      <c r="D26" s="239" t="s">
        <v>692</v>
      </c>
      <c r="F26" s="6"/>
    </row>
    <row r="27" spans="1:18">
      <c r="A27" s="233" t="s">
        <v>53</v>
      </c>
      <c r="B27" s="33">
        <f>IF(ISERROR(TER_horeca_ele_kWh/1000),0,TER_horeca_ele_kWh/1000)</f>
        <v>7377.8590000000004</v>
      </c>
      <c r="C27" s="39">
        <f>IF(ISERROR(B27*3.6/1000000/'E Balans VL '!Z9*100),0,B27*3.6/1000000/'E Balans VL '!Z9*100)</f>
        <v>0.57367346898896532</v>
      </c>
      <c r="D27" s="239" t="s">
        <v>692</v>
      </c>
      <c r="F27" s="6"/>
    </row>
    <row r="28" spans="1:18">
      <c r="A28" s="173" t="s">
        <v>52</v>
      </c>
      <c r="B28" s="33">
        <f>IF(ISERROR(TER_handel_ele_kWh/1000),0,TER_handel_ele_kWh/1000)</f>
        <v>22226.859</v>
      </c>
      <c r="C28" s="39">
        <f>IF(ISERROR(B28*3.6/1000000/'E Balans VL '!Z13*100),0,B28*3.6/1000000/'E Balans VL '!Z13*100)</f>
        <v>0.6359365943862858</v>
      </c>
      <c r="D28" s="239" t="s">
        <v>692</v>
      </c>
      <c r="F28" s="6"/>
    </row>
    <row r="29" spans="1:18">
      <c r="A29" s="233" t="s">
        <v>51</v>
      </c>
      <c r="B29" s="33">
        <f>IF(ISERROR(TER_gezond_ele_kWh/1000),0,TER_gezond_ele_kWh/1000)</f>
        <v>770.76199999999994</v>
      </c>
      <c r="C29" s="39">
        <f>IF(ISERROR(B29*3.6/1000000/'E Balans VL '!Z10*100),0,B29*3.6/1000000/'E Balans VL '!Z10*100)</f>
        <v>8.4030968360857716E-2</v>
      </c>
      <c r="D29" s="239" t="s">
        <v>692</v>
      </c>
      <c r="F29" s="6"/>
    </row>
    <row r="30" spans="1:18">
      <c r="A30" s="233" t="s">
        <v>50</v>
      </c>
      <c r="B30" s="33">
        <f>IF(ISERROR(TER_ander_ele_kWh/1000),0,TER_ander_ele_kWh/1000)</f>
        <v>12451.311</v>
      </c>
      <c r="C30" s="39">
        <f>IF(ISERROR(B30*3.6/1000000/'E Balans VL '!Z14*100),0,B30*3.6/1000000/'E Balans VL '!Z14*100)</f>
        <v>0.91115869385055992</v>
      </c>
      <c r="D30" s="239" t="s">
        <v>692</v>
      </c>
      <c r="F30" s="6"/>
    </row>
    <row r="31" spans="1:18">
      <c r="A31" s="233" t="s">
        <v>55</v>
      </c>
      <c r="B31" s="33">
        <f>IF(ISERROR(TER_onderwijs_ele_kWh/1000),0,TER_onderwijs_ele_kWh/1000)</f>
        <v>1438.9169999999999</v>
      </c>
      <c r="C31" s="39">
        <f>IF(ISERROR(B31*3.6/1000000/'E Balans VL '!Z11*100),0,B31*3.6/1000000/'E Balans VL '!Z11*100)</f>
        <v>0.28900754796030009</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51566.271999999997</v>
      </c>
      <c r="C5" s="17">
        <f>IF(ISERROR('Eigen informatie GS &amp; warmtenet'!B59),0,'Eigen informatie GS &amp; warmtenet'!B59)</f>
        <v>0</v>
      </c>
      <c r="D5" s="30">
        <f>SUM(D6:D15)</f>
        <v>39535.405052000002</v>
      </c>
      <c r="E5" s="17">
        <f>SUM(E6:E15)</f>
        <v>3446.8075677662168</v>
      </c>
      <c r="F5" s="17">
        <f>SUM(F6:F15)</f>
        <v>55956.023133140203</v>
      </c>
      <c r="G5" s="18"/>
      <c r="H5" s="17"/>
      <c r="I5" s="17"/>
      <c r="J5" s="17">
        <f>SUM(J6:J15)</f>
        <v>69.630337725067761</v>
      </c>
      <c r="K5" s="17"/>
      <c r="L5" s="17"/>
      <c r="M5" s="17"/>
      <c r="N5" s="17">
        <f>SUM(N6:N15)</f>
        <v>11111.949876214298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2917.6149999999998</v>
      </c>
      <c r="C8" s="33"/>
      <c r="D8" s="37">
        <f>IF( ISERROR(IND_metaal_Gas_kWH/1000),0,IND_metaal_Gas_kWH/1000)*0.902</f>
        <v>2126.565122</v>
      </c>
      <c r="E8" s="33">
        <f>C30*'E Balans VL '!I18/100/3.6*1000000</f>
        <v>83.804854183210111</v>
      </c>
      <c r="F8" s="33">
        <f>C30*'E Balans VL '!L18/100/3.6*1000000+C30*'E Balans VL '!N18/100/3.6*1000000</f>
        <v>748.31213369936381</v>
      </c>
      <c r="G8" s="34"/>
      <c r="H8" s="33"/>
      <c r="I8" s="33"/>
      <c r="J8" s="40">
        <f>C30*'E Balans VL '!D18/100/3.6*1000000+C30*'E Balans VL '!E18/100/3.6*1000000</f>
        <v>0</v>
      </c>
      <c r="K8" s="33"/>
      <c r="L8" s="33"/>
      <c r="M8" s="33"/>
      <c r="N8" s="33">
        <f>C30*'E Balans VL '!Y18/100/3.6*1000000</f>
        <v>79.219202946004444</v>
      </c>
      <c r="O8" s="33"/>
      <c r="P8" s="33"/>
      <c r="R8" s="32"/>
    </row>
    <row r="9" spans="1:18">
      <c r="A9" s="6" t="s">
        <v>33</v>
      </c>
      <c r="B9" s="37">
        <f t="shared" si="0"/>
        <v>2089.6329999999998</v>
      </c>
      <c r="C9" s="33"/>
      <c r="D9" s="37">
        <f>IF( ISERROR(IND_andere_gas_kWh/1000),0,IND_andere_gas_kWh/1000)*0.902</f>
        <v>1939.7338620000003</v>
      </c>
      <c r="E9" s="33">
        <f>C31*'E Balans VL '!I19/100/3.6*1000000</f>
        <v>565.61227520891225</v>
      </c>
      <c r="F9" s="33">
        <f>C31*'E Balans VL '!L19/100/3.6*1000000+C31*'E Balans VL '!N19/100/3.6*1000000</f>
        <v>1391.9167073631679</v>
      </c>
      <c r="G9" s="34"/>
      <c r="H9" s="33"/>
      <c r="I9" s="33"/>
      <c r="J9" s="40">
        <f>C31*'E Balans VL '!D19/100/3.6*1000000+C31*'E Balans VL '!E19/100/3.6*1000000</f>
        <v>0</v>
      </c>
      <c r="K9" s="33"/>
      <c r="L9" s="33"/>
      <c r="M9" s="33"/>
      <c r="N9" s="33">
        <f>C31*'E Balans VL '!Y19/100/3.6*1000000</f>
        <v>682.23046272416002</v>
      </c>
      <c r="O9" s="33"/>
      <c r="P9" s="33"/>
      <c r="R9" s="32"/>
    </row>
    <row r="10" spans="1:18">
      <c r="A10" s="6" t="s">
        <v>41</v>
      </c>
      <c r="B10" s="37">
        <f t="shared" si="0"/>
        <v>32870.830999999998</v>
      </c>
      <c r="C10" s="33"/>
      <c r="D10" s="37">
        <f>IF( ISERROR(IND_voed_gas_kWh/1000),0,IND_voed_gas_kWh/1000)*0.902</f>
        <v>33305.849390000003</v>
      </c>
      <c r="E10" s="33">
        <f>C32*'E Balans VL '!I20/100/3.6*1000000</f>
        <v>2681.0204951291216</v>
      </c>
      <c r="F10" s="33">
        <f>C32*'E Balans VL '!L20/100/3.6*1000000+C32*'E Balans VL '!N20/100/3.6*1000000</f>
        <v>49013.391324101569</v>
      </c>
      <c r="G10" s="34"/>
      <c r="H10" s="33"/>
      <c r="I10" s="33"/>
      <c r="J10" s="40">
        <f>C32*'E Balans VL '!D20/100/3.6*1000000+C32*'E Balans VL '!E20/100/3.6*1000000</f>
        <v>0.4348411942937534</v>
      </c>
      <c r="K10" s="33"/>
      <c r="L10" s="33"/>
      <c r="M10" s="33"/>
      <c r="N10" s="33">
        <f>C32*'E Balans VL '!Y20/100/3.6*1000000</f>
        <v>9656.290261242093</v>
      </c>
      <c r="O10" s="33"/>
      <c r="P10" s="33"/>
      <c r="R10" s="32"/>
    </row>
    <row r="11" spans="1:18">
      <c r="A11" s="6" t="s">
        <v>40</v>
      </c>
      <c r="B11" s="37">
        <f t="shared" si="0"/>
        <v>391.36099999999999</v>
      </c>
      <c r="C11" s="33"/>
      <c r="D11" s="37">
        <f>IF( ISERROR(IND_textiel_gas_kWh/1000),0,IND_textiel_gas_kWh/1000)*0.902</f>
        <v>0</v>
      </c>
      <c r="E11" s="33">
        <f>C33*'E Balans VL '!I21/100/3.6*1000000</f>
        <v>7.7575757332466216E-2</v>
      </c>
      <c r="F11" s="33">
        <f>C33*'E Balans VL '!L21/100/3.6*1000000+C33*'E Balans VL '!N21/100/3.6*1000000</f>
        <v>14.414297808553842</v>
      </c>
      <c r="G11" s="34"/>
      <c r="H11" s="33"/>
      <c r="I11" s="33"/>
      <c r="J11" s="40">
        <f>C33*'E Balans VL '!D21/100/3.6*1000000+C33*'E Balans VL '!E21/100/3.6*1000000</f>
        <v>0</v>
      </c>
      <c r="K11" s="33"/>
      <c r="L11" s="33"/>
      <c r="M11" s="33"/>
      <c r="N11" s="33">
        <f>C33*'E Balans VL '!Y21/100/3.6*1000000</f>
        <v>1.8197298541064482</v>
      </c>
      <c r="O11" s="33"/>
      <c r="P11" s="33"/>
      <c r="R11" s="32"/>
    </row>
    <row r="12" spans="1:18">
      <c r="A12" s="6" t="s">
        <v>37</v>
      </c>
      <c r="B12" s="37">
        <f t="shared" si="0"/>
        <v>12457.257</v>
      </c>
      <c r="C12" s="33"/>
      <c r="D12" s="37">
        <f>IF( ISERROR(IND_min_gas_kWh/1000),0,IND_min_gas_kWh/1000)*0.902</f>
        <v>0</v>
      </c>
      <c r="E12" s="33">
        <f>C34*'E Balans VL '!I22/100/3.6*1000000</f>
        <v>97.039317709236258</v>
      </c>
      <c r="F12" s="33">
        <f>C34*'E Balans VL '!L22/100/3.6*1000000+C34*'E Balans VL '!N22/100/3.6*1000000</f>
        <v>4698.1118185765963</v>
      </c>
      <c r="G12" s="34"/>
      <c r="H12" s="33"/>
      <c r="I12" s="33"/>
      <c r="J12" s="40">
        <f>C34*'E Balans VL '!D22/100/3.6*1000000+C34*'E Balans VL '!E22/100/3.6*1000000</f>
        <v>68.51382432555269</v>
      </c>
      <c r="K12" s="33"/>
      <c r="L12" s="33"/>
      <c r="M12" s="33"/>
      <c r="N12" s="33">
        <f>C34*'E Balans VL '!Y22/100/3.6*1000000</f>
        <v>0</v>
      </c>
      <c r="O12" s="33"/>
      <c r="P12" s="33"/>
      <c r="R12" s="32"/>
    </row>
    <row r="13" spans="1:18">
      <c r="A13" s="6" t="s">
        <v>39</v>
      </c>
      <c r="B13" s="37">
        <f t="shared" si="0"/>
        <v>296.37200000000001</v>
      </c>
      <c r="C13" s="33"/>
      <c r="D13" s="37">
        <f>IF( ISERROR(IND_papier_gas_kWh/1000),0,IND_papier_gas_kWh/1000)*0.902</f>
        <v>0</v>
      </c>
      <c r="E13" s="33">
        <f>C35*'E Balans VL '!I23/100/3.6*1000000</f>
        <v>3.105036623891551</v>
      </c>
      <c r="F13" s="33">
        <f>C35*'E Balans VL '!L23/100/3.6*1000000+C35*'E Balans VL '!N23/100/3.6*1000000</f>
        <v>22.115331170761298</v>
      </c>
      <c r="G13" s="34"/>
      <c r="H13" s="33"/>
      <c r="I13" s="33"/>
      <c r="J13" s="40">
        <f>C35*'E Balans VL '!D23/100/3.6*1000000+C35*'E Balans VL '!E23/100/3.6*1000000</f>
        <v>0</v>
      </c>
      <c r="K13" s="33"/>
      <c r="L13" s="33"/>
      <c r="M13" s="33"/>
      <c r="N13" s="33">
        <f>C35*'E Balans VL '!Y23/100/3.6*1000000</f>
        <v>633.46421563054844</v>
      </c>
      <c r="O13" s="33"/>
      <c r="P13" s="33"/>
      <c r="R13" s="32"/>
    </row>
    <row r="14" spans="1:18">
      <c r="A14" s="6" t="s">
        <v>34</v>
      </c>
      <c r="B14" s="37">
        <f t="shared" si="0"/>
        <v>277.24299999999999</v>
      </c>
      <c r="C14" s="33"/>
      <c r="D14" s="37">
        <f>IF( ISERROR(IND_chemie_gas_kWh/1000),0,IND_chemie_gas_kWh/1000)*0.902</f>
        <v>924.64651400000002</v>
      </c>
      <c r="E14" s="33">
        <f>C36*'E Balans VL '!I24/100/3.6*1000000</f>
        <v>1.3105927660370276</v>
      </c>
      <c r="F14" s="33">
        <f>C36*'E Balans VL '!L24/100/3.6*1000000+C36*'E Balans VL '!N24/100/3.6*1000000</f>
        <v>5.2397438867550106</v>
      </c>
      <c r="G14" s="34"/>
      <c r="H14" s="33"/>
      <c r="I14" s="33"/>
      <c r="J14" s="40">
        <f>C36*'E Balans VL '!D24/100/3.6*1000000+C36*'E Balans VL '!E24/100/3.6*1000000</f>
        <v>0</v>
      </c>
      <c r="K14" s="33"/>
      <c r="L14" s="33"/>
      <c r="M14" s="33"/>
      <c r="N14" s="33">
        <f>C36*'E Balans VL '!Y24/100/3.6*1000000</f>
        <v>6.7305221182932495</v>
      </c>
      <c r="O14" s="33"/>
      <c r="P14" s="33"/>
      <c r="R14" s="32"/>
    </row>
    <row r="15" spans="1:18">
      <c r="A15" s="6" t="s">
        <v>270</v>
      </c>
      <c r="B15" s="37">
        <f t="shared" si="0"/>
        <v>265.95999999999998</v>
      </c>
      <c r="C15" s="33"/>
      <c r="D15" s="37">
        <f>IF( ISERROR(IND_rest_gas_kWh/1000),0,IND_rest_gas_kWh/1000)*0.902</f>
        <v>1238.6101639999999</v>
      </c>
      <c r="E15" s="33">
        <f>C37*'E Balans VL '!I15/100/3.6*1000000</f>
        <v>14.837420388475289</v>
      </c>
      <c r="F15" s="33">
        <f>C37*'E Balans VL '!L15/100/3.6*1000000+C37*'E Balans VL '!N15/100/3.6*1000000</f>
        <v>62.521776533434632</v>
      </c>
      <c r="G15" s="34"/>
      <c r="H15" s="33"/>
      <c r="I15" s="33"/>
      <c r="J15" s="40">
        <f>C37*'E Balans VL '!D15/100/3.6*1000000+C37*'E Balans VL '!E15/100/3.6*1000000</f>
        <v>0.68167220522131511</v>
      </c>
      <c r="K15" s="33"/>
      <c r="L15" s="33"/>
      <c r="M15" s="33"/>
      <c r="N15" s="33">
        <f>C37*'E Balans VL '!Y15/100/3.6*1000000</f>
        <v>52.195481699091232</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51566.271999999997</v>
      </c>
      <c r="C18" s="21">
        <f>C5+C16</f>
        <v>0</v>
      </c>
      <c r="D18" s="21">
        <f>MAX((D5+D16),0)</f>
        <v>39535.405052000002</v>
      </c>
      <c r="E18" s="21">
        <f>MAX((E5+E16),0)</f>
        <v>3446.8075677662168</v>
      </c>
      <c r="F18" s="21">
        <f>MAX((F5+F16),0)</f>
        <v>55956.023133140203</v>
      </c>
      <c r="G18" s="21"/>
      <c r="H18" s="21"/>
      <c r="I18" s="21"/>
      <c r="J18" s="21">
        <f>MAX((J5+J16),0)</f>
        <v>69.630337725067761</v>
      </c>
      <c r="K18" s="21"/>
      <c r="L18" s="21">
        <f>MAX((L5+L16),0)</f>
        <v>0</v>
      </c>
      <c r="M18" s="21"/>
      <c r="N18" s="21">
        <f>MAX((N5+N16),0)</f>
        <v>11111.949876214298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0.20730313750752233</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10689.849975166298</v>
      </c>
      <c r="C22" s="23">
        <f ca="1">C18*C20</f>
        <v>0</v>
      </c>
      <c r="D22" s="23">
        <f>D18*D20</f>
        <v>7986.1518205040011</v>
      </c>
      <c r="E22" s="23">
        <f>E18*E20</f>
        <v>782.42531788293127</v>
      </c>
      <c r="F22" s="23">
        <f>F18*F20</f>
        <v>14940.258176548436</v>
      </c>
      <c r="G22" s="23"/>
      <c r="H22" s="23"/>
      <c r="I22" s="23"/>
      <c r="J22" s="23">
        <f>J18*J20</f>
        <v>24.649139554673987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2917.6149999999998</v>
      </c>
      <c r="C30" s="39">
        <f>IF(ISERROR(B30*3.6/1000000/'E Balans VL '!Z18*100),0,B30*3.6/1000000/'E Balans VL '!Z18*100)</f>
        <v>0.28708586812229059</v>
      </c>
      <c r="D30" s="239" t="s">
        <v>692</v>
      </c>
    </row>
    <row r="31" spans="1:18">
      <c r="A31" s="6" t="s">
        <v>33</v>
      </c>
      <c r="B31" s="37">
        <f>IF( ISERROR(IND_ander_ele_kWh/1000),0,IND_ander_ele_kWh/1000)</f>
        <v>2089.6329999999998</v>
      </c>
      <c r="C31" s="39">
        <f>IF(ISERROR(B31*3.6/1000000/'E Balans VL '!Z19*100),0,B31*3.6/1000000/'E Balans VL '!Z19*100)</f>
        <v>9.1001850266175785E-2</v>
      </c>
      <c r="D31" s="239" t="s">
        <v>692</v>
      </c>
    </row>
    <row r="32" spans="1:18">
      <c r="A32" s="173" t="s">
        <v>41</v>
      </c>
      <c r="B32" s="37">
        <f>IF( ISERROR(IND_voed_ele_kWh/1000),0,IND_voed_ele_kWh/1000)</f>
        <v>32870.830999999998</v>
      </c>
      <c r="C32" s="39">
        <f>IF(ISERROR(B32*3.6/1000000/'E Balans VL '!Z20*100),0,B32*3.6/1000000/'E Balans VL '!Z20*100)</f>
        <v>6.2367661332966158</v>
      </c>
      <c r="D32" s="239" t="s">
        <v>692</v>
      </c>
    </row>
    <row r="33" spans="1:5">
      <c r="A33" s="173" t="s">
        <v>40</v>
      </c>
      <c r="B33" s="37">
        <f>IF( ISERROR(IND_textiel_ele_kWh/1000),0,IND_textiel_ele_kWh/1000)</f>
        <v>391.36099999999999</v>
      </c>
      <c r="C33" s="39">
        <f>IF(ISERROR(B33*3.6/1000000/'E Balans VL '!Z21*100),0,B33*3.6/1000000/'E Balans VL '!Z21*100)</f>
        <v>2.2344728408428997E-2</v>
      </c>
      <c r="D33" s="239" t="s">
        <v>692</v>
      </c>
    </row>
    <row r="34" spans="1:5">
      <c r="A34" s="173" t="s">
        <v>37</v>
      </c>
      <c r="B34" s="37">
        <f>IF( ISERROR(IND_min_ele_kWh/1000),0,IND_min_ele_kWh/1000)</f>
        <v>12457.257</v>
      </c>
      <c r="C34" s="39">
        <f>IF(ISERROR(B34*3.6/1000000/'E Balans VL '!Z22*100),0,B34*3.6/1000000/'E Balans VL '!Z22*100)</f>
        <v>1.7516154260757266</v>
      </c>
      <c r="D34" s="239" t="s">
        <v>692</v>
      </c>
    </row>
    <row r="35" spans="1:5">
      <c r="A35" s="173" t="s">
        <v>39</v>
      </c>
      <c r="B35" s="37">
        <f>IF( ISERROR(IND_papier_ele_kWh/1000),0,IND_papier_ele_kWh/1000)</f>
        <v>296.37200000000001</v>
      </c>
      <c r="C35" s="39">
        <f>IF(ISERROR(B35*3.6/1000000/'E Balans VL '!Z22*100),0,B35*3.6/1000000/'E Balans VL '!Z22*100)</f>
        <v>4.1672879274860845E-2</v>
      </c>
      <c r="D35" s="239" t="s">
        <v>692</v>
      </c>
    </row>
    <row r="36" spans="1:5">
      <c r="A36" s="173" t="s">
        <v>34</v>
      </c>
      <c r="B36" s="37">
        <f>IF( ISERROR(IND_chemie_ele_kWh/1000),0,IND_chemie_ele_kWh/1000)</f>
        <v>277.24299999999999</v>
      </c>
      <c r="C36" s="39">
        <f>IF(ISERROR(B36*3.6/1000000/'E Balans VL '!Z24*100),0,B36*3.6/1000000/'E Balans VL '!Z24*100)</f>
        <v>8.0796802571050739E-3</v>
      </c>
      <c r="D36" s="239" t="s">
        <v>692</v>
      </c>
    </row>
    <row r="37" spans="1:5">
      <c r="A37" s="173" t="s">
        <v>270</v>
      </c>
      <c r="B37" s="37">
        <f>IF( ISERROR(IND_rest_ele_kWh/1000),0,IND_rest_ele_kWh/1000)</f>
        <v>265.95999999999998</v>
      </c>
      <c r="C37" s="39">
        <f>IF(ISERROR(B37*3.6/1000000/'E Balans VL '!Z15*100),0,B37*3.6/1000000/'E Balans VL '!Z15*100)</f>
        <v>2.0495484662152318E-3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19026.213</v>
      </c>
      <c r="C5" s="17">
        <f>'Eigen informatie GS &amp; warmtenet'!B60</f>
        <v>0</v>
      </c>
      <c r="D5" s="30">
        <f>IF(ISERROR(SUM(LB_lb_gas_kWh,LB_rest_gas_kWh)/1000),0,SUM(LB_lb_gas_kWh,LB_rest_gas_kWh)/1000)*0.902</f>
        <v>218.30655000000002</v>
      </c>
      <c r="E5" s="17">
        <f>B17*'E Balans VL '!I25/3.6*1000000/100</f>
        <v>239.75479454588299</v>
      </c>
      <c r="F5" s="17">
        <f>B17*('E Balans VL '!L25/3.6*1000000+'E Balans VL '!N25/3.6*1000000)/100</f>
        <v>65645.201201157659</v>
      </c>
      <c r="G5" s="18"/>
      <c r="H5" s="17"/>
      <c r="I5" s="17"/>
      <c r="J5" s="17">
        <f>('E Balans VL '!D25+'E Balans VL '!E25)/3.6*1000000*landbouw!B17/100</f>
        <v>2861.3261528439307</v>
      </c>
      <c r="K5" s="17"/>
      <c r="L5" s="17">
        <f>L6*(-1)</f>
        <v>0</v>
      </c>
      <c r="M5" s="17"/>
      <c r="N5" s="17">
        <f>N6*(-1)</f>
        <v>0</v>
      </c>
      <c r="O5" s="17"/>
      <c r="P5" s="17"/>
      <c r="R5" s="32"/>
    </row>
    <row r="6" spans="1:18">
      <c r="A6" s="16" t="s">
        <v>497</v>
      </c>
      <c r="B6" s="17" t="s">
        <v>211</v>
      </c>
      <c r="C6" s="17">
        <f>'lokale energieproductie'!O92+'lokale energieproductie'!O61</f>
        <v>22.5</v>
      </c>
      <c r="D6" s="312">
        <f>('lokale energieproductie'!P61+'lokale energieproductie'!P92)*(-1)</f>
        <v>-30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19026.213</v>
      </c>
      <c r="C8" s="21">
        <f>C5+C6</f>
        <v>22.5</v>
      </c>
      <c r="D8" s="21">
        <f>MAX((D5+D6),0)</f>
        <v>188.30655000000002</v>
      </c>
      <c r="E8" s="21">
        <f>MAX((E5+E6),0)</f>
        <v>239.75479454588299</v>
      </c>
      <c r="F8" s="21">
        <f>MAX((F5+F6),0)</f>
        <v>65645.201201157659</v>
      </c>
      <c r="G8" s="21"/>
      <c r="H8" s="21"/>
      <c r="I8" s="21"/>
      <c r="J8" s="21">
        <f>MAX((J5+J6),0)</f>
        <v>2861.3261528439307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0.20730313750752233</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3944.193649786409</v>
      </c>
      <c r="C12" s="23">
        <f ca="1">C8*C10</f>
        <v>5.0500000000000007</v>
      </c>
      <c r="D12" s="23">
        <f>D8*D10</f>
        <v>38.037923100000008</v>
      </c>
      <c r="E12" s="23">
        <f>E8*E10</f>
        <v>54.424338361915439</v>
      </c>
      <c r="F12" s="23">
        <f>F8*F10</f>
        <v>17527.268720709097</v>
      </c>
      <c r="G12" s="23"/>
      <c r="H12" s="23"/>
      <c r="I12" s="23"/>
      <c r="J12" s="23">
        <f>J8*J10</f>
        <v>1012.9094581067515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2.6535570420749477</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121.3918944224378</v>
      </c>
      <c r="C26" s="249">
        <f>B26*'GWP N2O_CH4'!B5</f>
        <v>2549.2297828711939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40.07024806070266</v>
      </c>
      <c r="C27" s="249">
        <f>B27*'GWP N2O_CH4'!B5</f>
        <v>841.47520927475591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1.5553047641046593</v>
      </c>
      <c r="C28" s="249">
        <f>B28*'GWP N2O_CH4'!B4</f>
        <v>482.14447687244439</v>
      </c>
      <c r="D28" s="50"/>
    </row>
    <row r="29" spans="1:4">
      <c r="A29" s="41" t="s">
        <v>277</v>
      </c>
      <c r="B29" s="249">
        <f>B34*'ha_N2O bodem landbouw'!B4</f>
        <v>12.222992767452258</v>
      </c>
      <c r="C29" s="249">
        <f>B29*'GWP N2O_CH4'!B4</f>
        <v>3789.1277579101998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3.051959158480267E-3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5.7731648050896285E-5</v>
      </c>
      <c r="C5" s="448" t="s">
        <v>211</v>
      </c>
      <c r="D5" s="433">
        <f>SUM(D6:D11)</f>
        <v>9.5309994241388768E-5</v>
      </c>
      <c r="E5" s="433">
        <f>SUM(E6:E11)</f>
        <v>3.292077543577061E-3</v>
      </c>
      <c r="F5" s="446" t="s">
        <v>211</v>
      </c>
      <c r="G5" s="433">
        <f>SUM(G6:G11)</f>
        <v>0.88955064292837005</v>
      </c>
      <c r="H5" s="433">
        <f>SUM(H6:H11)</f>
        <v>0.14586779756459398</v>
      </c>
      <c r="I5" s="448" t="s">
        <v>211</v>
      </c>
      <c r="J5" s="448" t="s">
        <v>211</v>
      </c>
      <c r="K5" s="448" t="s">
        <v>211</v>
      </c>
      <c r="L5" s="448" t="s">
        <v>211</v>
      </c>
      <c r="M5" s="433">
        <f>SUM(M6:M11)</f>
        <v>4.6799863917616084E-2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1.5771492714864678E-5</v>
      </c>
      <c r="C6" s="887"/>
      <c r="D6" s="887">
        <f>vkm_2011_GW_PW*SUMIFS(TableVerdeelsleutelVkm[CNG],TableVerdeelsleutelVkm[Voertuigtype],"Lichte voertuigen")*SUMIFS(TableECFTransport[EnergieConsumptieFactor (PJ per km)],TableECFTransport[Index],CONCATENATE($A6,"_CNG_CNG"))</f>
        <v>2.2335518282484291E-5</v>
      </c>
      <c r="E6" s="887">
        <f>vkm_2011_GW_PW*SUMIFS(TableVerdeelsleutelVkm[LPG],TableVerdeelsleutelVkm[Voertuigtype],"Lichte voertuigen")*SUMIFS(TableECFTransport[EnergieConsumptieFactor (PJ per km)],TableECFTransport[Index],CONCATENATE($A6,"_LPG_LPG"))</f>
        <v>7.0148509878542608E-4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0.12607608034423967</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3.378310021234434E-2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7.2325401223664338E-3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3.2900862838716835E-2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1.1689335491165193E-5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1.4847118158622765E-3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1.0464451310247029E-5</v>
      </c>
      <c r="C8" s="887"/>
      <c r="D8" s="436">
        <f>vkm_2011_NGW_PW*SUMIFS(TableVerdeelsleutelVkm[CNG],TableVerdeelsleutelVkm[Voertuigtype],"Lichte voertuigen")*SUMIFS(TableECFTransport[EnergieConsumptieFactor (PJ per km)],TableECFTransport[Index],CONCATENATE($A8,"_CNG_CNG"))</f>
        <v>2.6401565521625616E-5</v>
      </c>
      <c r="E8" s="436">
        <f>vkm_2011_NGW_PW*SUMIFS(TableVerdeelsleutelVkm[LPG],TableVerdeelsleutelVkm[Voertuigtype],"Lichte voertuigen")*SUMIFS(TableECFTransport[EnergieConsumptieFactor (PJ per km)],TableECFTransport[Index],CONCATENATE($A8,"_LPG_LPG"))</f>
        <v>7.6373792689841263E-4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0.12946098457335897</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3.8531524182600724E-2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7.6024189626605985E-3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1.302135676056615E-3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4.3778761911643939E-7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5.8760125599551748E-5</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3.1495704025784579E-5</v>
      </c>
      <c r="C10" s="887"/>
      <c r="D10" s="436">
        <f>vkm_2011_SW_PW*SUMIFS(TableVerdeelsleutelVkm[CNG],TableVerdeelsleutelVkm[Voertuigtype],"Lichte voertuigen")*SUMIFS(TableECFTransport[EnergieConsumptieFactor (PJ per km)],TableECFTransport[Index],CONCATENATE($A10,"_CNG_CNG"))</f>
        <v>4.6572910437278858E-5</v>
      </c>
      <c r="E10" s="436">
        <f>vkm_2011_SW_PW*SUMIFS(TableVerdeelsleutelVkm[LPG],TableVerdeelsleutelVkm[Voertuigtype],"Lichte voertuigen")*SUMIFS(TableECFTransport[EnergieConsumptieFactor (PJ per km)],TableECFTransport[Index],CONCATENATE($A10,"_LPG_LPG"))</f>
        <v>1.8268545178932222E-3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0.29735820928165363</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7.3425163253465806E-2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1.677232929392931E-2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0.30245237021434435</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1.1588279307281292E-4</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1.364910359719791E-2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16.036568903026748</v>
      </c>
      <c r="C14" s="21"/>
      <c r="D14" s="21">
        <f t="shared" ref="D14:M14" si="0">((D5)*10^9/3600)+D12</f>
        <v>26.474998400385768</v>
      </c>
      <c r="E14" s="21">
        <f t="shared" si="0"/>
        <v>914.46598432696135</v>
      </c>
      <c r="F14" s="21"/>
      <c r="G14" s="21">
        <f t="shared" si="0"/>
        <v>247097.40081343611</v>
      </c>
      <c r="H14" s="21">
        <f t="shared" si="0"/>
        <v>40518.832656831655</v>
      </c>
      <c r="I14" s="21"/>
      <c r="J14" s="21"/>
      <c r="K14" s="21"/>
      <c r="L14" s="21"/>
      <c r="M14" s="21">
        <f t="shared" si="0"/>
        <v>12999.9621993378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0.20730313750752233</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3.3244310484530102</v>
      </c>
      <c r="C18" s="23"/>
      <c r="D18" s="23">
        <f t="shared" ref="D18:M18" si="1">D14*D16</f>
        <v>5.3479496768779251</v>
      </c>
      <c r="E18" s="23">
        <f t="shared" si="1"/>
        <v>207.58377844222022</v>
      </c>
      <c r="F18" s="23"/>
      <c r="G18" s="23">
        <f t="shared" si="1"/>
        <v>65975.00601718745</v>
      </c>
      <c r="H18" s="23">
        <f t="shared" si="1"/>
        <v>10089.189331551082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1.8695539766716531E-2</v>
      </c>
      <c r="H50" s="323">
        <f t="shared" si="2"/>
        <v>0</v>
      </c>
      <c r="I50" s="323">
        <f t="shared" si="2"/>
        <v>0</v>
      </c>
      <c r="J50" s="323">
        <f t="shared" si="2"/>
        <v>0</v>
      </c>
      <c r="K50" s="323">
        <f t="shared" si="2"/>
        <v>0</v>
      </c>
      <c r="L50" s="323">
        <f t="shared" si="2"/>
        <v>0</v>
      </c>
      <c r="M50" s="323">
        <f t="shared" si="2"/>
        <v>8.314363811528022E-4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1.8695539766716531E-2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8.314363811528022E-4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5193.2054907545926</v>
      </c>
      <c r="H54" s="21">
        <f t="shared" si="3"/>
        <v>0</v>
      </c>
      <c r="I54" s="21">
        <f t="shared" si="3"/>
        <v>0</v>
      </c>
      <c r="J54" s="21">
        <f t="shared" si="3"/>
        <v>0</v>
      </c>
      <c r="K54" s="21">
        <f t="shared" si="3"/>
        <v>0</v>
      </c>
      <c r="L54" s="21">
        <f t="shared" si="3"/>
        <v>0</v>
      </c>
      <c r="M54" s="21">
        <f t="shared" si="3"/>
        <v>230.95455032022281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0.20730313750752233</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1386.5858660314764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59331.475000000006</v>
      </c>
      <c r="D10" s="690">
        <f ca="1">tertiair!C16</f>
        <v>0</v>
      </c>
      <c r="E10" s="690">
        <f ca="1">tertiair!D16</f>
        <v>34447.367372000001</v>
      </c>
      <c r="F10" s="690">
        <f>tertiair!E16</f>
        <v>845.38856798700465</v>
      </c>
      <c r="G10" s="690">
        <f ca="1">tertiair!F16</f>
        <v>12309.498796388099</v>
      </c>
      <c r="H10" s="690">
        <f>tertiair!G16</f>
        <v>0</v>
      </c>
      <c r="I10" s="690">
        <f>tertiair!H16</f>
        <v>0</v>
      </c>
      <c r="J10" s="690">
        <f>tertiair!I16</f>
        <v>0</v>
      </c>
      <c r="K10" s="690">
        <f>tertiair!J16</f>
        <v>0</v>
      </c>
      <c r="L10" s="690">
        <f>tertiair!K16</f>
        <v>0</v>
      </c>
      <c r="M10" s="690">
        <f ca="1">tertiair!L16</f>
        <v>0</v>
      </c>
      <c r="N10" s="690">
        <f>tertiair!M16</f>
        <v>0</v>
      </c>
      <c r="O10" s="690">
        <f ca="1">tertiair!N16</f>
        <v>8750.5936614331404</v>
      </c>
      <c r="P10" s="690">
        <f>tertiair!O16</f>
        <v>0</v>
      </c>
      <c r="Q10" s="691">
        <f>tertiair!P16</f>
        <v>0</v>
      </c>
      <c r="R10" s="693">
        <f ca="1">SUM(C10:Q10)</f>
        <v>115684.32339780826</v>
      </c>
      <c r="S10" s="67"/>
    </row>
    <row r="11" spans="1:19" s="458" customFormat="1">
      <c r="A11" s="805" t="s">
        <v>225</v>
      </c>
      <c r="B11" s="810"/>
      <c r="C11" s="690">
        <f>huishoudens!B8</f>
        <v>61251.898999999998</v>
      </c>
      <c r="D11" s="690">
        <f>huishoudens!C8</f>
        <v>0</v>
      </c>
      <c r="E11" s="690">
        <f>huishoudens!D8</f>
        <v>134585.870364</v>
      </c>
      <c r="F11" s="690">
        <f>huishoudens!E8</f>
        <v>8950.5811352383844</v>
      </c>
      <c r="G11" s="690">
        <f>huishoudens!F8</f>
        <v>120059.57428657681</v>
      </c>
      <c r="H11" s="690">
        <f>huishoudens!G8</f>
        <v>0</v>
      </c>
      <c r="I11" s="690">
        <f>huishoudens!H8</f>
        <v>0</v>
      </c>
      <c r="J11" s="690">
        <f>huishoudens!I8</f>
        <v>0</v>
      </c>
      <c r="K11" s="690">
        <f>huishoudens!J8</f>
        <v>0</v>
      </c>
      <c r="L11" s="690">
        <f>huishoudens!K8</f>
        <v>0</v>
      </c>
      <c r="M11" s="690">
        <f>huishoudens!L8</f>
        <v>0</v>
      </c>
      <c r="N11" s="690">
        <f>huishoudens!M8</f>
        <v>0</v>
      </c>
      <c r="O11" s="690">
        <f>huishoudens!N8</f>
        <v>31050.968277803626</v>
      </c>
      <c r="P11" s="690">
        <f>huishoudens!O8</f>
        <v>594.06666666666672</v>
      </c>
      <c r="Q11" s="691">
        <f>huishoudens!P8</f>
        <v>438.5333333333333</v>
      </c>
      <c r="R11" s="693">
        <f>SUM(C11:Q11)</f>
        <v>356931.49306361878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51566.271999999997</v>
      </c>
      <c r="D13" s="690">
        <f>industrie!C18</f>
        <v>0</v>
      </c>
      <c r="E13" s="690">
        <f>industrie!D18</f>
        <v>39535.405052000002</v>
      </c>
      <c r="F13" s="690">
        <f>industrie!E18</f>
        <v>3446.8075677662168</v>
      </c>
      <c r="G13" s="690">
        <f>industrie!F18</f>
        <v>55956.023133140203</v>
      </c>
      <c r="H13" s="690">
        <f>industrie!G18</f>
        <v>0</v>
      </c>
      <c r="I13" s="690">
        <f>industrie!H18</f>
        <v>0</v>
      </c>
      <c r="J13" s="690">
        <f>industrie!I18</f>
        <v>0</v>
      </c>
      <c r="K13" s="690">
        <f>industrie!J18</f>
        <v>69.630337725067761</v>
      </c>
      <c r="L13" s="690">
        <f>industrie!K18</f>
        <v>0</v>
      </c>
      <c r="M13" s="690">
        <f>industrie!L18</f>
        <v>0</v>
      </c>
      <c r="N13" s="690">
        <f>industrie!M18</f>
        <v>0</v>
      </c>
      <c r="O13" s="690">
        <f>industrie!N18</f>
        <v>11111.949876214298</v>
      </c>
      <c r="P13" s="690">
        <f>industrie!O18</f>
        <v>0</v>
      </c>
      <c r="Q13" s="691">
        <f>industrie!P18</f>
        <v>0</v>
      </c>
      <c r="R13" s="693">
        <f>SUM(C13:Q13)</f>
        <v>161686.08796684578</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172149.64600000001</v>
      </c>
      <c r="D16" s="725">
        <f t="shared" ref="D16:R16" ca="1" si="0">SUM(D9:D15)</f>
        <v>0</v>
      </c>
      <c r="E16" s="725">
        <f t="shared" ca="1" si="0"/>
        <v>208568.642788</v>
      </c>
      <c r="F16" s="725">
        <f t="shared" si="0"/>
        <v>13242.777270991606</v>
      </c>
      <c r="G16" s="725">
        <f t="shared" ca="1" si="0"/>
        <v>188325.09621610513</v>
      </c>
      <c r="H16" s="725">
        <f t="shared" si="0"/>
        <v>0</v>
      </c>
      <c r="I16" s="725">
        <f t="shared" si="0"/>
        <v>0</v>
      </c>
      <c r="J16" s="725">
        <f t="shared" si="0"/>
        <v>0</v>
      </c>
      <c r="K16" s="725">
        <f t="shared" si="0"/>
        <v>69.630337725067761</v>
      </c>
      <c r="L16" s="725">
        <f t="shared" si="0"/>
        <v>0</v>
      </c>
      <c r="M16" s="725">
        <f t="shared" ca="1" si="0"/>
        <v>0</v>
      </c>
      <c r="N16" s="725">
        <f t="shared" si="0"/>
        <v>0</v>
      </c>
      <c r="O16" s="725">
        <f t="shared" ca="1" si="0"/>
        <v>50913.511815451064</v>
      </c>
      <c r="P16" s="725">
        <f t="shared" si="0"/>
        <v>594.06666666666672</v>
      </c>
      <c r="Q16" s="725">
        <f t="shared" si="0"/>
        <v>438.5333333333333</v>
      </c>
      <c r="R16" s="725">
        <f t="shared" ca="1" si="0"/>
        <v>634301.90442827274</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5193.2054907545926</v>
      </c>
      <c r="I19" s="690">
        <f>transport!H54</f>
        <v>0</v>
      </c>
      <c r="J19" s="690">
        <f>transport!I54</f>
        <v>0</v>
      </c>
      <c r="K19" s="690">
        <f>transport!J54</f>
        <v>0</v>
      </c>
      <c r="L19" s="690">
        <f>transport!K54</f>
        <v>0</v>
      </c>
      <c r="M19" s="690">
        <f>transport!L54</f>
        <v>0</v>
      </c>
      <c r="N19" s="690">
        <f>transport!M54</f>
        <v>230.95455032022281</v>
      </c>
      <c r="O19" s="690">
        <f>transport!N54</f>
        <v>0</v>
      </c>
      <c r="P19" s="690">
        <f>transport!O54</f>
        <v>0</v>
      </c>
      <c r="Q19" s="691">
        <f>transport!P54</f>
        <v>0</v>
      </c>
      <c r="R19" s="693">
        <f>SUM(C19:Q19)</f>
        <v>5424.1600410748151</v>
      </c>
      <c r="S19" s="67"/>
    </row>
    <row r="20" spans="1:19" s="458" customFormat="1">
      <c r="A20" s="805" t="s">
        <v>307</v>
      </c>
      <c r="B20" s="810"/>
      <c r="C20" s="690">
        <f>transport!B14</f>
        <v>16.036568903026748</v>
      </c>
      <c r="D20" s="690">
        <f>transport!C14</f>
        <v>0</v>
      </c>
      <c r="E20" s="690">
        <f>transport!D14</f>
        <v>26.474998400385768</v>
      </c>
      <c r="F20" s="690">
        <f>transport!E14</f>
        <v>914.46598432696135</v>
      </c>
      <c r="G20" s="690">
        <f>transport!F14</f>
        <v>0</v>
      </c>
      <c r="H20" s="690">
        <f>transport!G14</f>
        <v>247097.40081343611</v>
      </c>
      <c r="I20" s="690">
        <f>transport!H14</f>
        <v>40518.832656831655</v>
      </c>
      <c r="J20" s="690">
        <f>transport!I14</f>
        <v>0</v>
      </c>
      <c r="K20" s="690">
        <f>transport!J14</f>
        <v>0</v>
      </c>
      <c r="L20" s="690">
        <f>transport!K14</f>
        <v>0</v>
      </c>
      <c r="M20" s="690">
        <f>transport!L14</f>
        <v>0</v>
      </c>
      <c r="N20" s="690">
        <f>transport!M14</f>
        <v>12999.9621993378</v>
      </c>
      <c r="O20" s="690">
        <f>transport!N14</f>
        <v>0</v>
      </c>
      <c r="P20" s="690">
        <f>transport!O14</f>
        <v>0</v>
      </c>
      <c r="Q20" s="691">
        <f>transport!P14</f>
        <v>0</v>
      </c>
      <c r="R20" s="693">
        <f>SUM(C20:Q20)</f>
        <v>301573.17322123592</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16.036568903026748</v>
      </c>
      <c r="D22" s="808">
        <f t="shared" ref="D22:R22" si="1">SUM(D18:D21)</f>
        <v>0</v>
      </c>
      <c r="E22" s="808">
        <f t="shared" si="1"/>
        <v>26.474998400385768</v>
      </c>
      <c r="F22" s="808">
        <f t="shared" si="1"/>
        <v>914.46598432696135</v>
      </c>
      <c r="G22" s="808">
        <f t="shared" si="1"/>
        <v>0</v>
      </c>
      <c r="H22" s="808">
        <f t="shared" si="1"/>
        <v>252290.6063041907</v>
      </c>
      <c r="I22" s="808">
        <f t="shared" si="1"/>
        <v>40518.832656831655</v>
      </c>
      <c r="J22" s="808">
        <f t="shared" si="1"/>
        <v>0</v>
      </c>
      <c r="K22" s="808">
        <f t="shared" si="1"/>
        <v>0</v>
      </c>
      <c r="L22" s="808">
        <f t="shared" si="1"/>
        <v>0</v>
      </c>
      <c r="M22" s="808">
        <f t="shared" si="1"/>
        <v>0</v>
      </c>
      <c r="N22" s="808">
        <f t="shared" si="1"/>
        <v>13230.916749658023</v>
      </c>
      <c r="O22" s="808">
        <f t="shared" si="1"/>
        <v>0</v>
      </c>
      <c r="P22" s="808">
        <f t="shared" si="1"/>
        <v>0</v>
      </c>
      <c r="Q22" s="808">
        <f t="shared" si="1"/>
        <v>0</v>
      </c>
      <c r="R22" s="808">
        <f t="shared" si="1"/>
        <v>306997.33326231071</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19026.213</v>
      </c>
      <c r="D24" s="690">
        <f>+landbouw!C8</f>
        <v>22.5</v>
      </c>
      <c r="E24" s="690">
        <f>+landbouw!D8</f>
        <v>188.30655000000002</v>
      </c>
      <c r="F24" s="690">
        <f>+landbouw!E8</f>
        <v>239.75479454588299</v>
      </c>
      <c r="G24" s="690">
        <f>+landbouw!F8</f>
        <v>65645.201201157659</v>
      </c>
      <c r="H24" s="690">
        <f>+landbouw!G8</f>
        <v>0</v>
      </c>
      <c r="I24" s="690">
        <f>+landbouw!H8</f>
        <v>0</v>
      </c>
      <c r="J24" s="690">
        <f>+landbouw!I8</f>
        <v>0</v>
      </c>
      <c r="K24" s="690">
        <f>+landbouw!J8</f>
        <v>2861.3261528439307</v>
      </c>
      <c r="L24" s="690">
        <f>+landbouw!K8</f>
        <v>0</v>
      </c>
      <c r="M24" s="690">
        <f>+landbouw!L8</f>
        <v>0</v>
      </c>
      <c r="N24" s="690">
        <f>+landbouw!M8</f>
        <v>0</v>
      </c>
      <c r="O24" s="690">
        <f>+landbouw!N8</f>
        <v>0</v>
      </c>
      <c r="P24" s="690">
        <f>+landbouw!O8</f>
        <v>0</v>
      </c>
      <c r="Q24" s="691">
        <f>+landbouw!P8</f>
        <v>0</v>
      </c>
      <c r="R24" s="693">
        <f>SUM(C24:Q24)</f>
        <v>87983.301698547482</v>
      </c>
      <c r="S24" s="67"/>
    </row>
    <row r="25" spans="1:19" s="458" customFormat="1" ht="15" thickBot="1">
      <c r="A25" s="827" t="s">
        <v>872</v>
      </c>
      <c r="B25" s="1004"/>
      <c r="C25" s="1005">
        <f>IF(Onbekend_ele_kWh="---",0,Onbekend_ele_kWh)/1000+IF(REST_rest_ele_kWh="---",0,REST_rest_ele_kWh)/1000</f>
        <v>2391.7339999999999</v>
      </c>
      <c r="D25" s="1005"/>
      <c r="E25" s="1005">
        <f>IF(onbekend_gas_kWh="---",0,onbekend_gas_kWh)/1000+IF(REST_rest_gas_kWh="---",0,REST_rest_gas_kWh)/1000</f>
        <v>25743.309000000001</v>
      </c>
      <c r="F25" s="1005"/>
      <c r="G25" s="1005"/>
      <c r="H25" s="1005"/>
      <c r="I25" s="1005"/>
      <c r="J25" s="1005"/>
      <c r="K25" s="1005"/>
      <c r="L25" s="1005"/>
      <c r="M25" s="1005"/>
      <c r="N25" s="1005"/>
      <c r="O25" s="1005"/>
      <c r="P25" s="1005"/>
      <c r="Q25" s="1006"/>
      <c r="R25" s="693">
        <f>SUM(C25:Q25)</f>
        <v>28135.043000000001</v>
      </c>
      <c r="S25" s="67"/>
    </row>
    <row r="26" spans="1:19" s="458" customFormat="1" ht="15.75" thickBot="1">
      <c r="A26" s="698" t="s">
        <v>873</v>
      </c>
      <c r="B26" s="813"/>
      <c r="C26" s="808">
        <f>SUM(C24:C25)</f>
        <v>21417.947</v>
      </c>
      <c r="D26" s="808">
        <f t="shared" ref="D26:R26" si="2">SUM(D24:D25)</f>
        <v>22.5</v>
      </c>
      <c r="E26" s="808">
        <f t="shared" si="2"/>
        <v>25931.615550000002</v>
      </c>
      <c r="F26" s="808">
        <f t="shared" si="2"/>
        <v>239.75479454588299</v>
      </c>
      <c r="G26" s="808">
        <f t="shared" si="2"/>
        <v>65645.201201157659</v>
      </c>
      <c r="H26" s="808">
        <f t="shared" si="2"/>
        <v>0</v>
      </c>
      <c r="I26" s="808">
        <f t="shared" si="2"/>
        <v>0</v>
      </c>
      <c r="J26" s="808">
        <f t="shared" si="2"/>
        <v>0</v>
      </c>
      <c r="K26" s="808">
        <f t="shared" si="2"/>
        <v>2861.3261528439307</v>
      </c>
      <c r="L26" s="808">
        <f t="shared" si="2"/>
        <v>0</v>
      </c>
      <c r="M26" s="808">
        <f t="shared" si="2"/>
        <v>0</v>
      </c>
      <c r="N26" s="808">
        <f t="shared" si="2"/>
        <v>0</v>
      </c>
      <c r="O26" s="808">
        <f t="shared" si="2"/>
        <v>0</v>
      </c>
      <c r="P26" s="808">
        <f t="shared" si="2"/>
        <v>0</v>
      </c>
      <c r="Q26" s="808">
        <f t="shared" si="2"/>
        <v>0</v>
      </c>
      <c r="R26" s="808">
        <f t="shared" si="2"/>
        <v>116118.34469854749</v>
      </c>
      <c r="S26" s="67"/>
    </row>
    <row r="27" spans="1:19" s="458" customFormat="1" ht="17.25" thickTop="1" thickBot="1">
      <c r="A27" s="699" t="s">
        <v>116</v>
      </c>
      <c r="B27" s="800"/>
      <c r="C27" s="700">
        <f ca="1">C22+C16+C26</f>
        <v>193583.62956890301</v>
      </c>
      <c r="D27" s="700">
        <f t="shared" ref="D27:R27" ca="1" si="3">D22+D16+D26</f>
        <v>22.5</v>
      </c>
      <c r="E27" s="700">
        <f t="shared" ca="1" si="3"/>
        <v>234526.73333640036</v>
      </c>
      <c r="F27" s="700">
        <f t="shared" si="3"/>
        <v>14396.998049864451</v>
      </c>
      <c r="G27" s="700">
        <f t="shared" ca="1" si="3"/>
        <v>253970.2974172628</v>
      </c>
      <c r="H27" s="700">
        <f t="shared" si="3"/>
        <v>252290.6063041907</v>
      </c>
      <c r="I27" s="700">
        <f t="shared" si="3"/>
        <v>40518.832656831655</v>
      </c>
      <c r="J27" s="700">
        <f t="shared" si="3"/>
        <v>0</v>
      </c>
      <c r="K27" s="700">
        <f t="shared" si="3"/>
        <v>2930.9564905689986</v>
      </c>
      <c r="L27" s="700">
        <f t="shared" si="3"/>
        <v>0</v>
      </c>
      <c r="M27" s="700">
        <f t="shared" ca="1" si="3"/>
        <v>0</v>
      </c>
      <c r="N27" s="700">
        <f t="shared" si="3"/>
        <v>13230.916749658023</v>
      </c>
      <c r="O27" s="700">
        <f t="shared" ca="1" si="3"/>
        <v>50913.511815451064</v>
      </c>
      <c r="P27" s="700">
        <f t="shared" si="3"/>
        <v>594.06666666666672</v>
      </c>
      <c r="Q27" s="700">
        <f t="shared" si="3"/>
        <v>438.5333333333333</v>
      </c>
      <c r="R27" s="700">
        <f t="shared" ca="1" si="3"/>
        <v>1057417.582389131</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12299.600920449126</v>
      </c>
      <c r="D40" s="690">
        <f ca="1">tertiair!C20</f>
        <v>0</v>
      </c>
      <c r="E40" s="690">
        <f ca="1">tertiair!D20</f>
        <v>6958.3682091440005</v>
      </c>
      <c r="F40" s="690">
        <f>tertiair!E20</f>
        <v>191.90320493305006</v>
      </c>
      <c r="G40" s="690">
        <f ca="1">tertiair!F20</f>
        <v>3286.6361786356229</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22736.508513161796</v>
      </c>
    </row>
    <row r="41" spans="1:18">
      <c r="A41" s="818" t="s">
        <v>225</v>
      </c>
      <c r="B41" s="825"/>
      <c r="C41" s="690">
        <f ca="1">huishoudens!B12</f>
        <v>12697.710840993868</v>
      </c>
      <c r="D41" s="690">
        <f ca="1">huishoudens!C12</f>
        <v>0</v>
      </c>
      <c r="E41" s="690">
        <f>huishoudens!D12</f>
        <v>27186.345813528002</v>
      </c>
      <c r="F41" s="690">
        <f>huishoudens!E12</f>
        <v>2031.7819176991134</v>
      </c>
      <c r="G41" s="690">
        <f>huishoudens!F12</f>
        <v>32055.90633451601</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73971.744906736989</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10689.849975166298</v>
      </c>
      <c r="D43" s="690">
        <f ca="1">industrie!C22</f>
        <v>0</v>
      </c>
      <c r="E43" s="690">
        <f>industrie!D22</f>
        <v>7986.1518205040011</v>
      </c>
      <c r="F43" s="690">
        <f>industrie!E22</f>
        <v>782.42531788293127</v>
      </c>
      <c r="G43" s="690">
        <f>industrie!F22</f>
        <v>14940.258176548436</v>
      </c>
      <c r="H43" s="690">
        <f>industrie!G22</f>
        <v>0</v>
      </c>
      <c r="I43" s="690">
        <f>industrie!H22</f>
        <v>0</v>
      </c>
      <c r="J43" s="690">
        <f>industrie!I22</f>
        <v>0</v>
      </c>
      <c r="K43" s="690">
        <f>industrie!J22</f>
        <v>24.649139554673987</v>
      </c>
      <c r="L43" s="690">
        <f>industrie!K22</f>
        <v>0</v>
      </c>
      <c r="M43" s="690">
        <f>industrie!L22</f>
        <v>0</v>
      </c>
      <c r="N43" s="690">
        <f>industrie!M22</f>
        <v>0</v>
      </c>
      <c r="O43" s="690">
        <f>industrie!N22</f>
        <v>0</v>
      </c>
      <c r="P43" s="690">
        <f>industrie!O22</f>
        <v>0</v>
      </c>
      <c r="Q43" s="767">
        <f>industrie!P22</f>
        <v>0</v>
      </c>
      <c r="R43" s="845">
        <f t="shared" ca="1" si="4"/>
        <v>34423.334429656345</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35687.161736609291</v>
      </c>
      <c r="D46" s="725">
        <f t="shared" ref="D46:Q46" ca="1" si="5">SUM(D39:D45)</f>
        <v>0</v>
      </c>
      <c r="E46" s="725">
        <f t="shared" ca="1" si="5"/>
        <v>42130.865843175998</v>
      </c>
      <c r="F46" s="725">
        <f t="shared" si="5"/>
        <v>3006.1104405150945</v>
      </c>
      <c r="G46" s="725">
        <f t="shared" ca="1" si="5"/>
        <v>50282.800689700067</v>
      </c>
      <c r="H46" s="725">
        <f t="shared" si="5"/>
        <v>0</v>
      </c>
      <c r="I46" s="725">
        <f t="shared" si="5"/>
        <v>0</v>
      </c>
      <c r="J46" s="725">
        <f t="shared" si="5"/>
        <v>0</v>
      </c>
      <c r="K46" s="725">
        <f t="shared" si="5"/>
        <v>24.649139554673987</v>
      </c>
      <c r="L46" s="725">
        <f t="shared" si="5"/>
        <v>0</v>
      </c>
      <c r="M46" s="725">
        <f t="shared" ca="1" si="5"/>
        <v>0</v>
      </c>
      <c r="N46" s="725">
        <f t="shared" si="5"/>
        <v>0</v>
      </c>
      <c r="O46" s="725">
        <f t="shared" ca="1" si="5"/>
        <v>0</v>
      </c>
      <c r="P46" s="725">
        <f t="shared" si="5"/>
        <v>0</v>
      </c>
      <c r="Q46" s="725">
        <f t="shared" si="5"/>
        <v>0</v>
      </c>
      <c r="R46" s="725">
        <f ca="1">SUM(R39:R45)</f>
        <v>131131.58784955513</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1386.5858660314764</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1386.5858660314764</v>
      </c>
    </row>
    <row r="50" spans="1:18">
      <c r="A50" s="821" t="s">
        <v>307</v>
      </c>
      <c r="B50" s="831"/>
      <c r="C50" s="696">
        <f ca="1">transport!B18</f>
        <v>3.3244310484530102</v>
      </c>
      <c r="D50" s="696">
        <f>transport!C18</f>
        <v>0</v>
      </c>
      <c r="E50" s="696">
        <f>transport!D18</f>
        <v>5.3479496768779251</v>
      </c>
      <c r="F50" s="696">
        <f>transport!E18</f>
        <v>207.58377844222022</v>
      </c>
      <c r="G50" s="696">
        <f>transport!F18</f>
        <v>0</v>
      </c>
      <c r="H50" s="696">
        <f>transport!G18</f>
        <v>65975.00601718745</v>
      </c>
      <c r="I50" s="696">
        <f>transport!H18</f>
        <v>10089.189331551082</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76280.45150790608</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3.3244310484530102</v>
      </c>
      <c r="D52" s="725">
        <f t="shared" ref="D52:Q52" ca="1" si="6">SUM(D48:D51)</f>
        <v>0</v>
      </c>
      <c r="E52" s="725">
        <f t="shared" si="6"/>
        <v>5.3479496768779251</v>
      </c>
      <c r="F52" s="725">
        <f t="shared" si="6"/>
        <v>207.58377844222022</v>
      </c>
      <c r="G52" s="725">
        <f t="shared" si="6"/>
        <v>0</v>
      </c>
      <c r="H52" s="725">
        <f t="shared" si="6"/>
        <v>67361.59188321892</v>
      </c>
      <c r="I52" s="725">
        <f t="shared" si="6"/>
        <v>10089.189331551082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77667.03737393755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3944.193649786409</v>
      </c>
      <c r="D54" s="696">
        <f ca="1">+landbouw!C12</f>
        <v>5.0500000000000007</v>
      </c>
      <c r="E54" s="696">
        <f>+landbouw!D12</f>
        <v>38.037923100000008</v>
      </c>
      <c r="F54" s="696">
        <f>+landbouw!E12</f>
        <v>54.424338361915439</v>
      </c>
      <c r="G54" s="696">
        <f>+landbouw!F12</f>
        <v>17527.268720709097</v>
      </c>
      <c r="H54" s="696">
        <f>+landbouw!G12</f>
        <v>0</v>
      </c>
      <c r="I54" s="696">
        <f>+landbouw!H12</f>
        <v>0</v>
      </c>
      <c r="J54" s="696">
        <f>+landbouw!I12</f>
        <v>0</v>
      </c>
      <c r="K54" s="696">
        <f>+landbouw!J12</f>
        <v>1012.9094581067515</v>
      </c>
      <c r="L54" s="696">
        <f>+landbouw!K12</f>
        <v>0</v>
      </c>
      <c r="M54" s="696">
        <f>+landbouw!L12</f>
        <v>0</v>
      </c>
      <c r="N54" s="696">
        <f>+landbouw!M12</f>
        <v>0</v>
      </c>
      <c r="O54" s="696">
        <f>+landbouw!N12</f>
        <v>0</v>
      </c>
      <c r="P54" s="696">
        <f>+landbouw!O12</f>
        <v>0</v>
      </c>
      <c r="Q54" s="697">
        <f>+landbouw!P12</f>
        <v>0</v>
      </c>
      <c r="R54" s="724">
        <f ca="1">SUM(C54:Q54)</f>
        <v>22581.884090064174</v>
      </c>
    </row>
    <row r="55" spans="1:18" ht="15" thickBot="1">
      <c r="A55" s="821" t="s">
        <v>872</v>
      </c>
      <c r="B55" s="831"/>
      <c r="C55" s="696">
        <f ca="1">C25*'EF ele_warmte'!B12</f>
        <v>495.8139622834164</v>
      </c>
      <c r="D55" s="696"/>
      <c r="E55" s="696">
        <f>E25*EF_CO2_aardgas</f>
        <v>5200.1484180000007</v>
      </c>
      <c r="F55" s="696"/>
      <c r="G55" s="696"/>
      <c r="H55" s="696"/>
      <c r="I55" s="696"/>
      <c r="J55" s="696"/>
      <c r="K55" s="696"/>
      <c r="L55" s="696"/>
      <c r="M55" s="696"/>
      <c r="N55" s="696"/>
      <c r="O55" s="696"/>
      <c r="P55" s="696"/>
      <c r="Q55" s="697"/>
      <c r="R55" s="724">
        <f ca="1">SUM(C55:Q55)</f>
        <v>5695.9623802834167</v>
      </c>
    </row>
    <row r="56" spans="1:18" ht="15.75" thickBot="1">
      <c r="A56" s="819" t="s">
        <v>873</v>
      </c>
      <c r="B56" s="832"/>
      <c r="C56" s="725">
        <f ca="1">SUM(C54:C55)</f>
        <v>4440.007612069825</v>
      </c>
      <c r="D56" s="725">
        <f t="shared" ref="D56:Q56" ca="1" si="7">SUM(D54:D55)</f>
        <v>5.0500000000000007</v>
      </c>
      <c r="E56" s="725">
        <f t="shared" si="7"/>
        <v>5238.1863411000004</v>
      </c>
      <c r="F56" s="725">
        <f t="shared" si="7"/>
        <v>54.424338361915439</v>
      </c>
      <c r="G56" s="725">
        <f t="shared" si="7"/>
        <v>17527.268720709097</v>
      </c>
      <c r="H56" s="725">
        <f t="shared" si="7"/>
        <v>0</v>
      </c>
      <c r="I56" s="725">
        <f t="shared" si="7"/>
        <v>0</v>
      </c>
      <c r="J56" s="725">
        <f t="shared" si="7"/>
        <v>0</v>
      </c>
      <c r="K56" s="725">
        <f t="shared" si="7"/>
        <v>1012.9094581067515</v>
      </c>
      <c r="L56" s="725">
        <f t="shared" si="7"/>
        <v>0</v>
      </c>
      <c r="M56" s="725">
        <f t="shared" si="7"/>
        <v>0</v>
      </c>
      <c r="N56" s="725">
        <f t="shared" si="7"/>
        <v>0</v>
      </c>
      <c r="O56" s="725">
        <f t="shared" si="7"/>
        <v>0</v>
      </c>
      <c r="P56" s="725">
        <f t="shared" si="7"/>
        <v>0</v>
      </c>
      <c r="Q56" s="726">
        <f t="shared" si="7"/>
        <v>0</v>
      </c>
      <c r="R56" s="727">
        <f ca="1">SUM(R54:R55)</f>
        <v>28277.846470347591</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40130.493779727563</v>
      </c>
      <c r="D61" s="733">
        <f t="shared" ref="D61:Q61" ca="1" si="8">D46+D52+D56</f>
        <v>5.0500000000000007</v>
      </c>
      <c r="E61" s="733">
        <f t="shared" ca="1" si="8"/>
        <v>47374.400133952877</v>
      </c>
      <c r="F61" s="733">
        <f t="shared" si="8"/>
        <v>3268.1185573192301</v>
      </c>
      <c r="G61" s="733">
        <f t="shared" ca="1" si="8"/>
        <v>67810.069410409167</v>
      </c>
      <c r="H61" s="733">
        <f t="shared" si="8"/>
        <v>67361.59188321892</v>
      </c>
      <c r="I61" s="733">
        <f t="shared" si="8"/>
        <v>10089.189331551082</v>
      </c>
      <c r="J61" s="733">
        <f t="shared" si="8"/>
        <v>0</v>
      </c>
      <c r="K61" s="733">
        <f t="shared" si="8"/>
        <v>1037.5585976614254</v>
      </c>
      <c r="L61" s="733">
        <f t="shared" si="8"/>
        <v>0</v>
      </c>
      <c r="M61" s="733">
        <f t="shared" ca="1" si="8"/>
        <v>0</v>
      </c>
      <c r="N61" s="733">
        <f t="shared" si="8"/>
        <v>0</v>
      </c>
      <c r="O61" s="733">
        <f t="shared" ca="1" si="8"/>
        <v>0</v>
      </c>
      <c r="P61" s="733">
        <f t="shared" si="8"/>
        <v>0</v>
      </c>
      <c r="Q61" s="733">
        <f t="shared" si="8"/>
        <v>0</v>
      </c>
      <c r="R61" s="733">
        <f ca="1">R46+R52+R56</f>
        <v>237076.47169384029</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0.20730313750752233</v>
      </c>
      <c r="D63" s="776">
        <f t="shared" ca="1" si="9"/>
        <v>0.22444444444444447</v>
      </c>
      <c r="E63" s="1011">
        <f t="shared" ca="1" si="9"/>
        <v>0.20200000000000001</v>
      </c>
      <c r="F63" s="776">
        <f t="shared" si="9"/>
        <v>0.22699999999999998</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11997.755000000001</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4.5</v>
      </c>
      <c r="D76" s="1021">
        <f>'lokale energieproductie'!C8</f>
        <v>5</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1.01</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11997.755000000001</v>
      </c>
      <c r="C78" s="748">
        <f>SUM(C72:C77)</f>
        <v>4.5</v>
      </c>
      <c r="D78" s="749">
        <f t="shared" ref="D78:H78" si="10">SUM(D76:D77)</f>
        <v>5</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1.01</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22.5</v>
      </c>
      <c r="D87" s="770">
        <f>'lokale energieproductie'!C17</f>
        <v>25</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5.0500000000000007</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22.5</v>
      </c>
      <c r="D90" s="748">
        <f t="shared" ref="D90:H90" si="12">SUM(D87:D89)</f>
        <v>25</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5.0500000000000007</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11997.755000000001</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4.5</v>
      </c>
      <c r="C8" s="560">
        <f>B101</f>
        <v>5</v>
      </c>
      <c r="D8" s="1028"/>
      <c r="E8" s="1028">
        <f>E101</f>
        <v>0</v>
      </c>
      <c r="F8" s="1029"/>
      <c r="G8" s="561"/>
      <c r="H8" s="1028">
        <f>I101</f>
        <v>0</v>
      </c>
      <c r="I8" s="1028">
        <f>G101+F101</f>
        <v>0</v>
      </c>
      <c r="J8" s="1028">
        <f>H101+D101+C101</f>
        <v>0</v>
      </c>
      <c r="K8" s="1028"/>
      <c r="L8" s="1028"/>
      <c r="M8" s="1028"/>
      <c r="N8" s="562"/>
      <c r="O8" s="563">
        <f>C8*$C$12+D8*$D$12+E8*$E$12+F8*$F$12+G8*$G$12+H8*$H$12+I8*$I$12+J8*$J$12</f>
        <v>1.01</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12002.255000000001</v>
      </c>
      <c r="C10" s="573">
        <f t="shared" ref="C10:L10" si="0">SUM(C8:C9)</f>
        <v>5</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1.01</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22.5</v>
      </c>
      <c r="C17" s="585">
        <f>B102</f>
        <v>25</v>
      </c>
      <c r="D17" s="586"/>
      <c r="E17" s="586">
        <f>E102</f>
        <v>0</v>
      </c>
      <c r="F17" s="1034"/>
      <c r="G17" s="587"/>
      <c r="H17" s="585">
        <f>I102</f>
        <v>0</v>
      </c>
      <c r="I17" s="586">
        <f>G102+F102</f>
        <v>0</v>
      </c>
      <c r="J17" s="586">
        <f>H102+D102+C102</f>
        <v>0</v>
      </c>
      <c r="K17" s="586"/>
      <c r="L17" s="586"/>
      <c r="M17" s="586"/>
      <c r="N17" s="1035"/>
      <c r="O17" s="588">
        <f>C17*$C$22+E17*$E$22+H17*$H$22+I17*$I$22+J17*$J$22+D17*$D$22+F17*$F$22+G17*$G$22+K17*$K$22+L17*$L$22</f>
        <v>5.0500000000000007</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22.5</v>
      </c>
      <c r="C20" s="572">
        <f>SUM(C17:C19)</f>
        <v>25</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5.0500000000000007</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73107</v>
      </c>
      <c r="C28" s="791">
        <v>3630</v>
      </c>
      <c r="D28" s="644" t="s">
        <v>913</v>
      </c>
      <c r="E28" s="643" t="s">
        <v>914</v>
      </c>
      <c r="F28" s="643" t="s">
        <v>915</v>
      </c>
      <c r="G28" s="643" t="s">
        <v>916</v>
      </c>
      <c r="H28" s="643" t="s">
        <v>916</v>
      </c>
      <c r="I28" s="643" t="s">
        <v>914</v>
      </c>
      <c r="J28" s="790">
        <v>40885</v>
      </c>
      <c r="K28" s="790">
        <v>40969</v>
      </c>
      <c r="L28" s="643" t="s">
        <v>917</v>
      </c>
      <c r="M28" s="643">
        <v>1</v>
      </c>
      <c r="N28" s="643">
        <v>4.5</v>
      </c>
      <c r="O28" s="643">
        <v>22.5</v>
      </c>
      <c r="P28" s="643">
        <v>30</v>
      </c>
      <c r="Q28" s="643">
        <v>0</v>
      </c>
      <c r="R28" s="643">
        <v>0</v>
      </c>
      <c r="S28" s="643">
        <v>0</v>
      </c>
      <c r="T28" s="643">
        <v>0</v>
      </c>
      <c r="U28" s="643">
        <v>0</v>
      </c>
      <c r="V28" s="643">
        <v>0</v>
      </c>
      <c r="W28" s="643">
        <v>0</v>
      </c>
      <c r="X28" s="643">
        <v>10</v>
      </c>
      <c r="Y28" s="643" t="s">
        <v>112</v>
      </c>
      <c r="Z28" s="645" t="s">
        <v>112</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v>
      </c>
      <c r="N58" s="601">
        <f>SUM(N28:N57)</f>
        <v>4.5</v>
      </c>
      <c r="O58" s="601">
        <f t="shared" ref="O58:W58" si="2">SUM(O28:O57)</f>
        <v>22.5</v>
      </c>
      <c r="P58" s="601">
        <f t="shared" si="2"/>
        <v>30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1</v>
      </c>
      <c r="N61" s="606">
        <f t="shared" si="4"/>
        <v>4.5</v>
      </c>
      <c r="O61" s="606">
        <f t="shared" si="4"/>
        <v>22.5</v>
      </c>
      <c r="P61" s="606">
        <f t="shared" si="4"/>
        <v>30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0.83333333333333337</v>
      </c>
      <c r="C98" s="626">
        <f>IF(ISERROR(N58/(O58+N58)),0,N58/(N58+O58))</f>
        <v>0.16666666666666666</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5</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25</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61251.898999999998</v>
      </c>
      <c r="C4" s="462">
        <f>huishoudens!C8</f>
        <v>0</v>
      </c>
      <c r="D4" s="462">
        <f>huishoudens!D8</f>
        <v>134585.870364</v>
      </c>
      <c r="E4" s="462">
        <f>huishoudens!E8</f>
        <v>8950.5811352383844</v>
      </c>
      <c r="F4" s="462">
        <f>huishoudens!F8</f>
        <v>120059.57428657681</v>
      </c>
      <c r="G4" s="462">
        <f>huishoudens!G8</f>
        <v>0</v>
      </c>
      <c r="H4" s="462">
        <f>huishoudens!H8</f>
        <v>0</v>
      </c>
      <c r="I4" s="462">
        <f>huishoudens!I8</f>
        <v>0</v>
      </c>
      <c r="J4" s="462">
        <f>huishoudens!J8</f>
        <v>0</v>
      </c>
      <c r="K4" s="462">
        <f>huishoudens!K8</f>
        <v>0</v>
      </c>
      <c r="L4" s="462">
        <f>huishoudens!L8</f>
        <v>0</v>
      </c>
      <c r="M4" s="462">
        <f>huishoudens!M8</f>
        <v>0</v>
      </c>
      <c r="N4" s="462">
        <f>huishoudens!N8</f>
        <v>31050.968277803626</v>
      </c>
      <c r="O4" s="462">
        <f>huishoudens!O8</f>
        <v>594.06666666666672</v>
      </c>
      <c r="P4" s="463">
        <f>huishoudens!P8</f>
        <v>438.5333333333333</v>
      </c>
      <c r="Q4" s="464">
        <f>SUM(B4:P4)</f>
        <v>356931.49306361878</v>
      </c>
    </row>
    <row r="5" spans="1:17">
      <c r="A5" s="461" t="s">
        <v>156</v>
      </c>
      <c r="B5" s="462">
        <f ca="1">tertiair!B16</f>
        <v>57136.952000000005</v>
      </c>
      <c r="C5" s="462">
        <f ca="1">tertiair!C16</f>
        <v>0</v>
      </c>
      <c r="D5" s="462">
        <f ca="1">tertiair!D16</f>
        <v>34447.367372000001</v>
      </c>
      <c r="E5" s="462">
        <f>tertiair!E16</f>
        <v>845.38856798700465</v>
      </c>
      <c r="F5" s="462">
        <f ca="1">tertiair!F16</f>
        <v>12309.498796388099</v>
      </c>
      <c r="G5" s="462">
        <f>tertiair!G16</f>
        <v>0</v>
      </c>
      <c r="H5" s="462">
        <f>tertiair!H16</f>
        <v>0</v>
      </c>
      <c r="I5" s="462">
        <f>tertiair!I16</f>
        <v>0</v>
      </c>
      <c r="J5" s="462">
        <f>tertiair!J16</f>
        <v>0</v>
      </c>
      <c r="K5" s="462">
        <f>tertiair!K16</f>
        <v>0</v>
      </c>
      <c r="L5" s="462">
        <f ca="1">tertiair!L16</f>
        <v>0</v>
      </c>
      <c r="M5" s="462">
        <f>tertiair!M16</f>
        <v>0</v>
      </c>
      <c r="N5" s="462">
        <f ca="1">tertiair!N16</f>
        <v>8750.5936614331404</v>
      </c>
      <c r="O5" s="462">
        <f>tertiair!O16</f>
        <v>0</v>
      </c>
      <c r="P5" s="463">
        <f>tertiair!P16</f>
        <v>0</v>
      </c>
      <c r="Q5" s="461">
        <f t="shared" ref="Q5:Q14" ca="1" si="0">SUM(B5:P5)</f>
        <v>113489.80039780824</v>
      </c>
    </row>
    <row r="6" spans="1:17">
      <c r="A6" s="461" t="s">
        <v>194</v>
      </c>
      <c r="B6" s="462">
        <f>'openbare verlichting'!B8</f>
        <v>2194.5230000000001</v>
      </c>
      <c r="C6" s="462"/>
      <c r="D6" s="462"/>
      <c r="E6" s="462"/>
      <c r="F6" s="462"/>
      <c r="G6" s="462"/>
      <c r="H6" s="462"/>
      <c r="I6" s="462"/>
      <c r="J6" s="462"/>
      <c r="K6" s="462"/>
      <c r="L6" s="462"/>
      <c r="M6" s="462"/>
      <c r="N6" s="462"/>
      <c r="O6" s="462"/>
      <c r="P6" s="463"/>
      <c r="Q6" s="461">
        <f t="shared" si="0"/>
        <v>2194.5230000000001</v>
      </c>
    </row>
    <row r="7" spans="1:17">
      <c r="A7" s="461" t="s">
        <v>112</v>
      </c>
      <c r="B7" s="462">
        <f>landbouw!B8</f>
        <v>19026.213</v>
      </c>
      <c r="C7" s="462">
        <f>landbouw!C8</f>
        <v>22.5</v>
      </c>
      <c r="D7" s="462">
        <f>landbouw!D8</f>
        <v>188.30655000000002</v>
      </c>
      <c r="E7" s="462">
        <f>landbouw!E8</f>
        <v>239.75479454588299</v>
      </c>
      <c r="F7" s="462">
        <f>landbouw!F8</f>
        <v>65645.201201157659</v>
      </c>
      <c r="G7" s="462">
        <f>landbouw!G8</f>
        <v>0</v>
      </c>
      <c r="H7" s="462">
        <f>landbouw!H8</f>
        <v>0</v>
      </c>
      <c r="I7" s="462">
        <f>landbouw!I8</f>
        <v>0</v>
      </c>
      <c r="J7" s="462">
        <f>landbouw!J8</f>
        <v>2861.3261528439307</v>
      </c>
      <c r="K7" s="462">
        <f>landbouw!K8</f>
        <v>0</v>
      </c>
      <c r="L7" s="462">
        <f>landbouw!L8</f>
        <v>0</v>
      </c>
      <c r="M7" s="462">
        <f>landbouw!M8</f>
        <v>0</v>
      </c>
      <c r="N7" s="462">
        <f>landbouw!N8</f>
        <v>0</v>
      </c>
      <c r="O7" s="462">
        <f>landbouw!O8</f>
        <v>0</v>
      </c>
      <c r="P7" s="463">
        <f>landbouw!P8</f>
        <v>0</v>
      </c>
      <c r="Q7" s="461">
        <f t="shared" si="0"/>
        <v>87983.301698547482</v>
      </c>
    </row>
    <row r="8" spans="1:17">
      <c r="A8" s="461" t="s">
        <v>657</v>
      </c>
      <c r="B8" s="462">
        <f>industrie!B18</f>
        <v>51566.271999999997</v>
      </c>
      <c r="C8" s="462">
        <f>industrie!C18</f>
        <v>0</v>
      </c>
      <c r="D8" s="462">
        <f>industrie!D18</f>
        <v>39535.405052000002</v>
      </c>
      <c r="E8" s="462">
        <f>industrie!E18</f>
        <v>3446.8075677662168</v>
      </c>
      <c r="F8" s="462">
        <f>industrie!F18</f>
        <v>55956.023133140203</v>
      </c>
      <c r="G8" s="462">
        <f>industrie!G18</f>
        <v>0</v>
      </c>
      <c r="H8" s="462">
        <f>industrie!H18</f>
        <v>0</v>
      </c>
      <c r="I8" s="462">
        <f>industrie!I18</f>
        <v>0</v>
      </c>
      <c r="J8" s="462">
        <f>industrie!J18</f>
        <v>69.630337725067761</v>
      </c>
      <c r="K8" s="462">
        <f>industrie!K18</f>
        <v>0</v>
      </c>
      <c r="L8" s="462">
        <f>industrie!L18</f>
        <v>0</v>
      </c>
      <c r="M8" s="462">
        <f>industrie!M18</f>
        <v>0</v>
      </c>
      <c r="N8" s="462">
        <f>industrie!N18</f>
        <v>11111.949876214298</v>
      </c>
      <c r="O8" s="462">
        <f>industrie!O18</f>
        <v>0</v>
      </c>
      <c r="P8" s="463">
        <f>industrie!P18</f>
        <v>0</v>
      </c>
      <c r="Q8" s="461">
        <f t="shared" si="0"/>
        <v>161686.08796684578</v>
      </c>
    </row>
    <row r="9" spans="1:17" s="467" customFormat="1">
      <c r="A9" s="465" t="s">
        <v>574</v>
      </c>
      <c r="B9" s="466">
        <f>transport!B14</f>
        <v>16.036568903026748</v>
      </c>
      <c r="C9" s="466">
        <f>transport!C14</f>
        <v>0</v>
      </c>
      <c r="D9" s="466">
        <f>transport!D14</f>
        <v>26.474998400385768</v>
      </c>
      <c r="E9" s="466">
        <f>transport!E14</f>
        <v>914.46598432696135</v>
      </c>
      <c r="F9" s="466">
        <f>transport!F14</f>
        <v>0</v>
      </c>
      <c r="G9" s="466">
        <f>transport!G14</f>
        <v>247097.40081343611</v>
      </c>
      <c r="H9" s="466">
        <f>transport!H14</f>
        <v>40518.832656831655</v>
      </c>
      <c r="I9" s="466">
        <f>transport!I14</f>
        <v>0</v>
      </c>
      <c r="J9" s="466">
        <f>transport!J14</f>
        <v>0</v>
      </c>
      <c r="K9" s="466">
        <f>transport!K14</f>
        <v>0</v>
      </c>
      <c r="L9" s="466">
        <f>transport!L14</f>
        <v>0</v>
      </c>
      <c r="M9" s="466">
        <f>transport!M14</f>
        <v>12999.9621993378</v>
      </c>
      <c r="N9" s="466">
        <f>transport!N14</f>
        <v>0</v>
      </c>
      <c r="O9" s="466">
        <f>transport!O14</f>
        <v>0</v>
      </c>
      <c r="P9" s="466">
        <f>transport!P14</f>
        <v>0</v>
      </c>
      <c r="Q9" s="465">
        <f>SUM(B9:P9)</f>
        <v>301573.17322123592</v>
      </c>
    </row>
    <row r="10" spans="1:17">
      <c r="A10" s="461" t="s">
        <v>564</v>
      </c>
      <c r="B10" s="462">
        <f>transport!B54</f>
        <v>0</v>
      </c>
      <c r="C10" s="462">
        <f>transport!C54</f>
        <v>0</v>
      </c>
      <c r="D10" s="462">
        <f>transport!D54</f>
        <v>0</v>
      </c>
      <c r="E10" s="462">
        <f>transport!E54</f>
        <v>0</v>
      </c>
      <c r="F10" s="462">
        <f>transport!F54</f>
        <v>0</v>
      </c>
      <c r="G10" s="462">
        <f>transport!G54</f>
        <v>5193.2054907545926</v>
      </c>
      <c r="H10" s="462">
        <f>transport!H54</f>
        <v>0</v>
      </c>
      <c r="I10" s="462">
        <f>transport!I54</f>
        <v>0</v>
      </c>
      <c r="J10" s="462">
        <f>transport!J54</f>
        <v>0</v>
      </c>
      <c r="K10" s="462">
        <f>transport!K54</f>
        <v>0</v>
      </c>
      <c r="L10" s="462">
        <f>transport!L54</f>
        <v>0</v>
      </c>
      <c r="M10" s="462">
        <f>transport!M54</f>
        <v>230.95455032022281</v>
      </c>
      <c r="N10" s="462">
        <f>transport!N54</f>
        <v>0</v>
      </c>
      <c r="O10" s="462">
        <f>transport!O54</f>
        <v>0</v>
      </c>
      <c r="P10" s="463">
        <f>transport!P54</f>
        <v>0</v>
      </c>
      <c r="Q10" s="461">
        <f t="shared" si="0"/>
        <v>5424.1600410748151</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2391.7339999999999</v>
      </c>
      <c r="C14" s="469"/>
      <c r="D14" s="469">
        <f>'SEAP template'!E25</f>
        <v>25743.309000000001</v>
      </c>
      <c r="E14" s="469"/>
      <c r="F14" s="469"/>
      <c r="G14" s="469"/>
      <c r="H14" s="469"/>
      <c r="I14" s="469"/>
      <c r="J14" s="469"/>
      <c r="K14" s="469"/>
      <c r="L14" s="469"/>
      <c r="M14" s="469"/>
      <c r="N14" s="469"/>
      <c r="O14" s="469"/>
      <c r="P14" s="470"/>
      <c r="Q14" s="461">
        <f t="shared" si="0"/>
        <v>28135.043000000001</v>
      </c>
    </row>
    <row r="15" spans="1:17" s="474" customFormat="1">
      <c r="A15" s="471" t="s">
        <v>568</v>
      </c>
      <c r="B15" s="472">
        <f ca="1">SUM(B4:B14)</f>
        <v>193583.62956890301</v>
      </c>
      <c r="C15" s="472">
        <f t="shared" ref="C15:Q15" ca="1" si="1">SUM(C4:C14)</f>
        <v>22.5</v>
      </c>
      <c r="D15" s="472">
        <f t="shared" ca="1" si="1"/>
        <v>234526.73333640042</v>
      </c>
      <c r="E15" s="472">
        <f t="shared" si="1"/>
        <v>14396.998049864451</v>
      </c>
      <c r="F15" s="472">
        <f t="shared" ca="1" si="1"/>
        <v>253970.29741726277</v>
      </c>
      <c r="G15" s="472">
        <f t="shared" si="1"/>
        <v>252290.6063041907</v>
      </c>
      <c r="H15" s="472">
        <f t="shared" si="1"/>
        <v>40518.832656831655</v>
      </c>
      <c r="I15" s="472">
        <f t="shared" si="1"/>
        <v>0</v>
      </c>
      <c r="J15" s="472">
        <f t="shared" si="1"/>
        <v>2930.9564905689986</v>
      </c>
      <c r="K15" s="472">
        <f t="shared" si="1"/>
        <v>0</v>
      </c>
      <c r="L15" s="472">
        <f t="shared" ca="1" si="1"/>
        <v>0</v>
      </c>
      <c r="M15" s="472">
        <f t="shared" si="1"/>
        <v>13230.916749658023</v>
      </c>
      <c r="N15" s="472">
        <f t="shared" ca="1" si="1"/>
        <v>50913.511815451064</v>
      </c>
      <c r="O15" s="472">
        <f t="shared" si="1"/>
        <v>594.06666666666672</v>
      </c>
      <c r="P15" s="472">
        <f t="shared" si="1"/>
        <v>438.5333333333333</v>
      </c>
      <c r="Q15" s="472">
        <f t="shared" ca="1" si="1"/>
        <v>1057417.582389131</v>
      </c>
    </row>
    <row r="17" spans="1:17">
      <c r="A17" s="475" t="s">
        <v>569</v>
      </c>
      <c r="B17" s="781">
        <f ca="1">huishoudens!B10</f>
        <v>0.20730313750752233</v>
      </c>
      <c r="C17" s="781">
        <f ca="1">huishoudens!C10</f>
        <v>0.22444444444444447</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12697.710840993868</v>
      </c>
      <c r="C22" s="462">
        <f t="shared" ref="C22:C32" ca="1" si="3">C4*$C$17</f>
        <v>0</v>
      </c>
      <c r="D22" s="462">
        <f t="shared" ref="D22:D32" si="4">D4*$D$17</f>
        <v>27186.345813528002</v>
      </c>
      <c r="E22" s="462">
        <f t="shared" ref="E22:E32" si="5">E4*$E$17</f>
        <v>2031.7819176991134</v>
      </c>
      <c r="F22" s="462">
        <f t="shared" ref="F22:F32" si="6">F4*$F$17</f>
        <v>32055.90633451601</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73971.744906736989</v>
      </c>
    </row>
    <row r="23" spans="1:17">
      <c r="A23" s="461" t="s">
        <v>156</v>
      </c>
      <c r="B23" s="462">
        <f t="shared" ca="1" si="2"/>
        <v>11844.669417216704</v>
      </c>
      <c r="C23" s="462">
        <f t="shared" ca="1" si="3"/>
        <v>0</v>
      </c>
      <c r="D23" s="462">
        <f t="shared" ca="1" si="4"/>
        <v>6958.3682091440005</v>
      </c>
      <c r="E23" s="462">
        <f t="shared" si="5"/>
        <v>191.90320493305006</v>
      </c>
      <c r="F23" s="462">
        <f t="shared" ca="1" si="6"/>
        <v>3286.6361786356229</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22281.577009929373</v>
      </c>
    </row>
    <row r="24" spans="1:17">
      <c r="A24" s="461" t="s">
        <v>194</v>
      </c>
      <c r="B24" s="462">
        <f t="shared" ca="1" si="2"/>
        <v>454.93150323242043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454.93150323242043</v>
      </c>
    </row>
    <row r="25" spans="1:17">
      <c r="A25" s="461" t="s">
        <v>112</v>
      </c>
      <c r="B25" s="462">
        <f t="shared" ca="1" si="2"/>
        <v>3944.193649786409</v>
      </c>
      <c r="C25" s="462">
        <f t="shared" ca="1" si="3"/>
        <v>5.0500000000000007</v>
      </c>
      <c r="D25" s="462">
        <f t="shared" si="4"/>
        <v>38.037923100000008</v>
      </c>
      <c r="E25" s="462">
        <f t="shared" si="5"/>
        <v>54.424338361915439</v>
      </c>
      <c r="F25" s="462">
        <f t="shared" si="6"/>
        <v>17527.268720709097</v>
      </c>
      <c r="G25" s="462">
        <f t="shared" si="7"/>
        <v>0</v>
      </c>
      <c r="H25" s="462">
        <f t="shared" si="8"/>
        <v>0</v>
      </c>
      <c r="I25" s="462">
        <f t="shared" si="9"/>
        <v>0</v>
      </c>
      <c r="J25" s="462">
        <f t="shared" si="10"/>
        <v>1012.9094581067515</v>
      </c>
      <c r="K25" s="462">
        <f t="shared" si="11"/>
        <v>0</v>
      </c>
      <c r="L25" s="462">
        <f t="shared" si="12"/>
        <v>0</v>
      </c>
      <c r="M25" s="462">
        <f t="shared" si="13"/>
        <v>0</v>
      </c>
      <c r="N25" s="462">
        <f t="shared" si="14"/>
        <v>0</v>
      </c>
      <c r="O25" s="462">
        <f t="shared" si="15"/>
        <v>0</v>
      </c>
      <c r="P25" s="463">
        <f t="shared" si="16"/>
        <v>0</v>
      </c>
      <c r="Q25" s="461">
        <f t="shared" ca="1" si="17"/>
        <v>22581.884090064174</v>
      </c>
    </row>
    <row r="26" spans="1:17">
      <c r="A26" s="461" t="s">
        <v>657</v>
      </c>
      <c r="B26" s="462">
        <f t="shared" ca="1" si="2"/>
        <v>10689.849975166298</v>
      </c>
      <c r="C26" s="462">
        <f t="shared" ca="1" si="3"/>
        <v>0</v>
      </c>
      <c r="D26" s="462">
        <f t="shared" si="4"/>
        <v>7986.1518205040011</v>
      </c>
      <c r="E26" s="462">
        <f t="shared" si="5"/>
        <v>782.42531788293127</v>
      </c>
      <c r="F26" s="462">
        <f t="shared" si="6"/>
        <v>14940.258176548436</v>
      </c>
      <c r="G26" s="462">
        <f t="shared" si="7"/>
        <v>0</v>
      </c>
      <c r="H26" s="462">
        <f t="shared" si="8"/>
        <v>0</v>
      </c>
      <c r="I26" s="462">
        <f t="shared" si="9"/>
        <v>0</v>
      </c>
      <c r="J26" s="462">
        <f t="shared" si="10"/>
        <v>24.649139554673987</v>
      </c>
      <c r="K26" s="462">
        <f t="shared" si="11"/>
        <v>0</v>
      </c>
      <c r="L26" s="462">
        <f t="shared" si="12"/>
        <v>0</v>
      </c>
      <c r="M26" s="462">
        <f t="shared" si="13"/>
        <v>0</v>
      </c>
      <c r="N26" s="462">
        <f t="shared" si="14"/>
        <v>0</v>
      </c>
      <c r="O26" s="462">
        <f t="shared" si="15"/>
        <v>0</v>
      </c>
      <c r="P26" s="463">
        <f t="shared" si="16"/>
        <v>0</v>
      </c>
      <c r="Q26" s="461">
        <f t="shared" ca="1" si="17"/>
        <v>34423.334429656345</v>
      </c>
    </row>
    <row r="27" spans="1:17" s="467" customFormat="1">
      <c r="A27" s="465" t="s">
        <v>574</v>
      </c>
      <c r="B27" s="775">
        <f t="shared" ca="1" si="2"/>
        <v>3.3244310484530102</v>
      </c>
      <c r="C27" s="466">
        <f t="shared" ca="1" si="3"/>
        <v>0</v>
      </c>
      <c r="D27" s="466">
        <f t="shared" si="4"/>
        <v>5.3479496768779251</v>
      </c>
      <c r="E27" s="466">
        <f t="shared" si="5"/>
        <v>207.58377844222022</v>
      </c>
      <c r="F27" s="466">
        <f t="shared" si="6"/>
        <v>0</v>
      </c>
      <c r="G27" s="466">
        <f t="shared" si="7"/>
        <v>65975.00601718745</v>
      </c>
      <c r="H27" s="466">
        <f t="shared" si="8"/>
        <v>10089.189331551082</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76280.45150790608</v>
      </c>
    </row>
    <row r="28" spans="1:17">
      <c r="A28" s="461" t="s">
        <v>564</v>
      </c>
      <c r="B28" s="462">
        <f t="shared" ca="1" si="2"/>
        <v>0</v>
      </c>
      <c r="C28" s="462">
        <f t="shared" ca="1" si="3"/>
        <v>0</v>
      </c>
      <c r="D28" s="462">
        <f t="shared" si="4"/>
        <v>0</v>
      </c>
      <c r="E28" s="462">
        <f t="shared" si="5"/>
        <v>0</v>
      </c>
      <c r="F28" s="462">
        <f t="shared" si="6"/>
        <v>0</v>
      </c>
      <c r="G28" s="462">
        <f t="shared" si="7"/>
        <v>1386.5858660314764</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1386.5858660314764</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495.8139622834164</v>
      </c>
      <c r="C32" s="462">
        <f t="shared" ca="1" si="3"/>
        <v>0</v>
      </c>
      <c r="D32" s="462">
        <f t="shared" si="4"/>
        <v>5200.1484180000007</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5695.9623802834167</v>
      </c>
    </row>
    <row r="33" spans="1:17" s="474" customFormat="1">
      <c r="A33" s="471" t="s">
        <v>568</v>
      </c>
      <c r="B33" s="472">
        <f ca="1">SUM(B22:B32)</f>
        <v>40130.493779727563</v>
      </c>
      <c r="C33" s="472">
        <f t="shared" ref="C33:Q33" ca="1" si="18">SUM(C22:C32)</f>
        <v>5.0500000000000007</v>
      </c>
      <c r="D33" s="472">
        <f t="shared" ca="1" si="18"/>
        <v>47374.400133952877</v>
      </c>
      <c r="E33" s="472">
        <f t="shared" si="18"/>
        <v>3268.1185573192301</v>
      </c>
      <c r="F33" s="472">
        <f t="shared" ca="1" si="18"/>
        <v>67810.069410409167</v>
      </c>
      <c r="G33" s="472">
        <f t="shared" si="18"/>
        <v>67361.59188321892</v>
      </c>
      <c r="H33" s="472">
        <f t="shared" si="18"/>
        <v>10089.189331551082</v>
      </c>
      <c r="I33" s="472">
        <f t="shared" si="18"/>
        <v>0</v>
      </c>
      <c r="J33" s="472">
        <f t="shared" si="18"/>
        <v>1037.5585976614254</v>
      </c>
      <c r="K33" s="472">
        <f t="shared" si="18"/>
        <v>0</v>
      </c>
      <c r="L33" s="472">
        <f t="shared" ca="1" si="18"/>
        <v>0</v>
      </c>
      <c r="M33" s="472">
        <f t="shared" si="18"/>
        <v>0</v>
      </c>
      <c r="N33" s="472">
        <f t="shared" ca="1" si="18"/>
        <v>0</v>
      </c>
      <c r="O33" s="472">
        <f t="shared" si="18"/>
        <v>0</v>
      </c>
      <c r="P33" s="472">
        <f t="shared" si="18"/>
        <v>0</v>
      </c>
      <c r="Q33" s="472">
        <f t="shared" ca="1" si="18"/>
        <v>237076.47169384026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11997.755000000001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4.5</v>
      </c>
      <c r="D8" s="1047">
        <f>'SEAP template'!D76</f>
        <v>5</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1.01</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11997.755000000001</v>
      </c>
      <c r="C10" s="1051">
        <f>SUM(C4:C9)</f>
        <v>4.5</v>
      </c>
      <c r="D10" s="1051">
        <f t="shared" ref="D10:H10" si="0">SUM(D8:D9)</f>
        <v>5</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1.01</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0.20730313750752233</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22.5</v>
      </c>
      <c r="D17" s="1048">
        <f>'SEAP template'!D87</f>
        <v>25</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5.0500000000000007</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22.5</v>
      </c>
      <c r="D20" s="1051">
        <f t="shared" ref="D20:H20" si="2">SUM(D17:D19)</f>
        <v>25</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5.0500000000000007</v>
      </c>
    </row>
    <row r="22" spans="1:16">
      <c r="A22" s="475" t="s">
        <v>895</v>
      </c>
      <c r="B22" s="781" t="s">
        <v>889</v>
      </c>
      <c r="C22" s="781">
        <f ca="1">'EF ele_warmte'!B22</f>
        <v>0.22444444444444447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0.20730313750752233</v>
      </c>
      <c r="C17" s="512">
        <f ca="1">'EF ele_warmte'!B22</f>
        <v>0.22444444444444447</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2019-08-12T08:05:15Z</dcterms:modified>
</cp:coreProperties>
</file>