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D20" s="1"/>
  <c r="C18"/>
  <c r="O18" s="1"/>
  <c r="B18"/>
  <c r="L9"/>
  <c r="L10" s="1"/>
  <c r="K9"/>
  <c r="K10" s="1"/>
  <c r="H9"/>
  <c r="G9"/>
  <c r="F9"/>
  <c r="D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L20"/>
  <c r="K20"/>
  <c r="B17"/>
  <c r="G12"/>
  <c r="F12"/>
  <c r="E12"/>
  <c r="D12"/>
  <c r="C12"/>
  <c r="G10"/>
  <c r="F10"/>
  <c r="D10"/>
  <c r="B6"/>
  <c r="B5"/>
  <c r="B4"/>
  <c r="I102" l="1"/>
  <c r="H17" s="1"/>
  <c r="H20" s="1"/>
  <c r="B102"/>
  <c r="C17" s="1"/>
  <c r="C20" s="1"/>
  <c r="C102"/>
  <c r="F102"/>
  <c r="G102"/>
  <c r="B10"/>
  <c r="C98"/>
  <c r="B20"/>
  <c r="O19"/>
  <c r="D102"/>
  <c r="H102"/>
  <c r="E101"/>
  <c r="E8" s="1"/>
  <c r="E10" s="1"/>
  <c r="E102"/>
  <c r="E17" s="1"/>
  <c r="E20" s="1"/>
  <c r="N6" i="17"/>
  <c r="I101" i="18" l="1"/>
  <c r="H8" s="1"/>
  <c r="H10" s="1"/>
  <c r="D101"/>
  <c r="F101"/>
  <c r="G101"/>
  <c r="I8" s="1"/>
  <c r="I10" s="1"/>
  <c r="H101"/>
  <c r="J8" s="1"/>
  <c r="J10" s="1"/>
  <c r="B101"/>
  <c r="C8" s="1"/>
  <c r="C10" s="1"/>
  <c r="C10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K20" i="59" l="1"/>
  <c r="K78" i="14"/>
  <c r="K8" i="59"/>
  <c r="K10" s="1"/>
  <c r="E90" i="14"/>
  <c r="E18" i="59"/>
  <c r="E20" s="1"/>
  <c r="L78" i="14"/>
  <c r="L9" i="59"/>
  <c r="L10" s="1"/>
  <c r="D14" i="48"/>
  <c r="G22" i="14"/>
  <c r="O22"/>
  <c r="P22"/>
  <c r="Q52"/>
  <c r="G10" i="59"/>
  <c r="Q11" i="48"/>
  <c r="O2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N90" i="14"/>
  <c r="N18" i="59"/>
  <c r="N20" s="1"/>
  <c r="O90" i="14"/>
  <c r="O18" i="59"/>
  <c r="O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90" l="1"/>
  <c r="J17" i="59"/>
  <c r="J20" s="1"/>
  <c r="Q90" i="14"/>
  <c r="B17" i="6" s="1"/>
  <c r="P17" i="59"/>
  <c r="P20" s="1"/>
  <c r="Q78" i="14"/>
  <c r="B9" i="6" s="1"/>
  <c r="P8" i="59"/>
  <c r="P10" s="1"/>
  <c r="J78" i="14"/>
  <c r="J8" i="59"/>
  <c r="J10" s="1"/>
  <c r="B87" i="14"/>
  <c r="C76"/>
  <c r="B76"/>
  <c r="C87"/>
  <c r="C90" l="1"/>
  <c r="C17" i="59"/>
  <c r="C20" s="1"/>
  <c r="B90" i="14"/>
  <c r="B17" i="59"/>
  <c r="B20" s="1"/>
  <c r="C78" i="14"/>
  <c r="C8" i="59"/>
  <c r="C10" s="1"/>
  <c r="B78" i="14"/>
  <c r="B8" i="59"/>
  <c r="B1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2" i="48" l="1"/>
  <c r="J29"/>
  <c r="J31"/>
  <c r="J30"/>
  <c r="J27"/>
  <c r="J28"/>
  <c r="J24"/>
  <c r="Q11" i="14"/>
  <c r="P4" i="48"/>
  <c r="P11" i="14"/>
  <c r="O4" i="48"/>
  <c r="I32"/>
  <c r="I28"/>
  <c r="I29"/>
  <c r="I31"/>
  <c r="I26"/>
  <c r="I27"/>
  <c r="I24"/>
  <c r="I25"/>
  <c r="I22"/>
  <c r="I30"/>
  <c r="D4"/>
  <c r="D22" s="1"/>
  <c r="E11" i="14"/>
  <c r="H28" i="48"/>
  <c r="H29"/>
  <c r="H26"/>
  <c r="H32"/>
  <c r="H25"/>
  <c r="H24"/>
  <c r="H22"/>
  <c r="H30"/>
  <c r="H23"/>
  <c r="C4"/>
  <c r="D11" i="14"/>
  <c r="G32" i="48"/>
  <c r="G26"/>
  <c r="G25"/>
  <c r="G30"/>
  <c r="G29"/>
  <c r="G24"/>
  <c r="G22"/>
  <c r="G23"/>
  <c r="C11" i="14"/>
  <c r="B4" i="48"/>
  <c r="F29"/>
  <c r="F32"/>
  <c r="F31"/>
  <c r="F27"/>
  <c r="F28"/>
  <c r="F30"/>
  <c r="F24"/>
  <c r="N31"/>
  <c r="N29"/>
  <c r="N32"/>
  <c r="N27"/>
  <c r="N28"/>
  <c r="N30"/>
  <c r="N24"/>
  <c r="B10"/>
  <c r="C19" i="14"/>
  <c r="E29" i="48"/>
  <c r="E32"/>
  <c r="E31"/>
  <c r="E30"/>
  <c r="E28"/>
  <c r="E24"/>
  <c r="M29"/>
  <c r="M26"/>
  <c r="M25"/>
  <c r="M32"/>
  <c r="M22"/>
  <c r="M24"/>
  <c r="M30"/>
  <c r="M23"/>
  <c r="K5"/>
  <c r="L10" i="14"/>
  <c r="L16" s="1"/>
  <c r="L27" s="1"/>
  <c r="D29" i="48"/>
  <c r="D30"/>
  <c r="D28"/>
  <c r="D24"/>
  <c r="D31"/>
  <c r="D32"/>
  <c r="L29"/>
  <c r="L32"/>
  <c r="L28"/>
  <c r="L24"/>
  <c r="L31"/>
  <c r="L22"/>
  <c r="L27"/>
  <c r="L30"/>
  <c r="Q10" i="14"/>
  <c r="P5" i="48"/>
  <c r="P23" s="1"/>
  <c r="K32"/>
  <c r="K26"/>
  <c r="K28"/>
  <c r="K31"/>
  <c r="K30"/>
  <c r="K29"/>
  <c r="K24"/>
  <c r="K25"/>
  <c r="K27"/>
  <c r="K22"/>
  <c r="C24" i="14"/>
  <c r="C26" s="1"/>
  <c r="B7" i="48"/>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20" i="14" l="1"/>
  <c r="F22" s="1"/>
  <c r="E9" i="48"/>
  <c r="P22" i="16"/>
  <c r="Q43" i="14" s="1"/>
  <c r="Q13"/>
  <c r="Q16" s="1"/>
  <c r="Q27" s="1"/>
  <c r="P8" i="48"/>
  <c r="P26" s="1"/>
  <c r="E20" i="14"/>
  <c r="E22" s="1"/>
  <c r="D9" i="48"/>
  <c r="D27" s="1"/>
  <c r="B9"/>
  <c r="C20" i="14"/>
  <c r="P10"/>
  <c r="O5" i="48"/>
  <c r="O23" s="1"/>
  <c r="F4"/>
  <c r="F22" s="1"/>
  <c r="G11" i="14"/>
  <c r="K24"/>
  <c r="K26" s="1"/>
  <c r="J7" i="48"/>
  <c r="J25" s="1"/>
  <c r="I5"/>
  <c r="J10" i="14"/>
  <c r="J16" s="1"/>
  <c r="J27" s="1"/>
  <c r="M12" i="22"/>
  <c r="M13" i="48"/>
  <c r="M31" s="1"/>
  <c r="N18" i="14"/>
  <c r="P22" i="48"/>
  <c r="G13"/>
  <c r="H18" i="14"/>
  <c r="I18"/>
  <c r="H13" i="48"/>
  <c r="H31" s="1"/>
  <c r="K15"/>
  <c r="K23"/>
  <c r="O22"/>
  <c r="K33"/>
  <c r="L46" i="14"/>
  <c r="L61" s="1"/>
  <c r="L63"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35"/>
  <c r="D18" i="16"/>
  <c r="M51" i="22"/>
  <c r="M50" s="1"/>
  <c r="M54" s="1"/>
  <c r="G51"/>
  <c r="G50" s="1"/>
  <c r="G54" s="1"/>
  <c r="F12" i="17"/>
  <c r="G54" i="14" s="1"/>
  <c r="G56" s="1"/>
  <c r="M31" i="20"/>
  <c r="N48" i="14" s="1"/>
  <c r="H31" i="20"/>
  <c r="I48" i="14" s="1"/>
  <c r="M5" i="22"/>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N19"/>
  <c r="M10" i="48"/>
  <c r="M28" s="1"/>
  <c r="F24" i="14"/>
  <c r="F26" s="1"/>
  <c r="E7" i="48"/>
  <c r="E25" s="1"/>
  <c r="G10"/>
  <c r="H19" i="14"/>
  <c r="E12" i="13"/>
  <c r="F41" i="14" s="1"/>
  <c r="E4" i="48"/>
  <c r="F11" i="14"/>
  <c r="R11" s="1"/>
  <c r="K11"/>
  <c r="J4" i="48"/>
  <c r="G31"/>
  <c r="Q13"/>
  <c r="O8"/>
  <c r="O26" s="1"/>
  <c r="P13" i="14"/>
  <c r="I23" i="48"/>
  <c r="I33" s="1"/>
  <c r="I15"/>
  <c r="E27"/>
  <c r="P16" i="14"/>
  <c r="P27" s="1"/>
  <c r="Q46"/>
  <c r="Q61" s="1"/>
  <c r="Q63" s="1"/>
  <c r="C22"/>
  <c r="O33" i="48"/>
  <c r="P33"/>
  <c r="J63" i="14"/>
  <c r="O15" i="48"/>
  <c r="P15"/>
  <c r="M14" i="22"/>
  <c r="G14"/>
  <c r="R18"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22" l="1"/>
  <c r="N27" s="1"/>
  <c r="N63" s="1"/>
  <c r="E22" i="48"/>
  <c r="Q4"/>
  <c r="H9"/>
  <c r="I20" i="14"/>
  <c r="I22" s="1"/>
  <c r="I27" s="1"/>
  <c r="E20" i="15"/>
  <c r="F40" i="14" s="1"/>
  <c r="F10"/>
  <c r="E5" i="48"/>
  <c r="E23" s="1"/>
  <c r="N20" i="14"/>
  <c r="M9" i="48"/>
  <c r="J22"/>
  <c r="J5"/>
  <c r="J23" s="1"/>
  <c r="K10" i="14"/>
  <c r="G9" i="48"/>
  <c r="H20" i="14"/>
  <c r="G28" i="48"/>
  <c r="Q10"/>
  <c r="R19" i="14"/>
  <c r="E46"/>
  <c r="E61" s="1"/>
  <c r="M61"/>
  <c r="M27"/>
  <c r="E16"/>
  <c r="E27" s="1"/>
  <c r="L15" i="48"/>
  <c r="R24" i="14"/>
  <c r="R26" s="1"/>
  <c r="L33" i="48"/>
  <c r="Q7"/>
  <c r="R10" i="14"/>
  <c r="D23" i="48"/>
  <c r="D33" s="1"/>
  <c r="D15"/>
  <c r="C16" i="14"/>
  <c r="C27" s="1"/>
  <c r="B3" i="6" s="1"/>
  <c r="B12" s="1"/>
  <c r="F23" i="48"/>
  <c r="N23"/>
  <c r="Q5"/>
  <c r="B15"/>
  <c r="F18" i="16"/>
  <c r="E18"/>
  <c r="N18"/>
  <c r="J18"/>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M27" i="48" l="1"/>
  <c r="M33" s="1"/>
  <c r="M15"/>
  <c r="H27"/>
  <c r="H33" s="1"/>
  <c r="H15"/>
  <c r="F13" i="14"/>
  <c r="F16" s="1"/>
  <c r="F27" s="1"/>
  <c r="F63" s="1"/>
  <c r="E8" i="48"/>
  <c r="G27"/>
  <c r="G33" s="1"/>
  <c r="G15"/>
  <c r="Q9"/>
  <c r="H22" i="14"/>
  <c r="H27" s="1"/>
  <c r="H63" s="1"/>
  <c r="R20"/>
  <c r="R22" s="1"/>
  <c r="J22" i="16"/>
  <c r="K43" i="14" s="1"/>
  <c r="K46" s="1"/>
  <c r="K61" s="1"/>
  <c r="J8" i="48"/>
  <c r="K13" i="14"/>
  <c r="K16" s="1"/>
  <c r="K27" s="1"/>
  <c r="F46"/>
  <c r="F61" s="1"/>
  <c r="E63"/>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<sst xmlns="http://schemas.openxmlformats.org/spreadsheetml/2006/main" count="2432" uniqueCount="913">
  <si>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</si>
  <si>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</si>
  <si>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</si>
  <si>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</si>
  <si>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</si>
  <si>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</si>
  <si>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</si>
  <si>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</si>
  <si>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</si>
  <si>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</si>
  <si>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</si>
  <si>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</si>
  <si>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</si>
  <si>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</si>
  <si>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</si>
  <si>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</si>
  <si>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</si>
  <si>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</si>
  <si>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</si>
  <si>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</si>
  <si>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</si>
  <si>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</si>
  <si>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</si>
  <si>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</si>
  <si>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</si>
  <si>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</si>
  <si>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</si>
  <si>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</si>
  <si>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</si>
  <si>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</si>
  <si>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</si>
  <si>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</si>
  <si>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</si>
  <si>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</si>
  <si>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</si>
  <si>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</si>
  <si>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</si>
  <si>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</si>
  <si>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</si>
  <si>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</si>
  <si>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</si>
  <si>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</si>
  <si>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</si>
  <si>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</si>
  <si>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</si>
  <si>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</si>
  <si>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</si>
  <si>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</si>
  <si>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</si>
  <si>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</si>
  <si>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</si>
  <si>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</si>
  <si>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</si>
  <si>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</si>
  <si>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</si>
  <si>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</si>
  <si>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</si>
  <si>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</si>
  <si>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</si>
  <si>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</si>
  <si>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</si>
  <si>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</si>
  <si>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</si>
  <si>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</si>
  <si>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</si>
  <si>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</si>
  <si>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</si>
  <si>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</si>
  <si>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</si>
  <si>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</si>
  <si>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</si>
  <si>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</si>
  <si>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</si>
  <si>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</si>
  <si>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</si>
  <si>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</si>
  <si>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</si>
  <si>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</si>
  <si>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</si>
  <si>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</si>
  <si>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</si>
  <si>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</si>
  <si>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</si>
  <si>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</si>
  <si>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</si>
  <si>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</si>
  <si>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</si>
  <si>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</si>
  <si>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</si>
  <si>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</si>
  <si>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</si>
  <si>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</si>
  <si>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</si>
  <si>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</si>
  <si>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</si>
  <si>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</si>
  <si>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</si>
  <si>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</si>
  <si>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</si>
  <si>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</si>
  <si>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</si>
  <si>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</si>
  <si>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</si>
  <si>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</si>
  <si>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</si>
  <si>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</si>
  <si>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</si>
  <si>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</si>
  <si>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</si>
  <si>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</si>
  <si>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</si>
  <si>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</si>
  <si>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</si>
  <si>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</si>
  <si>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</si>
  <si>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</si>
  <si>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</si>
  <si>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</si>
  <si>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</si>
  <si>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</si>
  <si>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</si>
  <si>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</si>
  <si>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</si>
  <si>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</si>
  <si>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</si>
  <si>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</si>
  <si>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</si>
  <si>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</si>
  <si>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</si>
  <si>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</si>
  <si>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</si>
  <si>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</si>
  <si>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</si>
  <si>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</si>
  <si>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</si>
  <si>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</si>
  <si>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</si>
  <si>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</si>
  <si>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</si>
  <si>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</si>
  <si>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</si>
  <si>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</si>
  <si>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</si>
  <si>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</si>
  <si>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</si>
  <si>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</si>
  <si>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</si>
  <si>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</si>
  <si>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</si>
  <si>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</si>
  <si>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</si>
  <si>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</si>
  <si>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</si>
  <si>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</si>
  <si>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</si>
  <si>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</si>
  <si>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</si>
  <si>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</si>
  <si>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</si>
  <si>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</si>
  <si>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</si>
  <si>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</si>
  <si>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</si>
  <si>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</si>
  <si>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</si>
  <si>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</si>
  <si>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</si>
  <si>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</si>
  <si>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</si>
  <si>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</si>
  <si>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</si>
  <si>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</si>
  <si>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</si>
  <si>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</si>
  <si>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</si>
  <si>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</si>
  <si>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</si>
  <si>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</si>
  <si>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</si>
  <si>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</si>
  <si>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</si>
  <si>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</si>
  <si>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</si>
  <si>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</si>
  <si>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</si>
  <si>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</si>
  <si>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</si>
  <si>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</si>
  <si>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</si>
  <si>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</si>
  <si>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</si>
  <si>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</si>
  <si>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</si>
  <si>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</si>
  <si>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</si>
  <si>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</si>
  <si>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</si>
  <si>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</si>
  <si>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</si>
  <si>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</si>
  <si>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</si>
  <si>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</si>
  <si>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</si>
  <si>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</si>
  <si>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</si>
  <si>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</si>
  <si>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</si>
  <si>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</si>
  <si>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</si>
  <si>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</si>
  <si>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</si>
  <si>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</si>
  <si>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</si>
  <si>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</si>
  <si>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</si>
  <si>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</si>
  <si>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</si>
  <si>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</si>
  <si>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</si>
  <si>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</si>
  <si>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</si>
  <si>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</si>
  <si>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</si>
  <si>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</si>
  <si>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</si>
  <si>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</si>
  <si>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</si>
  <si>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</si>
  <si>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</si>
  <si>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</si>
  <si>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</si>
  <si>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</si>
  <si>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</si>
  <si>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</si>
  <si>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</si>
  <si>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</si>
  <si>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</si>
  <si>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</si>
  <si>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</si>
  <si>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</si>
  <si>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</si>
  <si>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</si>
  <si>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</si>
  <si>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</si>
  <si>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</si>
  <si>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</si>
  <si>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</si>
  <si>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</si>
  <si>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</si>
  <si>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</si>
  <si>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</si>
  <si>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</si>
  <si>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</si>
  <si>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</si>
  <si>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</si>
  <si>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</si>
  <si>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</si>
  <si>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</si>
  <si>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</si>
  <si>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</si>
  <si>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</si>
  <si>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</si>
  <si>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</si>
  <si>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</si>
  <si>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</si>
  <si>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</si>
  <si>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</si>
  <si>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</si>
  <si>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</si>
  <si>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</si>
  <si>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</si>
  <si>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</si>
  <si>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</si>
  <si>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</si>
  <si>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</si>
  <si>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</si>
  <si>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</si>
  <si>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</si>
  <si>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</si>
  <si>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</si>
  <si>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</si>
  <si>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</si>
  <si>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</si>
  <si>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</si>
  <si>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</si>
  <si>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</si>
  <si>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</si>
  <si>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</si>
  <si>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</si>
  <si>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</si>
  <si>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</si>
  <si>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</si>
  <si>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</si>
  <si>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</si>
  <si>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</si>
  <si>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</si>
  <si>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</si>
  <si>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</si>
  <si>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</si>
  <si>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</si>
  <si>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</si>
  <si>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</si>
  <si>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</si>
  <si>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</si>
  <si>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</si>
  <si>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</si>
  <si>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</si>
  <si>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</si>
  <si>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</si>
  <si>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</si>
  <si>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</si>
  <si>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</si>
  <si>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</si>
  <si>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</si>
  <si>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</si>
  <si>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</si>
  <si>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</si>
  <si>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</si>
  <si>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</si>
  <si>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</si>
  <si>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</si>
  <si>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</si>
  <si>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</si>
  <si>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</si>
  <si>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</si>
  <si>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</si>
  <si>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</si>
  <si>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</si>
  <si>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</si>
  <si>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</si>
  <si>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</si>
  <si>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</si>
  <si>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</si>
  <si>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</si>
  <si>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</si>
  <si>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</si>
  <si>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</si>
  <si>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</si>
  <si>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</si>
  <si>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</si>
  <si>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</si>
  <si>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</si>
  <si>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</si>
  <si>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</si>
  <si>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</si>
  <si>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</si>
  <si>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</si>
  <si>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</si>
  <si>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</si>
  <si>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</si>
  <si>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</si>
  <si>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</si>
  <si>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</si>
  <si>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</si>
  <si>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</si>
  <si>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</si>
  <si>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</si>
  <si>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</si>
  <si>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</si>
  <si>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</si>
  <si>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</si>
  <si>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</si>
  <si>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</si>
  <si>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</si>
  <si>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</si>
  <si>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</si>
  <si>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</si>
  <si>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</si>
  <si>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</si>
  <si>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</si>
  <si>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</si>
  <si>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</si>
  <si>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</si>
  <si>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</si>
  <si>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</si>
  <si>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</si>
  <si>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</si>
  <si>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</si>
  <si>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</si>
  <si>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</si>
  <si>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</si>
  <si>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</si>
  <si>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</si>
  <si>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</si>
  <si>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</si>
  <si>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</si>
  <si>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</si>
  <si>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</si>
  <si>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</si>
  <si>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</si>
  <si>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</si>
  <si>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</si>
  <si>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</si>
  <si>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</si>
  <si>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</si>
  <si>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</si>
  <si>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</si>
  <si>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</si>
  <si>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</si>
  <si>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</si>
  <si>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</si>
  <si>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</si>
  <si>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</si>
  <si>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</si>
  <si>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</si>
  <si>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</si>
  <si>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</si>
  <si>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</si>
  <si>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</si>
  <si>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</si>
  <si>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</si>
  <si>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</si>
  <si>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</si>
  <si>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</si>
  <si>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</si>
  <si>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</si>
  <si>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</si>
  <si>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</si>
  <si>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</si>
  <si>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</si>
  <si>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</si>
  <si>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</si>
  <si>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</si>
  <si>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</si>
  <si>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</si>
  <si>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</si>
  <si>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</si>
  <si>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</si>
  <si>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</si>
  <si>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</si>
  <si>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</si>
  <si>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</si>
  <si>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</si>
  <si>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</si>
  <si>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</si>
  <si>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</si>
  <si>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</si>
  <si>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</si>
  <si>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</si>
  <si>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</si>
  <si>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</si>
  <si>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</si>
  <si>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</si>
  <si>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</si>
  <si>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</si>
  <si>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</si>
  <si>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</si>
  <si>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</si>
  <si>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</si>
  <si>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</si>
  <si>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</si>
  <si>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</si>
  <si>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</si>
  <si>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</si>
  <si>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</si>
  <si>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</si>
  <si>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</si>
  <si>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</si>
  <si>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</si>
  <si>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</si>
  <si>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</si>
  <si>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</si>
  <si>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</si>
  <si>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</si>
  <si>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</si>
  <si>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</si>
  <si>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</si>
  <si>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</si>
  <si>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</si>
  <si>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</si>
  <si>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</si>
  <si>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</si>
  <si>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</si>
  <si>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</si>
  <si>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</si>
  <si>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</si>
  <si>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</si>
  <si>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</si>
  <si>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</si>
  <si>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</si>
  <si>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</si>
  <si>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</si>
  <si>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</si>
  <si>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</si>
  <si>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</si>
  <si>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</si>
  <si>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</si>
  <si>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</si>
  <si>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</si>
  <si>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</si>
  <si>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</si>
  <si>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</si>
  <si>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</si>
  <si>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</si>
  <si>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</si>
  <si>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</si>
  <si>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</si>
  <si>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</si>
  <si>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</si>
  <si>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</si>
  <si>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</si>
  <si>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</si>
  <si>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</si>
  <si>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</si>
  <si>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</si>
  <si>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</si>
  <si>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</si>
  <si>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</si>
  <si>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</si>
  <si>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</si>
  <si>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</si>
  <si>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</si>
  <si>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</si>
  <si>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</si>
  <si>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</si>
  <si>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</si>
  <si>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</si>
  <si>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</si>
  <si>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</si>
  <si>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</si>
  <si>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</si>
  <si>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</si>
  <si>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</si>
  <si>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</si>
  <si>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</si>
  <si>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</si>
  <si>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</si>
  <si>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</si>
  <si>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</si>
  <si>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</si>
  <si>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</si>
  <si>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</si>
  <si>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</si>
  <si>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</si>
  <si>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</si>
  <si>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</si>
  <si>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</si>
  <si>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</si>
  <si>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</si>
  <si>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</si>
  <si>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</si>
  <si>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</si>
  <si>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</si>
  <si>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</si>
  <si>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</si>
  <si>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</si>
  <si>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</si>
  <si>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</si>
  <si>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</si>
  <si>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</si>
  <si>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</si>
  <si>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</si>
  <si>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</si>
  <si>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</si>
  <si>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</si>
  <si>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</si>
  <si>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</si>
  <si>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</si>
  <si>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</si>
  <si>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</si>
  <si>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</si>
  <si>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</si>
  <si>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</si>
  <si>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</si>
  <si>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</si>
  <si>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</si>
  <si>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</si>
  <si>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</si>
  <si>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</si>
  <si>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</si>
  <si>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</si>
  <si>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</si>
  <si>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</si>
  <si>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</si>
  <si>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</si>
  <si>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</si>
  <si>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</si>
  <si>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</si>
  <si>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</si>
  <si>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</si>
  <si>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</si>
  <si>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</si>
  <si>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</si>
  <si>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</si>
  <si>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</si>
  <si>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</si>
  <si>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</si>
  <si>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</si>
  <si>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</si>
  <si>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</si>
  <si>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</si>
  <si>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</si>
  <si>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</si>
  <si>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</si>
  <si>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</si>
  <si>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</si>
  <si>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</si>
  <si>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</si>
  <si>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</si>
  <si>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</si>
  <si>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</si>
  <si>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</si>
  <si>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</si>
  <si>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</si>
  <si>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</si>
  <si>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</si>
  <si>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</si>
  <si>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</si>
  <si>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</si>
  <si>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</si>
  <si>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</si>
  <si>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</si>
  <si>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</si>
  <si>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</si>
  <si>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</si>
  <si>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</si>
  <si>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</si>
  <si>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</si>
  <si>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</si>
  <si>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</si>
  <si>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</si>
  <si>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</si>
  <si>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</si>
  <si>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</si>
  <si>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</si>
  <si>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</si>
  <si>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</si>
  <si>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</si>
  <si>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</si>
  <si>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</si>
  <si>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</si>
  <si>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</si>
  <si>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</si>
  <si>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</si>
  <si>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</si>
  <si>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</si>
  <si>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</si>
  <si>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</si>
  <si>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</si>
  <si>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</si>
  <si>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</si>
  <si>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</si>
  <si>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</si>
  <si>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</si>
  <si>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</si>
  <si>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</si>
  <si>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</si>
  <si>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</si>
  <si>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</si>
  <si>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</si>
  <si>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</si>
  <si>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</si>
  <si>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</si>
  <si>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</si>
  <si>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</si>
  <si>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</si>
  <si>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</si>
  <si>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</si>
  <si>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</si>
  <si>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</si>
  <si>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</si>
  <si>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</si>
  <si>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</si>
  <si>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</si>
  <si>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</si>
  <si>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</si>
  <si>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</si>
  <si>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</si>
  <si>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</si>
  <si>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</si>
  <si>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</si>
  <si>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</si>
  <si>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</si>
  <si>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</si>
  <si>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</si>
  <si>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</si>
  <si>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</si>
  <si>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</si>
  <si>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</si>
  <si>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</si>
  <si>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</si>
  <si>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</si>
  <si>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</si>
  <si>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</si>
  <si>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</si>
  <si>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</si>
  <si>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</si>
  <si>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</si>
  <si>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</si>
  <si>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</si>
  <si>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</si>
  <si>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</si>
  <si>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</si>
  <si>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</si>
  <si>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</si>
  <si>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</si>
  <si>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</si>
  <si>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</si>
  <si>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</si>
  <si>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</si>
  <si>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</si>
  <si>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</si>
  <si>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</si>
  <si>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</si>
  <si>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</si>
  <si>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</si>
  <si>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</si>
  <si>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</si>
  <si>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</si>
  <si>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</si>
  <si>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</si>
  <si>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</si>
  <si>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</si>
  <si>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</si>
  <si>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</si>
  <si>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</si>
  <si>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</si>
  <si>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</si>
  <si>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</si>
  <si>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</si>
  <si>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</si>
  <si>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</si>
  <si>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</si>
  <si>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</si>
  <si>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</si>
  <si>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</si>
  <si>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</si>
  <si>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</si>
  <si>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</si>
  <si>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</si>
  <si>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</si>
  <si>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</si>
  <si>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</si>
  <si>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</si>
  <si>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</si>
  <si>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</si>
  <si>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</si>
  <si>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</si>
  <si>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</si>
  <si>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</si>
  <si>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</si>
  <si>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</si>
  <si>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</si>
  <si>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</si>
  <si>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</si>
  <si>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</si>
  <si>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</si>
  <si>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</si>
  <si>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</si>
  <si>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</si>
  <si>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</si>
  <si>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</si>
  <si>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</si>
  <si>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</si>
  <si>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</si>
  <si>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</si>
  <si>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</si>
  <si>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</si>
  <si>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</si>
  <si>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</si>
  <si>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</si>
  <si>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</si>
  <si>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</si>
  <si>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</si>
  <si>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</si>
  <si>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</si>
  <si>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</si>
  <si>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</si>
  <si>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</si>
  <si>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</si>
  <si>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</si>
  <si>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</si>
  <si>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</si>
  <si>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</si>
  <si>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</si>
  <si>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</si>
  <si>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</si>
  <si>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</si>
  <si>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</si>
  <si>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</si>
  <si>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</si>
  <si>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</si>
  <si>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</si>
  <si>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</si>
  <si>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</si>
  <si>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</si>
  <si>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</si>
  <si>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</si>
  <si>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</si>
  <si>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</si>
  <si>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</si>
  <si>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</si>
  <si>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</si>
  <si>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</si>
  <si>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</si>
  <si>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</si>
  <si>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</si>
  <si>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</si>
  <si>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</si>
  <si>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</si>
  <si>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</si>
  <si>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</si>
  <si>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</si>
  <si>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</si>
  <si>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</si>
  <si>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</si>
  <si>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</si>
  <si>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</si>
  <si>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</si>
  <si>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</si>
  <si>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</si>
  <si>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</si>
  <si>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</si>
  <si>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</si>
  <si>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</si>
  <si>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</si>
  <si>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</si>
  <si>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</si>
  <si>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</si>
  <si>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</si>
  <si>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</si>
  <si>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</si>
  <si>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</si>
  <si>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</si>
  <si>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</si>
  <si>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</si>
  <si>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</si>
  <si>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</si>
  <si>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</si>
  <si>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</si>
  <si>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</si>
  <si>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</si>
  <si>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</si>
  <si>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</si>
  <si>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</si>
  <si>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</si>
  <si>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</si>
  <si>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</si>
  <si>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</si>
  <si>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</si>
  <si>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</si>
  <si>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</si>
  <si>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</si>
  <si>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</si>
  <si>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</si>
  <si>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</si>
  <si>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</si>
  <si>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</si>
  <si>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</si>
  <si>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</si>
  <si>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</si>
  <si>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</si>
  <si>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</si>
  <si>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</si>
  <si>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</si>
  <si>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</si>
  <si>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</si>
  <si>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</si>
  <si>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</si>
  <si>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</si>
  <si>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</si>
  <si>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</si>
  <si>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</si>
  <si>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</si>
  <si>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</si>
  <si>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</si>
  <si>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</si>
  <si>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</si>
  <si>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</si>
  <si>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</si>
  <si>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</si>
  <si>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</si>
  <si>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</si>
  <si>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</si>
  <si>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</si>
  <si>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</si>
  <si>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</si>
  <si>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</si>
  <si>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</si>
  <si>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</si>
  <si>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</si>
  <si>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</si>
  <si>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</si>
  <si>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</si>
  <si>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</si>
  <si>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</si>
  <si>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</si>
  <si>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</si>
  <si>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</si>
  <si>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</si>
  <si>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</si>
  <si>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</si>
  <si>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</si>
  <si>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</si>
  <si>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</si>
  <si>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</si>
  <si>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</si>
  <si>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</si>
  <si>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</si>
  <si>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</si>
  <si>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</si>
  <si>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</si>
  <si>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</si>
  <si>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</si>
  <si>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</si>
  <si>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</si>
  <si>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72041</t>
  </si>
  <si>
    <t>DILSEN-STOKKEM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</si>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</sst>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193444.95308956972</c:v>
                </c:pt>
                <c:pt idx="1">
                  <c:v>32331.091145869432</c:v>
                </c:pt>
                <c:pt idx="2">
                  <c:v>1055.0999999999999</c:v>
                </c:pt>
                <c:pt idx="3">
                  <c:v>4319.6360765016925</c:v>
                </c:pt>
                <c:pt idx="4">
                  <c:v>179664.85134042025</c:v>
                </c:pt>
                <c:pt idx="5">
                  <c:v>110775.99243752535</c:v>
                </c:pt>
                <c:pt idx="6">
                  <c:v>2496.8774916138709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193444.95308956972</c:v>
                </c:pt>
                <c:pt idx="1">
                  <c:v>32331.091145869432</c:v>
                </c:pt>
                <c:pt idx="2">
                  <c:v>1055.0999999999999</c:v>
                </c:pt>
                <c:pt idx="3">
                  <c:v>4319.6360765016925</c:v>
                </c:pt>
                <c:pt idx="4">
                  <c:v>179664.85134042025</c:v>
                </c:pt>
                <c:pt idx="5">
                  <c:v>110775.99243752535</c:v>
                </c:pt>
                <c:pt idx="6">
                  <c:v>2496.8774916138709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39129.716216864894</c:v>
                </c:pt>
                <c:pt idx="2">
                  <c:v>6042.5944916415992</c:v>
                </c:pt>
                <c:pt idx="3">
                  <c:v>197.55907873568003</c:v>
                </c:pt>
                <c:pt idx="4">
                  <c:v>1062.6415069781031</c:v>
                </c:pt>
                <c:pt idx="5">
                  <c:v>35853.717943195887</c:v>
                </c:pt>
                <c:pt idx="6">
                  <c:v>27989.946605394114</c:v>
                </c:pt>
                <c:pt idx="7">
                  <c:v>638.28039970551561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39129.716216864894</c:v>
                </c:pt>
                <c:pt idx="2">
                  <c:v>6042.5944916415992</c:v>
                </c:pt>
                <c:pt idx="3">
                  <c:v>197.55907873568003</c:v>
                </c:pt>
                <c:pt idx="4">
                  <c:v>1062.6415069781031</c:v>
                </c:pt>
                <c:pt idx="5">
                  <c:v>35853.717943195887</c:v>
                </c:pt>
                <c:pt idx="6">
                  <c:v>27989.946605394114</c:v>
                </c:pt>
                <c:pt idx="7">
                  <c:v>638.28039970551561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72041</v>
      </c>
      <c r="B6" s="398"/>
      <c r="C6" s="399"/>
    </row>
    <row r="7" spans="1:7" s="396" customFormat="1" ht="15.75" customHeight="1">
      <c r="A7" s="400" t="str">
        <f>txtMunicipality</f>
        <v>DILSEN-STOKKEM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16919.654999999999</v>
      </c>
      <c r="D10" s="690">
        <f ca="1">tertiair!C16</f>
        <v>0</v>
      </c>
      <c r="E10" s="690">
        <f ca="1">tertiair!D16</f>
        <v>10523.995702000002</v>
      </c>
      <c r="F10" s="690">
        <f>tertiair!E16</f>
        <v>228.11513819020976</v>
      </c>
      <c r="G10" s="690">
        <f ca="1">tertiair!F16</f>
        <v>3350.0132828349151</v>
      </c>
      <c r="H10" s="690">
        <f>tertiair!G16</f>
        <v>0</v>
      </c>
      <c r="I10" s="690">
        <f>tertiair!H16</f>
        <v>0</v>
      </c>
      <c r="J10" s="690">
        <f>tertiair!I16</f>
        <v>0</v>
      </c>
      <c r="K10" s="690">
        <f>tertiair!J16</f>
        <v>0</v>
      </c>
      <c r="L10" s="690">
        <f>tertiair!K16</f>
        <v>0</v>
      </c>
      <c r="M10" s="690">
        <f ca="1">tertiair!L16</f>
        <v>0</v>
      </c>
      <c r="N10" s="690">
        <f>tertiair!M16</f>
        <v>0</v>
      </c>
      <c r="O10" s="690">
        <f ca="1">tertiair!N16</f>
        <v>2265.952022844308</v>
      </c>
      <c r="P10" s="690">
        <f>tertiair!O16</f>
        <v>3.1266666666666669</v>
      </c>
      <c r="Q10" s="691">
        <f>tertiair!P16</f>
        <v>95.333333333333343</v>
      </c>
      <c r="R10" s="693">
        <f ca="1">SUM(C10:Q10)</f>
        <v>33386.19114586943</v>
      </c>
      <c r="S10" s="67"/>
    </row>
    <row r="11" spans="1:19" s="458" customFormat="1">
      <c r="A11" s="805" t="s">
        <v>225</v>
      </c>
      <c r="B11" s="810"/>
      <c r="C11" s="690">
        <f>huishoudens!B8</f>
        <v>35840.943999999996</v>
      </c>
      <c r="D11" s="690">
        <f>huishoudens!C8</f>
        <v>0</v>
      </c>
      <c r="E11" s="690">
        <f>huishoudens!D8</f>
        <v>57179.355794000003</v>
      </c>
      <c r="F11" s="690">
        <f>huishoudens!E8</f>
        <v>7090.8589982245903</v>
      </c>
      <c r="G11" s="690">
        <f>huishoudens!F8</f>
        <v>72130.823238160112</v>
      </c>
      <c r="H11" s="690">
        <f>huishoudens!G8</f>
        <v>0</v>
      </c>
      <c r="I11" s="690">
        <f>huishoudens!H8</f>
        <v>0</v>
      </c>
      <c r="J11" s="690">
        <f>huishoudens!I8</f>
        <v>0</v>
      </c>
      <c r="K11" s="690">
        <f>huishoudens!J8</f>
        <v>0</v>
      </c>
      <c r="L11" s="690">
        <f>huishoudens!K8</f>
        <v>0</v>
      </c>
      <c r="M11" s="690">
        <f>huishoudens!L8</f>
        <v>0</v>
      </c>
      <c r="N11" s="690">
        <f>huishoudens!M8</f>
        <v>0</v>
      </c>
      <c r="O11" s="690">
        <f>huishoudens!N8</f>
        <v>20352.697725851667</v>
      </c>
      <c r="P11" s="690">
        <f>huishoudens!O8</f>
        <v>278.27333333333337</v>
      </c>
      <c r="Q11" s="691">
        <f>huishoudens!P8</f>
        <v>572</v>
      </c>
      <c r="R11" s="693">
        <f>SUM(C11:Q11)</f>
        <v>193444.95308956972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54165.55</v>
      </c>
      <c r="D13" s="690">
        <f>industrie!C18</f>
        <v>0</v>
      </c>
      <c r="E13" s="690">
        <f>industrie!D18</f>
        <v>80922.876782000007</v>
      </c>
      <c r="F13" s="690">
        <f>industrie!E18</f>
        <v>5822.7927852228349</v>
      </c>
      <c r="G13" s="690">
        <f>industrie!F18</f>
        <v>30069.66023401526</v>
      </c>
      <c r="H13" s="690">
        <f>industrie!G18</f>
        <v>0</v>
      </c>
      <c r="I13" s="690">
        <f>industrie!H18</f>
        <v>0</v>
      </c>
      <c r="J13" s="690">
        <f>industrie!I18</f>
        <v>0</v>
      </c>
      <c r="K13" s="690">
        <f>industrie!J18</f>
        <v>41.964375935094367</v>
      </c>
      <c r="L13" s="690">
        <f>industrie!K18</f>
        <v>0</v>
      </c>
      <c r="M13" s="690">
        <f>industrie!L18</f>
        <v>0</v>
      </c>
      <c r="N13" s="690">
        <f>industrie!M18</f>
        <v>0</v>
      </c>
      <c r="O13" s="690">
        <f>industrie!N18</f>
        <v>8642.0071632470754</v>
      </c>
      <c r="P13" s="690">
        <f>industrie!O18</f>
        <v>0</v>
      </c>
      <c r="Q13" s="691">
        <f>industrie!P18</f>
        <v>0</v>
      </c>
      <c r="R13" s="693">
        <f>SUM(C13:Q13)</f>
        <v>179664.85134042025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106926.149</v>
      </c>
      <c r="D16" s="725">
        <f t="shared" ref="D16:R16" ca="1" si="0">SUM(D9:D15)</f>
        <v>0</v>
      </c>
      <c r="E16" s="725">
        <f t="shared" ca="1" si="0"/>
        <v>148626.22827800002</v>
      </c>
      <c r="F16" s="725">
        <f t="shared" si="0"/>
        <v>13141.766921637634</v>
      </c>
      <c r="G16" s="725">
        <f t="shared" ca="1" si="0"/>
        <v>105550.49675501029</v>
      </c>
      <c r="H16" s="725">
        <f t="shared" si="0"/>
        <v>0</v>
      </c>
      <c r="I16" s="725">
        <f t="shared" si="0"/>
        <v>0</v>
      </c>
      <c r="J16" s="725">
        <f t="shared" si="0"/>
        <v>0</v>
      </c>
      <c r="K16" s="725">
        <f t="shared" si="0"/>
        <v>41.964375935094367</v>
      </c>
      <c r="L16" s="725">
        <f t="shared" si="0"/>
        <v>0</v>
      </c>
      <c r="M16" s="725">
        <f t="shared" ca="1" si="0"/>
        <v>0</v>
      </c>
      <c r="N16" s="725">
        <f t="shared" si="0"/>
        <v>0</v>
      </c>
      <c r="O16" s="725">
        <f t="shared" ca="1" si="0"/>
        <v>31260.65691194305</v>
      </c>
      <c r="P16" s="725">
        <f t="shared" si="0"/>
        <v>281.40000000000003</v>
      </c>
      <c r="Q16" s="725">
        <f t="shared" si="0"/>
        <v>667.33333333333337</v>
      </c>
      <c r="R16" s="725">
        <f t="shared" ca="1" si="0"/>
        <v>406495.99557585944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2390.5632947772119</v>
      </c>
      <c r="I19" s="690">
        <f>transport!H54</f>
        <v>0</v>
      </c>
      <c r="J19" s="690">
        <f>transport!I54</f>
        <v>0</v>
      </c>
      <c r="K19" s="690">
        <f>transport!J54</f>
        <v>0</v>
      </c>
      <c r="L19" s="690">
        <f>transport!K54</f>
        <v>0</v>
      </c>
      <c r="M19" s="690">
        <f>transport!L54</f>
        <v>0</v>
      </c>
      <c r="N19" s="690">
        <f>transport!M54</f>
        <v>106.31419683665888</v>
      </c>
      <c r="O19" s="690">
        <f>transport!N54</f>
        <v>0</v>
      </c>
      <c r="P19" s="690">
        <f>transport!O54</f>
        <v>0</v>
      </c>
      <c r="Q19" s="691">
        <f>transport!P54</f>
        <v>0</v>
      </c>
      <c r="R19" s="693">
        <f>SUM(C19:Q19)</f>
        <v>2496.8774916138709</v>
      </c>
      <c r="S19" s="67"/>
    </row>
    <row r="20" spans="1:19" s="458" customFormat="1">
      <c r="A20" s="805" t="s">
        <v>307</v>
      </c>
      <c r="B20" s="810"/>
      <c r="C20" s="690">
        <f>transport!B14</f>
        <v>7.0295747874958652</v>
      </c>
      <c r="D20" s="690">
        <f>transport!C14</f>
        <v>0</v>
      </c>
      <c r="E20" s="690">
        <f>transport!D14</f>
        <v>10.992904358358691</v>
      </c>
      <c r="F20" s="690">
        <f>transport!E14</f>
        <v>339.38723311004952</v>
      </c>
      <c r="G20" s="690">
        <f>transport!F14</f>
        <v>0</v>
      </c>
      <c r="H20" s="690">
        <f>transport!G14</f>
        <v>89130.902197546078</v>
      </c>
      <c r="I20" s="690">
        <f>transport!H14</f>
        <v>16511.718948248446</v>
      </c>
      <c r="J20" s="690">
        <f>transport!I14</f>
        <v>0</v>
      </c>
      <c r="K20" s="690">
        <f>transport!J14</f>
        <v>0</v>
      </c>
      <c r="L20" s="690">
        <f>transport!K14</f>
        <v>0</v>
      </c>
      <c r="M20" s="690">
        <f>transport!L14</f>
        <v>0</v>
      </c>
      <c r="N20" s="690">
        <f>transport!M14</f>
        <v>4775.9615794749234</v>
      </c>
      <c r="O20" s="690">
        <f>transport!N14</f>
        <v>0</v>
      </c>
      <c r="P20" s="690">
        <f>transport!O14</f>
        <v>0</v>
      </c>
      <c r="Q20" s="691">
        <f>transport!P14</f>
        <v>0</v>
      </c>
      <c r="R20" s="693">
        <f>SUM(C20:Q20)</f>
        <v>110775.99243752535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7.0295747874958652</v>
      </c>
      <c r="D22" s="808">
        <f t="shared" ref="D22:R22" si="1">SUM(D18:D21)</f>
        <v>0</v>
      </c>
      <c r="E22" s="808">
        <f t="shared" si="1"/>
        <v>10.992904358358691</v>
      </c>
      <c r="F22" s="808">
        <f t="shared" si="1"/>
        <v>339.38723311004952</v>
      </c>
      <c r="G22" s="808">
        <f t="shared" si="1"/>
        <v>0</v>
      </c>
      <c r="H22" s="808">
        <f t="shared" si="1"/>
        <v>91521.465492323288</v>
      </c>
      <c r="I22" s="808">
        <f t="shared" si="1"/>
        <v>16511.718948248446</v>
      </c>
      <c r="J22" s="808">
        <f t="shared" si="1"/>
        <v>0</v>
      </c>
      <c r="K22" s="808">
        <f t="shared" si="1"/>
        <v>0</v>
      </c>
      <c r="L22" s="808">
        <f t="shared" si="1"/>
        <v>0</v>
      </c>
      <c r="M22" s="808">
        <f t="shared" si="1"/>
        <v>0</v>
      </c>
      <c r="N22" s="808">
        <f t="shared" si="1"/>
        <v>4882.2757763115824</v>
      </c>
      <c r="O22" s="808">
        <f t="shared" si="1"/>
        <v>0</v>
      </c>
      <c r="P22" s="808">
        <f t="shared" si="1"/>
        <v>0</v>
      </c>
      <c r="Q22" s="808">
        <f t="shared" si="1"/>
        <v>0</v>
      </c>
      <c r="R22" s="808">
        <f t="shared" si="1"/>
        <v>113272.86992913921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816.88599999999997</v>
      </c>
      <c r="D24" s="690">
        <f>+landbouw!C8</f>
        <v>0</v>
      </c>
      <c r="E24" s="690">
        <f>+landbouw!D8</f>
        <v>551.14454999999998</v>
      </c>
      <c r="F24" s="690">
        <f>+landbouw!E8</f>
        <v>10.29381596313508</v>
      </c>
      <c r="G24" s="690">
        <f>+landbouw!F8</f>
        <v>2818.4613421708714</v>
      </c>
      <c r="H24" s="690">
        <f>+landbouw!G8</f>
        <v>0</v>
      </c>
      <c r="I24" s="690">
        <f>+landbouw!H8</f>
        <v>0</v>
      </c>
      <c r="J24" s="690">
        <f>+landbouw!I8</f>
        <v>0</v>
      </c>
      <c r="K24" s="690">
        <f>+landbouw!J8</f>
        <v>122.85036836768658</v>
      </c>
      <c r="L24" s="690">
        <f>+landbouw!K8</f>
        <v>0</v>
      </c>
      <c r="M24" s="690">
        <f>+landbouw!L8</f>
        <v>0</v>
      </c>
      <c r="N24" s="690">
        <f>+landbouw!M8</f>
        <v>0</v>
      </c>
      <c r="O24" s="690">
        <f>+landbouw!N8</f>
        <v>0</v>
      </c>
      <c r="P24" s="690">
        <f>+landbouw!O8</f>
        <v>0</v>
      </c>
      <c r="Q24" s="691">
        <f>+landbouw!P8</f>
        <v>0</v>
      </c>
      <c r="R24" s="693">
        <f>SUM(C24:Q24)</f>
        <v>4319.6360765016925</v>
      </c>
      <c r="S24" s="67"/>
    </row>
    <row r="25" spans="1:19" s="458" customFormat="1" ht="15" thickBot="1">
      <c r="A25" s="827" t="s">
        <v>872</v>
      </c>
      <c r="B25" s="1004"/>
      <c r="C25" s="1005">
        <f>IF(Onbekend_ele_kWh="---",0,Onbekend_ele_kWh)/1000+IF(REST_rest_ele_kWh="---",0,REST_rest_ele_kWh)/1000</f>
        <v>916.76900000000001</v>
      </c>
      <c r="D25" s="1005"/>
      <c r="E25" s="1005">
        <f>IF(onbekend_gas_kWh="---",0,onbekend_gas_kWh)/1000+IF(REST_rest_gas_kWh="---",0,REST_rest_gas_kWh)/1000</f>
        <v>10918.644</v>
      </c>
      <c r="F25" s="1005"/>
      <c r="G25" s="1005"/>
      <c r="H25" s="1005"/>
      <c r="I25" s="1005"/>
      <c r="J25" s="1005"/>
      <c r="K25" s="1005"/>
      <c r="L25" s="1005"/>
      <c r="M25" s="1005"/>
      <c r="N25" s="1005"/>
      <c r="O25" s="1005"/>
      <c r="P25" s="1005"/>
      <c r="Q25" s="1006"/>
      <c r="R25" s="693">
        <f>SUM(C25:Q25)</f>
        <v>11835.413</v>
      </c>
      <c r="S25" s="67"/>
    </row>
    <row r="26" spans="1:19" s="458" customFormat="1" ht="15.75" thickBot="1">
      <c r="A26" s="698" t="s">
        <v>873</v>
      </c>
      <c r="B26" s="813"/>
      <c r="C26" s="808">
        <f>SUM(C24:C25)</f>
        <v>1733.655</v>
      </c>
      <c r="D26" s="808">
        <f t="shared" ref="D26:R26" si="2">SUM(D24:D25)</f>
        <v>0</v>
      </c>
      <c r="E26" s="808">
        <f t="shared" si="2"/>
        <v>11469.788550000001</v>
      </c>
      <c r="F26" s="808">
        <f t="shared" si="2"/>
        <v>10.29381596313508</v>
      </c>
      <c r="G26" s="808">
        <f t="shared" si="2"/>
        <v>2818.4613421708714</v>
      </c>
      <c r="H26" s="808">
        <f t="shared" si="2"/>
        <v>0</v>
      </c>
      <c r="I26" s="808">
        <f t="shared" si="2"/>
        <v>0</v>
      </c>
      <c r="J26" s="808">
        <f t="shared" si="2"/>
        <v>0</v>
      </c>
      <c r="K26" s="808">
        <f t="shared" si="2"/>
        <v>122.85036836768658</v>
      </c>
      <c r="L26" s="808">
        <f t="shared" si="2"/>
        <v>0</v>
      </c>
      <c r="M26" s="808">
        <f t="shared" si="2"/>
        <v>0</v>
      </c>
      <c r="N26" s="808">
        <f t="shared" si="2"/>
        <v>0</v>
      </c>
      <c r="O26" s="808">
        <f t="shared" si="2"/>
        <v>0</v>
      </c>
      <c r="P26" s="808">
        <f t="shared" si="2"/>
        <v>0</v>
      </c>
      <c r="Q26" s="808">
        <f t="shared" si="2"/>
        <v>0</v>
      </c>
      <c r="R26" s="808">
        <f t="shared" si="2"/>
        <v>16155.049076501693</v>
      </c>
      <c r="S26" s="67"/>
    </row>
    <row r="27" spans="1:19" s="458" customFormat="1" ht="17.25" thickTop="1" thickBot="1">
      <c r="A27" s="699" t="s">
        <v>116</v>
      </c>
      <c r="B27" s="800"/>
      <c r="C27" s="700">
        <f ca="1">C22+C16+C26</f>
        <v>108666.8335747875</v>
      </c>
      <c r="D27" s="700">
        <f t="shared" ref="D27:R27" ca="1" si="3">D22+D16+D26</f>
        <v>0</v>
      </c>
      <c r="E27" s="700">
        <f t="shared" ca="1" si="3"/>
        <v>160107.00973235839</v>
      </c>
      <c r="F27" s="700">
        <f t="shared" si="3"/>
        <v>13491.44797071082</v>
      </c>
      <c r="G27" s="700">
        <f t="shared" ca="1" si="3"/>
        <v>108368.95809718117</v>
      </c>
      <c r="H27" s="700">
        <f t="shared" si="3"/>
        <v>91521.465492323288</v>
      </c>
      <c r="I27" s="700">
        <f t="shared" si="3"/>
        <v>16511.718948248446</v>
      </c>
      <c r="J27" s="700">
        <f t="shared" si="3"/>
        <v>0</v>
      </c>
      <c r="K27" s="700">
        <f t="shared" si="3"/>
        <v>164.81474430278095</v>
      </c>
      <c r="L27" s="700">
        <f t="shared" si="3"/>
        <v>0</v>
      </c>
      <c r="M27" s="700">
        <f t="shared" ca="1" si="3"/>
        <v>0</v>
      </c>
      <c r="N27" s="700">
        <f t="shared" si="3"/>
        <v>4882.2757763115824</v>
      </c>
      <c r="O27" s="700">
        <f t="shared" ca="1" si="3"/>
        <v>31260.65691194305</v>
      </c>
      <c r="P27" s="700">
        <f t="shared" si="3"/>
        <v>281.40000000000003</v>
      </c>
      <c r="Q27" s="700">
        <f t="shared" si="3"/>
        <v>667.33333333333337</v>
      </c>
      <c r="R27" s="700">
        <f t="shared" ca="1" si="3"/>
        <v>535923.91458150034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3168.0707556871794</v>
      </c>
      <c r="D40" s="690">
        <f ca="1">tertiair!C20</f>
        <v>0</v>
      </c>
      <c r="E40" s="690">
        <f ca="1">tertiair!D20</f>
        <v>2125.8471318040006</v>
      </c>
      <c r="F40" s="690">
        <f>tertiair!E20</f>
        <v>51.782136369177621</v>
      </c>
      <c r="G40" s="690">
        <f ca="1">tertiair!F20</f>
        <v>894.45354651692242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6240.1535703772788</v>
      </c>
    </row>
    <row r="41" spans="1:18">
      <c r="A41" s="818" t="s">
        <v>225</v>
      </c>
      <c r="B41" s="825"/>
      <c r="C41" s="690">
        <f ca="1">huishoudens!B12</f>
        <v>6710.9315492911564</v>
      </c>
      <c r="D41" s="690">
        <f ca="1">huishoudens!C12</f>
        <v>0</v>
      </c>
      <c r="E41" s="690">
        <f>huishoudens!D12</f>
        <v>11550.229870388001</v>
      </c>
      <c r="F41" s="690">
        <f>huishoudens!E12</f>
        <v>1609.6249925969821</v>
      </c>
      <c r="G41" s="690">
        <f>huishoudens!F12</f>
        <v>19258.929804588752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39129.716216864894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10142.068199423198</v>
      </c>
      <c r="D43" s="690">
        <f ca="1">industrie!C22</f>
        <v>0</v>
      </c>
      <c r="E43" s="690">
        <f>industrie!D22</f>
        <v>16346.421109964002</v>
      </c>
      <c r="F43" s="690">
        <f>industrie!E22</f>
        <v>1321.7739622455836</v>
      </c>
      <c r="G43" s="690">
        <f>industrie!F22</f>
        <v>8028.5992824820751</v>
      </c>
      <c r="H43" s="690">
        <f>industrie!G22</f>
        <v>0</v>
      </c>
      <c r="I43" s="690">
        <f>industrie!H22</f>
        <v>0</v>
      </c>
      <c r="J43" s="690">
        <f>industrie!I22</f>
        <v>0</v>
      </c>
      <c r="K43" s="690">
        <f>industrie!J22</f>
        <v>14.855389081023405</v>
      </c>
      <c r="L43" s="690">
        <f>industrie!K22</f>
        <v>0</v>
      </c>
      <c r="M43" s="690">
        <f>industrie!L22</f>
        <v>0</v>
      </c>
      <c r="N43" s="690">
        <f>industrie!M22</f>
        <v>0</v>
      </c>
      <c r="O43" s="690">
        <f>industrie!N22</f>
        <v>0</v>
      </c>
      <c r="P43" s="690">
        <f>industrie!O22</f>
        <v>0</v>
      </c>
      <c r="Q43" s="767">
        <f>industrie!P22</f>
        <v>0</v>
      </c>
      <c r="R43" s="845">
        <f t="shared" ca="1" si="4"/>
        <v>35853.717943195887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20021.070504401534</v>
      </c>
      <c r="D46" s="725">
        <f t="shared" ref="D46:Q46" ca="1" si="5">SUM(D39:D45)</f>
        <v>0</v>
      </c>
      <c r="E46" s="725">
        <f t="shared" ca="1" si="5"/>
        <v>30022.498112156005</v>
      </c>
      <c r="F46" s="725">
        <f t="shared" si="5"/>
        <v>2983.1810912117435</v>
      </c>
      <c r="G46" s="725">
        <f t="shared" ca="1" si="5"/>
        <v>28181.982633587748</v>
      </c>
      <c r="H46" s="725">
        <f t="shared" si="5"/>
        <v>0</v>
      </c>
      <c r="I46" s="725">
        <f t="shared" si="5"/>
        <v>0</v>
      </c>
      <c r="J46" s="725">
        <f t="shared" si="5"/>
        <v>0</v>
      </c>
      <c r="K46" s="725">
        <f t="shared" si="5"/>
        <v>14.855389081023405</v>
      </c>
      <c r="L46" s="725">
        <f t="shared" si="5"/>
        <v>0</v>
      </c>
      <c r="M46" s="725">
        <f t="shared" ca="1" si="5"/>
        <v>0</v>
      </c>
      <c r="N46" s="725">
        <f t="shared" si="5"/>
        <v>0</v>
      </c>
      <c r="O46" s="725">
        <f t="shared" ca="1" si="5"/>
        <v>0</v>
      </c>
      <c r="P46" s="725">
        <f t="shared" si="5"/>
        <v>0</v>
      </c>
      <c r="Q46" s="725">
        <f t="shared" si="5"/>
        <v>0</v>
      </c>
      <c r="R46" s="725">
        <f ca="1">SUM(R39:R45)</f>
        <v>81223.58773043807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638.28039970551561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638.28039970551561</v>
      </c>
    </row>
    <row r="50" spans="1:18">
      <c r="A50" s="821" t="s">
        <v>307</v>
      </c>
      <c r="B50" s="831"/>
      <c r="C50" s="696">
        <f ca="1">transport!B18</f>
        <v>1.3162319390780466</v>
      </c>
      <c r="D50" s="696">
        <f>transport!C18</f>
        <v>0</v>
      </c>
      <c r="E50" s="696">
        <f>transport!D18</f>
        <v>2.2205666803884556</v>
      </c>
      <c r="F50" s="696">
        <f>transport!E18</f>
        <v>77.040901915981237</v>
      </c>
      <c r="G50" s="696">
        <f>transport!F18</f>
        <v>0</v>
      </c>
      <c r="H50" s="696">
        <f>transport!G18</f>
        <v>23797.950886744806</v>
      </c>
      <c r="I50" s="696">
        <f>transport!H18</f>
        <v>4111.4180181138636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27989.946605394114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1.3162319390780466</v>
      </c>
      <c r="D52" s="725">
        <f t="shared" ref="D52:Q52" ca="1" si="6">SUM(D48:D51)</f>
        <v>0</v>
      </c>
      <c r="E52" s="725">
        <f t="shared" si="6"/>
        <v>2.2205666803884556</v>
      </c>
      <c r="F52" s="725">
        <f t="shared" si="6"/>
        <v>77.040901915981237</v>
      </c>
      <c r="G52" s="725">
        <f t="shared" si="6"/>
        <v>0</v>
      </c>
      <c r="H52" s="725">
        <f t="shared" si="6"/>
        <v>24436.231286450322</v>
      </c>
      <c r="I52" s="725">
        <f t="shared" si="6"/>
        <v>4111.4180181138636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28628.22700509963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152.95540289268763</v>
      </c>
      <c r="D54" s="696">
        <f ca="1">+landbouw!C12</f>
        <v>0</v>
      </c>
      <c r="E54" s="696">
        <f>+landbouw!D12</f>
        <v>111.33119910000001</v>
      </c>
      <c r="F54" s="696">
        <f>+landbouw!E12</f>
        <v>2.3366962236316633</v>
      </c>
      <c r="G54" s="696">
        <f>+landbouw!F12</f>
        <v>752.52917835962273</v>
      </c>
      <c r="H54" s="696">
        <f>+landbouw!G12</f>
        <v>0</v>
      </c>
      <c r="I54" s="696">
        <f>+landbouw!H12</f>
        <v>0</v>
      </c>
      <c r="J54" s="696">
        <f>+landbouw!I12</f>
        <v>0</v>
      </c>
      <c r="K54" s="696">
        <f>+landbouw!J12</f>
        <v>43.489030402161049</v>
      </c>
      <c r="L54" s="696">
        <f>+landbouw!K12</f>
        <v>0</v>
      </c>
      <c r="M54" s="696">
        <f>+landbouw!L12</f>
        <v>0</v>
      </c>
      <c r="N54" s="696">
        <f>+landbouw!M12</f>
        <v>0</v>
      </c>
      <c r="O54" s="696">
        <f>+landbouw!N12</f>
        <v>0</v>
      </c>
      <c r="P54" s="696">
        <f>+landbouw!O12</f>
        <v>0</v>
      </c>
      <c r="Q54" s="697">
        <f>+landbouw!P12</f>
        <v>0</v>
      </c>
      <c r="R54" s="724">
        <f ca="1">SUM(C54:Q54)</f>
        <v>1062.6415069781031</v>
      </c>
    </row>
    <row r="55" spans="1:18" ht="15" thickBot="1">
      <c r="A55" s="821" t="s">
        <v>872</v>
      </c>
      <c r="B55" s="831"/>
      <c r="C55" s="696">
        <f ca="1">C25*'EF ele_warmte'!B12</f>
        <v>171.65769979474047</v>
      </c>
      <c r="D55" s="696"/>
      <c r="E55" s="696">
        <f>E25*EF_CO2_aardgas</f>
        <v>2205.566088</v>
      </c>
      <c r="F55" s="696"/>
      <c r="G55" s="696"/>
      <c r="H55" s="696"/>
      <c r="I55" s="696"/>
      <c r="J55" s="696"/>
      <c r="K55" s="696"/>
      <c r="L55" s="696"/>
      <c r="M55" s="696"/>
      <c r="N55" s="696"/>
      <c r="O55" s="696"/>
      <c r="P55" s="696"/>
      <c r="Q55" s="697"/>
      <c r="R55" s="724">
        <f ca="1">SUM(C55:Q55)</f>
        <v>2377.2237877947405</v>
      </c>
    </row>
    <row r="56" spans="1:18" ht="15.75" thickBot="1">
      <c r="A56" s="819" t="s">
        <v>873</v>
      </c>
      <c r="B56" s="832"/>
      <c r="C56" s="725">
        <f ca="1">SUM(C54:C55)</f>
        <v>324.61310268742807</v>
      </c>
      <c r="D56" s="725">
        <f t="shared" ref="D56:Q56" ca="1" si="7">SUM(D54:D55)</f>
        <v>0</v>
      </c>
      <c r="E56" s="725">
        <f t="shared" si="7"/>
        <v>2316.8972871000001</v>
      </c>
      <c r="F56" s="725">
        <f t="shared" si="7"/>
        <v>2.3366962236316633</v>
      </c>
      <c r="G56" s="725">
        <f t="shared" si="7"/>
        <v>752.52917835962273</v>
      </c>
      <c r="H56" s="725">
        <f t="shared" si="7"/>
        <v>0</v>
      </c>
      <c r="I56" s="725">
        <f t="shared" si="7"/>
        <v>0</v>
      </c>
      <c r="J56" s="725">
        <f t="shared" si="7"/>
        <v>0</v>
      </c>
      <c r="K56" s="725">
        <f t="shared" si="7"/>
        <v>43.489030402161049</v>
      </c>
      <c r="L56" s="725">
        <f t="shared" si="7"/>
        <v>0</v>
      </c>
      <c r="M56" s="725">
        <f t="shared" si="7"/>
        <v>0</v>
      </c>
      <c r="N56" s="725">
        <f t="shared" si="7"/>
        <v>0</v>
      </c>
      <c r="O56" s="725">
        <f t="shared" si="7"/>
        <v>0</v>
      </c>
      <c r="P56" s="725">
        <f t="shared" si="7"/>
        <v>0</v>
      </c>
      <c r="Q56" s="726">
        <f t="shared" si="7"/>
        <v>0</v>
      </c>
      <c r="R56" s="727">
        <f ca="1">SUM(R54:R55)</f>
        <v>3439.8652947728433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20346.999839028042</v>
      </c>
      <c r="D61" s="733">
        <f t="shared" ref="D61:Q61" ca="1" si="8">D46+D52+D56</f>
        <v>0</v>
      </c>
      <c r="E61" s="733">
        <f t="shared" ca="1" si="8"/>
        <v>32341.615965936395</v>
      </c>
      <c r="F61" s="733">
        <f t="shared" si="8"/>
        <v>3062.5586893513564</v>
      </c>
      <c r="G61" s="733">
        <f t="shared" ca="1" si="8"/>
        <v>28934.51181194737</v>
      </c>
      <c r="H61" s="733">
        <f t="shared" si="8"/>
        <v>24436.231286450322</v>
      </c>
      <c r="I61" s="733">
        <f t="shared" si="8"/>
        <v>4111.4180181138636</v>
      </c>
      <c r="J61" s="733">
        <f t="shared" si="8"/>
        <v>0</v>
      </c>
      <c r="K61" s="733">
        <f t="shared" si="8"/>
        <v>58.344419483184453</v>
      </c>
      <c r="L61" s="733">
        <f t="shared" si="8"/>
        <v>0</v>
      </c>
      <c r="M61" s="733">
        <f t="shared" ca="1" si="8"/>
        <v>0</v>
      </c>
      <c r="N61" s="733">
        <f t="shared" si="8"/>
        <v>0</v>
      </c>
      <c r="O61" s="733">
        <f t="shared" ca="1" si="8"/>
        <v>0</v>
      </c>
      <c r="P61" s="733">
        <f t="shared" si="8"/>
        <v>0</v>
      </c>
      <c r="Q61" s="733">
        <f t="shared" si="8"/>
        <v>0</v>
      </c>
      <c r="R61" s="733">
        <f ca="1">R46+R52+R56</f>
        <v>113291.68003031054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0.18724204220991383</v>
      </c>
      <c r="D63" s="776">
        <f t="shared" ca="1" si="9"/>
        <v>0</v>
      </c>
      <c r="E63" s="1011">
        <f t="shared" ca="1" si="9"/>
        <v>0.20200000000000001</v>
      </c>
      <c r="F63" s="776">
        <f t="shared" si="9"/>
        <v>0.22700000000000001</v>
      </c>
      <c r="G63" s="776">
        <f t="shared" ca="1" si="9"/>
        <v>0.26699999999999996</v>
      </c>
      <c r="H63" s="776">
        <f t="shared" si="9"/>
        <v>0.26700000000000007</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16598.960999999999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16598.960999999999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35840.943999999996</v>
      </c>
      <c r="C4" s="462">
        <f>huishoudens!C8</f>
        <v>0</v>
      </c>
      <c r="D4" s="462">
        <f>huishoudens!D8</f>
        <v>57179.355794000003</v>
      </c>
      <c r="E4" s="462">
        <f>huishoudens!E8</f>
        <v>7090.8589982245903</v>
      </c>
      <c r="F4" s="462">
        <f>huishoudens!F8</f>
        <v>72130.823238160112</v>
      </c>
      <c r="G4" s="462">
        <f>huishoudens!G8</f>
        <v>0</v>
      </c>
      <c r="H4" s="462">
        <f>huishoudens!H8</f>
        <v>0</v>
      </c>
      <c r="I4" s="462">
        <f>huishoudens!I8</f>
        <v>0</v>
      </c>
      <c r="J4" s="462">
        <f>huishoudens!J8</f>
        <v>0</v>
      </c>
      <c r="K4" s="462">
        <f>huishoudens!K8</f>
        <v>0</v>
      </c>
      <c r="L4" s="462">
        <f>huishoudens!L8</f>
        <v>0</v>
      </c>
      <c r="M4" s="462">
        <f>huishoudens!M8</f>
        <v>0</v>
      </c>
      <c r="N4" s="462">
        <f>huishoudens!N8</f>
        <v>20352.697725851667</v>
      </c>
      <c r="O4" s="462">
        <f>huishoudens!O8</f>
        <v>278.27333333333337</v>
      </c>
      <c r="P4" s="463">
        <f>huishoudens!P8</f>
        <v>572</v>
      </c>
      <c r="Q4" s="464">
        <f>SUM(B4:P4)</f>
        <v>193444.95308956972</v>
      </c>
    </row>
    <row r="5" spans="1:17">
      <c r="A5" s="461" t="s">
        <v>156</v>
      </c>
      <c r="B5" s="462">
        <f ca="1">tertiair!B16</f>
        <v>15864.555</v>
      </c>
      <c r="C5" s="462">
        <f ca="1">tertiair!C16</f>
        <v>0</v>
      </c>
      <c r="D5" s="462">
        <f ca="1">tertiair!D16</f>
        <v>10523.995702000002</v>
      </c>
      <c r="E5" s="462">
        <f>tertiair!E16</f>
        <v>228.11513819020976</v>
      </c>
      <c r="F5" s="462">
        <f ca="1">tertiair!F16</f>
        <v>3350.0132828349151</v>
      </c>
      <c r="G5" s="462">
        <f>tertiair!G16</f>
        <v>0</v>
      </c>
      <c r="H5" s="462">
        <f>tertiair!H16</f>
        <v>0</v>
      </c>
      <c r="I5" s="462">
        <f>tertiair!I16</f>
        <v>0</v>
      </c>
      <c r="J5" s="462">
        <f>tertiair!J16</f>
        <v>0</v>
      </c>
      <c r="K5" s="462">
        <f>tertiair!K16</f>
        <v>0</v>
      </c>
      <c r="L5" s="462">
        <f ca="1">tertiair!L16</f>
        <v>0</v>
      </c>
      <c r="M5" s="462">
        <f>tertiair!M16</f>
        <v>0</v>
      </c>
      <c r="N5" s="462">
        <f ca="1">tertiair!N16</f>
        <v>2265.952022844308</v>
      </c>
      <c r="O5" s="462">
        <f>tertiair!O16</f>
        <v>3.1266666666666669</v>
      </c>
      <c r="P5" s="463">
        <f>tertiair!P16</f>
        <v>95.333333333333343</v>
      </c>
      <c r="Q5" s="461">
        <f t="shared" ref="Q5:Q14" ca="1" si="0">SUM(B5:P5)</f>
        <v>32331.091145869432</v>
      </c>
    </row>
    <row r="6" spans="1:17">
      <c r="A6" s="461" t="s">
        <v>194</v>
      </c>
      <c r="B6" s="462">
        <f>'openbare verlichting'!B8</f>
        <v>1055.0999999999999</v>
      </c>
      <c r="C6" s="462"/>
      <c r="D6" s="462"/>
      <c r="E6" s="462"/>
      <c r="F6" s="462"/>
      <c r="G6" s="462"/>
      <c r="H6" s="462"/>
      <c r="I6" s="462"/>
      <c r="J6" s="462"/>
      <c r="K6" s="462"/>
      <c r="L6" s="462"/>
      <c r="M6" s="462"/>
      <c r="N6" s="462"/>
      <c r="O6" s="462"/>
      <c r="P6" s="463"/>
      <c r="Q6" s="461">
        <f t="shared" si="0"/>
        <v>1055.0999999999999</v>
      </c>
    </row>
    <row r="7" spans="1:17">
      <c r="A7" s="461" t="s">
        <v>112</v>
      </c>
      <c r="B7" s="462">
        <f>landbouw!B8</f>
        <v>816.88599999999997</v>
      </c>
      <c r="C7" s="462">
        <f>landbouw!C8</f>
        <v>0</v>
      </c>
      <c r="D7" s="462">
        <f>landbouw!D8</f>
        <v>551.14454999999998</v>
      </c>
      <c r="E7" s="462">
        <f>landbouw!E8</f>
        <v>10.29381596313508</v>
      </c>
      <c r="F7" s="462">
        <f>landbouw!F8</f>
        <v>2818.4613421708714</v>
      </c>
      <c r="G7" s="462">
        <f>landbouw!G8</f>
        <v>0</v>
      </c>
      <c r="H7" s="462">
        <f>landbouw!H8</f>
        <v>0</v>
      </c>
      <c r="I7" s="462">
        <f>landbouw!I8</f>
        <v>0</v>
      </c>
      <c r="J7" s="462">
        <f>landbouw!J8</f>
        <v>122.85036836768658</v>
      </c>
      <c r="K7" s="462">
        <f>landbouw!K8</f>
        <v>0</v>
      </c>
      <c r="L7" s="462">
        <f>landbouw!L8</f>
        <v>0</v>
      </c>
      <c r="M7" s="462">
        <f>landbouw!M8</f>
        <v>0</v>
      </c>
      <c r="N7" s="462">
        <f>landbouw!N8</f>
        <v>0</v>
      </c>
      <c r="O7" s="462">
        <f>landbouw!O8</f>
        <v>0</v>
      </c>
      <c r="P7" s="463">
        <f>landbouw!P8</f>
        <v>0</v>
      </c>
      <c r="Q7" s="461">
        <f t="shared" si="0"/>
        <v>4319.6360765016925</v>
      </c>
    </row>
    <row r="8" spans="1:17">
      <c r="A8" s="461" t="s">
        <v>657</v>
      </c>
      <c r="B8" s="462">
        <f>industrie!B18</f>
        <v>54165.55</v>
      </c>
      <c r="C8" s="462">
        <f>industrie!C18</f>
        <v>0</v>
      </c>
      <c r="D8" s="462">
        <f>industrie!D18</f>
        <v>80922.876782000007</v>
      </c>
      <c r="E8" s="462">
        <f>industrie!E18</f>
        <v>5822.7927852228349</v>
      </c>
      <c r="F8" s="462">
        <f>industrie!F18</f>
        <v>30069.66023401526</v>
      </c>
      <c r="G8" s="462">
        <f>industrie!G18</f>
        <v>0</v>
      </c>
      <c r="H8" s="462">
        <f>industrie!H18</f>
        <v>0</v>
      </c>
      <c r="I8" s="462">
        <f>industrie!I18</f>
        <v>0</v>
      </c>
      <c r="J8" s="462">
        <f>industrie!J18</f>
        <v>41.964375935094367</v>
      </c>
      <c r="K8" s="462">
        <f>industrie!K18</f>
        <v>0</v>
      </c>
      <c r="L8" s="462">
        <f>industrie!L18</f>
        <v>0</v>
      </c>
      <c r="M8" s="462">
        <f>industrie!M18</f>
        <v>0</v>
      </c>
      <c r="N8" s="462">
        <f>industrie!N18</f>
        <v>8642.0071632470754</v>
      </c>
      <c r="O8" s="462">
        <f>industrie!O18</f>
        <v>0</v>
      </c>
      <c r="P8" s="463">
        <f>industrie!P18</f>
        <v>0</v>
      </c>
      <c r="Q8" s="461">
        <f t="shared" si="0"/>
        <v>179664.85134042025</v>
      </c>
    </row>
    <row r="9" spans="1:17" s="467" customFormat="1">
      <c r="A9" s="465" t="s">
        <v>574</v>
      </c>
      <c r="B9" s="466">
        <f>transport!B14</f>
        <v>7.0295747874958652</v>
      </c>
      <c r="C9" s="466">
        <f>transport!C14</f>
        <v>0</v>
      </c>
      <c r="D9" s="466">
        <f>transport!D14</f>
        <v>10.992904358358691</v>
      </c>
      <c r="E9" s="466">
        <f>transport!E14</f>
        <v>339.38723311004952</v>
      </c>
      <c r="F9" s="466">
        <f>transport!F14</f>
        <v>0</v>
      </c>
      <c r="G9" s="466">
        <f>transport!G14</f>
        <v>89130.902197546078</v>
      </c>
      <c r="H9" s="466">
        <f>transport!H14</f>
        <v>16511.718948248446</v>
      </c>
      <c r="I9" s="466">
        <f>transport!I14</f>
        <v>0</v>
      </c>
      <c r="J9" s="466">
        <f>transport!J14</f>
        <v>0</v>
      </c>
      <c r="K9" s="466">
        <f>transport!K14</f>
        <v>0</v>
      </c>
      <c r="L9" s="466">
        <f>transport!L14</f>
        <v>0</v>
      </c>
      <c r="M9" s="466">
        <f>transport!M14</f>
        <v>4775.9615794749234</v>
      </c>
      <c r="N9" s="466">
        <f>transport!N14</f>
        <v>0</v>
      </c>
      <c r="O9" s="466">
        <f>transport!O14</f>
        <v>0</v>
      </c>
      <c r="P9" s="466">
        <f>transport!P14</f>
        <v>0</v>
      </c>
      <c r="Q9" s="465">
        <f>SUM(B9:P9)</f>
        <v>110775.99243752535</v>
      </c>
    </row>
    <row r="10" spans="1:17">
      <c r="A10" s="461" t="s">
        <v>564</v>
      </c>
      <c r="B10" s="462">
        <f>transport!B54</f>
        <v>0</v>
      </c>
      <c r="C10" s="462">
        <f>transport!C54</f>
        <v>0</v>
      </c>
      <c r="D10" s="462">
        <f>transport!D54</f>
        <v>0</v>
      </c>
      <c r="E10" s="462">
        <f>transport!E54</f>
        <v>0</v>
      </c>
      <c r="F10" s="462">
        <f>transport!F54</f>
        <v>0</v>
      </c>
      <c r="G10" s="462">
        <f>transport!G54</f>
        <v>2390.5632947772119</v>
      </c>
      <c r="H10" s="462">
        <f>transport!H54</f>
        <v>0</v>
      </c>
      <c r="I10" s="462">
        <f>transport!I54</f>
        <v>0</v>
      </c>
      <c r="J10" s="462">
        <f>transport!J54</f>
        <v>0</v>
      </c>
      <c r="K10" s="462">
        <f>transport!K54</f>
        <v>0</v>
      </c>
      <c r="L10" s="462">
        <f>transport!L54</f>
        <v>0</v>
      </c>
      <c r="M10" s="462">
        <f>transport!M54</f>
        <v>106.31419683665888</v>
      </c>
      <c r="N10" s="462">
        <f>transport!N54</f>
        <v>0</v>
      </c>
      <c r="O10" s="462">
        <f>transport!O54</f>
        <v>0</v>
      </c>
      <c r="P10" s="463">
        <f>transport!P54</f>
        <v>0</v>
      </c>
      <c r="Q10" s="461">
        <f t="shared" si="0"/>
        <v>2496.8774916138709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916.76900000000001</v>
      </c>
      <c r="C14" s="469"/>
      <c r="D14" s="469">
        <f>'SEAP template'!E25</f>
        <v>10918.644</v>
      </c>
      <c r="E14" s="469"/>
      <c r="F14" s="469"/>
      <c r="G14" s="469"/>
      <c r="H14" s="469"/>
      <c r="I14" s="469"/>
      <c r="J14" s="469"/>
      <c r="K14" s="469"/>
      <c r="L14" s="469"/>
      <c r="M14" s="469"/>
      <c r="N14" s="469"/>
      <c r="O14" s="469"/>
      <c r="P14" s="470"/>
      <c r="Q14" s="461">
        <f t="shared" si="0"/>
        <v>11835.413</v>
      </c>
    </row>
    <row r="15" spans="1:17" s="474" customFormat="1">
      <c r="A15" s="471" t="s">
        <v>568</v>
      </c>
      <c r="B15" s="472">
        <f ca="1">SUM(B4:B14)</f>
        <v>108666.8335747875</v>
      </c>
      <c r="C15" s="472">
        <f t="shared" ref="C15:Q15" ca="1" si="1">SUM(C4:C14)</f>
        <v>0</v>
      </c>
      <c r="D15" s="472">
        <f t="shared" ca="1" si="1"/>
        <v>160107.00973235836</v>
      </c>
      <c r="E15" s="472">
        <f t="shared" si="1"/>
        <v>13491.44797071082</v>
      </c>
      <c r="F15" s="472">
        <f t="shared" ca="1" si="1"/>
        <v>108368.95809718117</v>
      </c>
      <c r="G15" s="472">
        <f t="shared" si="1"/>
        <v>91521.465492323288</v>
      </c>
      <c r="H15" s="472">
        <f t="shared" si="1"/>
        <v>16511.718948248446</v>
      </c>
      <c r="I15" s="472">
        <f t="shared" si="1"/>
        <v>0</v>
      </c>
      <c r="J15" s="472">
        <f t="shared" si="1"/>
        <v>164.81474430278095</v>
      </c>
      <c r="K15" s="472">
        <f t="shared" si="1"/>
        <v>0</v>
      </c>
      <c r="L15" s="472">
        <f t="shared" ca="1" si="1"/>
        <v>0</v>
      </c>
      <c r="M15" s="472">
        <f t="shared" si="1"/>
        <v>4882.2757763115824</v>
      </c>
      <c r="N15" s="472">
        <f t="shared" ca="1" si="1"/>
        <v>31260.65691194305</v>
      </c>
      <c r="O15" s="472">
        <f t="shared" si="1"/>
        <v>281.40000000000003</v>
      </c>
      <c r="P15" s="472">
        <f t="shared" si="1"/>
        <v>667.33333333333337</v>
      </c>
      <c r="Q15" s="472">
        <f t="shared" ca="1" si="1"/>
        <v>535923.91458150034</v>
      </c>
    </row>
    <row r="17" spans="1:17">
      <c r="A17" s="475" t="s">
        <v>569</v>
      </c>
      <c r="B17" s="781">
        <f ca="1">huishoudens!B10</f>
        <v>0.18724204220991381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6710.9315492911564</v>
      </c>
      <c r="C22" s="462">
        <f t="shared" ref="C22:C32" ca="1" si="3">C4*$C$17</f>
        <v>0</v>
      </c>
      <c r="D22" s="462">
        <f t="shared" ref="D22:D32" si="4">D4*$D$17</f>
        <v>11550.229870388001</v>
      </c>
      <c r="E22" s="462">
        <f t="shared" ref="E22:E32" si="5">E4*$E$17</f>
        <v>1609.6249925969821</v>
      </c>
      <c r="F22" s="462">
        <f t="shared" ref="F22:F32" si="6">F4*$F$17</f>
        <v>19258.929804588752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39129.716216864894</v>
      </c>
    </row>
    <row r="23" spans="1:17">
      <c r="A23" s="461" t="s">
        <v>156</v>
      </c>
      <c r="B23" s="462">
        <f t="shared" ca="1" si="2"/>
        <v>2970.5116769514993</v>
      </c>
      <c r="C23" s="462">
        <f t="shared" ca="1" si="3"/>
        <v>0</v>
      </c>
      <c r="D23" s="462">
        <f t="shared" ca="1" si="4"/>
        <v>2125.8471318040006</v>
      </c>
      <c r="E23" s="462">
        <f t="shared" si="5"/>
        <v>51.782136369177621</v>
      </c>
      <c r="F23" s="462">
        <f t="shared" ca="1" si="6"/>
        <v>894.45354651692242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6042.5944916415992</v>
      </c>
    </row>
    <row r="24" spans="1:17">
      <c r="A24" s="461" t="s">
        <v>194</v>
      </c>
      <c r="B24" s="462">
        <f t="shared" ca="1" si="2"/>
        <v>197.55907873568003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197.55907873568003</v>
      </c>
    </row>
    <row r="25" spans="1:17">
      <c r="A25" s="461" t="s">
        <v>112</v>
      </c>
      <c r="B25" s="462">
        <f t="shared" ca="1" si="2"/>
        <v>152.95540289268763</v>
      </c>
      <c r="C25" s="462">
        <f t="shared" ca="1" si="3"/>
        <v>0</v>
      </c>
      <c r="D25" s="462">
        <f t="shared" si="4"/>
        <v>111.33119910000001</v>
      </c>
      <c r="E25" s="462">
        <f t="shared" si="5"/>
        <v>2.3366962236316633</v>
      </c>
      <c r="F25" s="462">
        <f t="shared" si="6"/>
        <v>752.52917835962273</v>
      </c>
      <c r="G25" s="462">
        <f t="shared" si="7"/>
        <v>0</v>
      </c>
      <c r="H25" s="462">
        <f t="shared" si="8"/>
        <v>0</v>
      </c>
      <c r="I25" s="462">
        <f t="shared" si="9"/>
        <v>0</v>
      </c>
      <c r="J25" s="462">
        <f t="shared" si="10"/>
        <v>43.489030402161049</v>
      </c>
      <c r="K25" s="462">
        <f t="shared" si="11"/>
        <v>0</v>
      </c>
      <c r="L25" s="462">
        <f t="shared" si="12"/>
        <v>0</v>
      </c>
      <c r="M25" s="462">
        <f t="shared" si="13"/>
        <v>0</v>
      </c>
      <c r="N25" s="462">
        <f t="shared" si="14"/>
        <v>0</v>
      </c>
      <c r="O25" s="462">
        <f t="shared" si="15"/>
        <v>0</v>
      </c>
      <c r="P25" s="463">
        <f t="shared" si="16"/>
        <v>0</v>
      </c>
      <c r="Q25" s="461">
        <f t="shared" ca="1" si="17"/>
        <v>1062.6415069781031</v>
      </c>
    </row>
    <row r="26" spans="1:17">
      <c r="A26" s="461" t="s">
        <v>657</v>
      </c>
      <c r="B26" s="462">
        <f t="shared" ca="1" si="2"/>
        <v>10142.068199423198</v>
      </c>
      <c r="C26" s="462">
        <f t="shared" ca="1" si="3"/>
        <v>0</v>
      </c>
      <c r="D26" s="462">
        <f t="shared" si="4"/>
        <v>16346.421109964002</v>
      </c>
      <c r="E26" s="462">
        <f t="shared" si="5"/>
        <v>1321.7739622455836</v>
      </c>
      <c r="F26" s="462">
        <f t="shared" si="6"/>
        <v>8028.5992824820751</v>
      </c>
      <c r="G26" s="462">
        <f t="shared" si="7"/>
        <v>0</v>
      </c>
      <c r="H26" s="462">
        <f t="shared" si="8"/>
        <v>0</v>
      </c>
      <c r="I26" s="462">
        <f t="shared" si="9"/>
        <v>0</v>
      </c>
      <c r="J26" s="462">
        <f t="shared" si="10"/>
        <v>14.855389081023405</v>
      </c>
      <c r="K26" s="462">
        <f t="shared" si="11"/>
        <v>0</v>
      </c>
      <c r="L26" s="462">
        <f t="shared" si="12"/>
        <v>0</v>
      </c>
      <c r="M26" s="462">
        <f t="shared" si="13"/>
        <v>0</v>
      </c>
      <c r="N26" s="462">
        <f t="shared" si="14"/>
        <v>0</v>
      </c>
      <c r="O26" s="462">
        <f t="shared" si="15"/>
        <v>0</v>
      </c>
      <c r="P26" s="463">
        <f t="shared" si="16"/>
        <v>0</v>
      </c>
      <c r="Q26" s="461">
        <f t="shared" ca="1" si="17"/>
        <v>35853.717943195887</v>
      </c>
    </row>
    <row r="27" spans="1:17" s="467" customFormat="1">
      <c r="A27" s="465" t="s">
        <v>574</v>
      </c>
      <c r="B27" s="775">
        <f t="shared" ca="1" si="2"/>
        <v>1.3162319390780466</v>
      </c>
      <c r="C27" s="466">
        <f t="shared" ca="1" si="3"/>
        <v>0</v>
      </c>
      <c r="D27" s="466">
        <f t="shared" si="4"/>
        <v>2.2205666803884556</v>
      </c>
      <c r="E27" s="466">
        <f t="shared" si="5"/>
        <v>77.040901915981237</v>
      </c>
      <c r="F27" s="466">
        <f t="shared" si="6"/>
        <v>0</v>
      </c>
      <c r="G27" s="466">
        <f t="shared" si="7"/>
        <v>23797.950886744806</v>
      </c>
      <c r="H27" s="466">
        <f t="shared" si="8"/>
        <v>4111.4180181138636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27989.946605394114</v>
      </c>
    </row>
    <row r="28" spans="1:17">
      <c r="A28" s="461" t="s">
        <v>564</v>
      </c>
      <c r="B28" s="462">
        <f t="shared" ca="1" si="2"/>
        <v>0</v>
      </c>
      <c r="C28" s="462">
        <f t="shared" ca="1" si="3"/>
        <v>0</v>
      </c>
      <c r="D28" s="462">
        <f t="shared" si="4"/>
        <v>0</v>
      </c>
      <c r="E28" s="462">
        <f t="shared" si="5"/>
        <v>0</v>
      </c>
      <c r="F28" s="462">
        <f t="shared" si="6"/>
        <v>0</v>
      </c>
      <c r="G28" s="462">
        <f t="shared" si="7"/>
        <v>638.28039970551561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638.28039970551561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171.65769979474047</v>
      </c>
      <c r="C32" s="462">
        <f t="shared" ca="1" si="3"/>
        <v>0</v>
      </c>
      <c r="D32" s="462">
        <f t="shared" si="4"/>
        <v>2205.566088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2377.2237877947405</v>
      </c>
    </row>
    <row r="33" spans="1:17" s="474" customFormat="1">
      <c r="A33" s="471" t="s">
        <v>568</v>
      </c>
      <c r="B33" s="472">
        <f ca="1">SUM(B22:B32)</f>
        <v>20346.999839028042</v>
      </c>
      <c r="C33" s="472">
        <f t="shared" ref="C33:Q33" ca="1" si="18">SUM(C22:C32)</f>
        <v>0</v>
      </c>
      <c r="D33" s="472">
        <f t="shared" ca="1" si="18"/>
        <v>32341.615965936391</v>
      </c>
      <c r="E33" s="472">
        <f t="shared" si="18"/>
        <v>3062.558689351356</v>
      </c>
      <c r="F33" s="472">
        <f t="shared" ca="1" si="18"/>
        <v>28934.51181194737</v>
      </c>
      <c r="G33" s="472">
        <f t="shared" si="18"/>
        <v>24436.231286450322</v>
      </c>
      <c r="H33" s="472">
        <f t="shared" si="18"/>
        <v>4111.4180181138636</v>
      </c>
      <c r="I33" s="472">
        <f t="shared" si="18"/>
        <v>0</v>
      </c>
      <c r="J33" s="472">
        <f t="shared" si="18"/>
        <v>58.344419483184453</v>
      </c>
      <c r="K33" s="472">
        <f t="shared" si="18"/>
        <v>0</v>
      </c>
      <c r="L33" s="472">
        <f t="shared" ca="1" si="18"/>
        <v>0</v>
      </c>
      <c r="M33" s="472">
        <f t="shared" si="18"/>
        <v>0</v>
      </c>
      <c r="N33" s="472">
        <f t="shared" ca="1" si="18"/>
        <v>0</v>
      </c>
      <c r="O33" s="472">
        <f t="shared" si="18"/>
        <v>0</v>
      </c>
      <c r="P33" s="472">
        <f t="shared" si="18"/>
        <v>0</v>
      </c>
      <c r="Q33" s="472">
        <f t="shared" ca="1" si="18"/>
        <v>113291.68003031051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16598.960999999999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16598.960999999999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0.18724204220991381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0.18724204220991381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0.18724204220991381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0.18724204220991381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72041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7889</v>
      </c>
      <c r="C9" s="338">
        <v>8147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2160</v>
      </c>
    </row>
    <row r="15" spans="1:6">
      <c r="A15" s="1295" t="s">
        <v>184</v>
      </c>
      <c r="B15" s="335">
        <v>365</v>
      </c>
    </row>
    <row r="16" spans="1:6">
      <c r="A16" s="1295" t="s">
        <v>6</v>
      </c>
      <c r="B16" s="335">
        <v>778</v>
      </c>
    </row>
    <row r="17" spans="1:6">
      <c r="A17" s="1295" t="s">
        <v>7</v>
      </c>
      <c r="B17" s="335">
        <v>561</v>
      </c>
    </row>
    <row r="18" spans="1:6">
      <c r="A18" s="1295" t="s">
        <v>8</v>
      </c>
      <c r="B18" s="335">
        <v>849</v>
      </c>
    </row>
    <row r="19" spans="1:6">
      <c r="A19" s="1295" t="s">
        <v>9</v>
      </c>
      <c r="B19" s="335">
        <v>721</v>
      </c>
    </row>
    <row r="20" spans="1:6">
      <c r="A20" s="1295" t="s">
        <v>10</v>
      </c>
      <c r="B20" s="335">
        <v>516</v>
      </c>
    </row>
    <row r="21" spans="1:6">
      <c r="A21" s="1295" t="s">
        <v>11</v>
      </c>
      <c r="B21" s="335">
        <v>991</v>
      </c>
    </row>
    <row r="22" spans="1:6">
      <c r="A22" s="1295" t="s">
        <v>12</v>
      </c>
      <c r="B22" s="335">
        <v>3132</v>
      </c>
    </row>
    <row r="23" spans="1:6">
      <c r="A23" s="1295" t="s">
        <v>13</v>
      </c>
      <c r="B23" s="335">
        <v>118</v>
      </c>
    </row>
    <row r="24" spans="1:6">
      <c r="A24" s="1295" t="s">
        <v>14</v>
      </c>
      <c r="B24" s="335">
        <v>3</v>
      </c>
    </row>
    <row r="25" spans="1:6">
      <c r="A25" s="1295" t="s">
        <v>15</v>
      </c>
      <c r="B25" s="335">
        <v>230</v>
      </c>
    </row>
    <row r="26" spans="1:6">
      <c r="A26" s="1295" t="s">
        <v>16</v>
      </c>
      <c r="B26" s="335">
        <v>526</v>
      </c>
    </row>
    <row r="27" spans="1:6">
      <c r="A27" s="1295" t="s">
        <v>17</v>
      </c>
      <c r="B27" s="335">
        <v>626</v>
      </c>
    </row>
    <row r="28" spans="1:6" s="341" customFormat="1">
      <c r="A28" s="1296" t="s">
        <v>18</v>
      </c>
      <c r="B28" s="1296">
        <v>105910</v>
      </c>
    </row>
    <row r="29" spans="1:6">
      <c r="A29" s="1296" t="s">
        <v>909</v>
      </c>
      <c r="B29" s="1296">
        <v>177</v>
      </c>
      <c r="C29" s="341"/>
      <c r="D29" s="341"/>
      <c r="E29" s="341"/>
      <c r="F29" s="341"/>
    </row>
    <row r="30" spans="1:6">
      <c r="A30" s="1291" t="s">
        <v>910</v>
      </c>
      <c r="B30" s="1291">
        <v>40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18839</v>
      </c>
    </row>
    <row r="36" spans="1:6">
      <c r="A36" s="1295" t="s">
        <v>25</v>
      </c>
      <c r="B36" s="1295" t="s">
        <v>27</v>
      </c>
      <c r="C36" s="335">
        <v>0</v>
      </c>
      <c r="D36" s="335">
        <v>0</v>
      </c>
      <c r="E36" s="335">
        <v>14</v>
      </c>
      <c r="F36" s="335">
        <v>128992</v>
      </c>
    </row>
    <row r="37" spans="1:6">
      <c r="A37" s="1295" t="s">
        <v>25</v>
      </c>
      <c r="B37" s="1295" t="s">
        <v>28</v>
      </c>
      <c r="C37" s="335">
        <v>0</v>
      </c>
      <c r="D37" s="335">
        <v>0</v>
      </c>
      <c r="E37" s="335">
        <v>0</v>
      </c>
      <c r="F37" s="335">
        <v>0</v>
      </c>
    </row>
    <row r="38" spans="1:6">
      <c r="A38" s="1295" t="s">
        <v>25</v>
      </c>
      <c r="B38" s="1295" t="s">
        <v>29</v>
      </c>
      <c r="C38" s="335">
        <v>1</v>
      </c>
      <c r="D38" s="335">
        <v>704120</v>
      </c>
      <c r="E38" s="335">
        <v>1</v>
      </c>
      <c r="F38" s="335">
        <v>94529</v>
      </c>
    </row>
    <row r="39" spans="1:6">
      <c r="A39" s="1295" t="s">
        <v>30</v>
      </c>
      <c r="B39" s="1295" t="s">
        <v>31</v>
      </c>
      <c r="C39" s="335">
        <v>3539</v>
      </c>
      <c r="D39" s="335">
        <v>63391747</v>
      </c>
      <c r="E39" s="335">
        <v>7907</v>
      </c>
      <c r="F39" s="335">
        <v>30212423</v>
      </c>
    </row>
    <row r="40" spans="1:6">
      <c r="A40" s="1295" t="s">
        <v>30</v>
      </c>
      <c r="B40" s="1295" t="s">
        <v>29</v>
      </c>
      <c r="C40" s="335">
        <v>0</v>
      </c>
      <c r="D40" s="335">
        <v>0</v>
      </c>
      <c r="E40" s="335">
        <v>0</v>
      </c>
      <c r="F40" s="335">
        <v>0</v>
      </c>
    </row>
    <row r="41" spans="1:6">
      <c r="A41" s="1295" t="s">
        <v>32</v>
      </c>
      <c r="B41" s="1295" t="s">
        <v>33</v>
      </c>
      <c r="C41" s="335">
        <v>34</v>
      </c>
      <c r="D41" s="335">
        <v>30625905</v>
      </c>
      <c r="E41" s="335">
        <v>129</v>
      </c>
      <c r="F41" s="335">
        <v>16627096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9</v>
      </c>
      <c r="D44" s="335">
        <v>43593498</v>
      </c>
      <c r="E44" s="335">
        <v>37</v>
      </c>
      <c r="F44" s="335">
        <v>22241773</v>
      </c>
    </row>
    <row r="45" spans="1:6">
      <c r="A45" s="1295" t="s">
        <v>32</v>
      </c>
      <c r="B45" s="1295" t="s">
        <v>37</v>
      </c>
      <c r="C45" s="335">
        <v>3</v>
      </c>
      <c r="D45" s="335">
        <v>526181</v>
      </c>
      <c r="E45" s="335">
        <v>16</v>
      </c>
      <c r="F45" s="335">
        <v>7107266</v>
      </c>
    </row>
    <row r="46" spans="1:6">
      <c r="A46" s="1295" t="s">
        <v>32</v>
      </c>
      <c r="B46" s="1295" t="s">
        <v>38</v>
      </c>
      <c r="C46" s="335">
        <v>0</v>
      </c>
      <c r="D46" s="335">
        <v>0</v>
      </c>
      <c r="E46" s="335">
        <v>0</v>
      </c>
      <c r="F46" s="335">
        <v>0</v>
      </c>
    </row>
    <row r="47" spans="1:6">
      <c r="A47" s="1295" t="s">
        <v>32</v>
      </c>
      <c r="B47" s="1295" t="s">
        <v>39</v>
      </c>
      <c r="C47" s="335">
        <v>0</v>
      </c>
      <c r="D47" s="335">
        <v>0</v>
      </c>
      <c r="E47" s="335">
        <v>3</v>
      </c>
      <c r="F47" s="335">
        <v>168014</v>
      </c>
    </row>
    <row r="48" spans="1:6">
      <c r="A48" s="1295" t="s">
        <v>32</v>
      </c>
      <c r="B48" s="1295" t="s">
        <v>29</v>
      </c>
      <c r="C48" s="335">
        <v>1</v>
      </c>
      <c r="D48" s="335">
        <v>26623</v>
      </c>
      <c r="E48" s="335">
        <v>2</v>
      </c>
      <c r="F48" s="335">
        <v>1085922</v>
      </c>
    </row>
    <row r="49" spans="1:6">
      <c r="A49" s="1295" t="s">
        <v>32</v>
      </c>
      <c r="B49" s="1295" t="s">
        <v>40</v>
      </c>
      <c r="C49" s="335">
        <v>0</v>
      </c>
      <c r="D49" s="335">
        <v>0</v>
      </c>
      <c r="E49" s="335">
        <v>0</v>
      </c>
      <c r="F49" s="335">
        <v>0</v>
      </c>
    </row>
    <row r="50" spans="1:6">
      <c r="A50" s="1295" t="s">
        <v>32</v>
      </c>
      <c r="B50" s="1295" t="s">
        <v>41</v>
      </c>
      <c r="C50" s="335">
        <v>4</v>
      </c>
      <c r="D50" s="335">
        <v>14942734</v>
      </c>
      <c r="E50" s="335">
        <v>15</v>
      </c>
      <c r="F50" s="335">
        <v>6935479</v>
      </c>
    </row>
    <row r="51" spans="1:6">
      <c r="A51" s="1295" t="s">
        <v>42</v>
      </c>
      <c r="B51" s="1295" t="s">
        <v>43</v>
      </c>
      <c r="C51" s="335">
        <v>6</v>
      </c>
      <c r="D51" s="335">
        <v>611025</v>
      </c>
      <c r="E51" s="335">
        <v>48</v>
      </c>
      <c r="F51" s="335">
        <v>816886</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75</v>
      </c>
      <c r="F54" s="335">
        <v>1055100</v>
      </c>
    </row>
    <row r="55" spans="1:6">
      <c r="A55" s="1295" t="s">
        <v>46</v>
      </c>
      <c r="B55" s="1295" t="s">
        <v>29</v>
      </c>
      <c r="C55" s="335">
        <v>0</v>
      </c>
      <c r="D55" s="335">
        <v>0</v>
      </c>
      <c r="E55" s="335">
        <v>0</v>
      </c>
      <c r="F55" s="335">
        <v>0</v>
      </c>
    </row>
    <row r="56" spans="1:6">
      <c r="A56" s="1295" t="s">
        <v>48</v>
      </c>
      <c r="B56" s="1295" t="s">
        <v>29</v>
      </c>
      <c r="C56" s="335">
        <v>105</v>
      </c>
      <c r="D56" s="335">
        <v>10918644</v>
      </c>
      <c r="E56" s="335">
        <v>144</v>
      </c>
      <c r="F56" s="335">
        <v>916769</v>
      </c>
    </row>
    <row r="57" spans="1:6">
      <c r="A57" s="1295" t="s">
        <v>49</v>
      </c>
      <c r="B57" s="1295" t="s">
        <v>50</v>
      </c>
      <c r="C57" s="335">
        <v>25</v>
      </c>
      <c r="D57" s="335">
        <v>2285438</v>
      </c>
      <c r="E57" s="335">
        <v>68</v>
      </c>
      <c r="F57" s="335">
        <v>3219552</v>
      </c>
    </row>
    <row r="58" spans="1:6">
      <c r="A58" s="1295" t="s">
        <v>49</v>
      </c>
      <c r="B58" s="1295" t="s">
        <v>51</v>
      </c>
      <c r="C58" s="335">
        <v>10</v>
      </c>
      <c r="D58" s="335">
        <v>379057</v>
      </c>
      <c r="E58" s="335">
        <v>30</v>
      </c>
      <c r="F58" s="335">
        <v>500410</v>
      </c>
    </row>
    <row r="59" spans="1:6">
      <c r="A59" s="1295" t="s">
        <v>49</v>
      </c>
      <c r="B59" s="1295" t="s">
        <v>52</v>
      </c>
      <c r="C59" s="335">
        <v>75</v>
      </c>
      <c r="D59" s="335">
        <v>3542838</v>
      </c>
      <c r="E59" s="335">
        <v>186</v>
      </c>
      <c r="F59" s="335">
        <v>5645564</v>
      </c>
    </row>
    <row r="60" spans="1:6">
      <c r="A60" s="1295" t="s">
        <v>49</v>
      </c>
      <c r="B60" s="1295" t="s">
        <v>53</v>
      </c>
      <c r="C60" s="335">
        <v>32</v>
      </c>
      <c r="D60" s="335">
        <v>3002147</v>
      </c>
      <c r="E60" s="335">
        <v>70</v>
      </c>
      <c r="F60" s="335">
        <v>2039989</v>
      </c>
    </row>
    <row r="61" spans="1:6">
      <c r="A61" s="1295" t="s">
        <v>49</v>
      </c>
      <c r="B61" s="1295" t="s">
        <v>54</v>
      </c>
      <c r="C61" s="335">
        <v>65</v>
      </c>
      <c r="D61" s="335">
        <v>2447416</v>
      </c>
      <c r="E61" s="335">
        <v>314</v>
      </c>
      <c r="F61" s="335">
        <v>4176772</v>
      </c>
    </row>
    <row r="62" spans="1:6">
      <c r="A62" s="1295" t="s">
        <v>49</v>
      </c>
      <c r="B62" s="1295" t="s">
        <v>55</v>
      </c>
      <c r="C62" s="335">
        <v>0</v>
      </c>
      <c r="D62" s="335">
        <v>0</v>
      </c>
      <c r="E62" s="335">
        <v>10</v>
      </c>
      <c r="F62" s="335">
        <v>282268</v>
      </c>
    </row>
    <row r="63" spans="1:6">
      <c r="A63" s="1295" t="s">
        <v>49</v>
      </c>
      <c r="B63" s="1295" t="s">
        <v>29</v>
      </c>
      <c r="C63" s="335">
        <v>1</v>
      </c>
      <c r="D63" s="335">
        <v>10505</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1</v>
      </c>
      <c r="F65" s="335">
        <v>276740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57022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111567663</v>
      </c>
      <c r="E73" s="335">
        <v>116234218.11198471</v>
      </c>
    </row>
    <row r="74" spans="1:6">
      <c r="A74" s="1295" t="s">
        <v>64</v>
      </c>
      <c r="B74" s="1295" t="s">
        <v>727</v>
      </c>
      <c r="C74" s="1295" t="s">
        <v>728</v>
      </c>
      <c r="D74" s="335">
        <v>10392105.370841032</v>
      </c>
      <c r="E74" s="335">
        <v>11030761.883922756</v>
      </c>
    </row>
    <row r="75" spans="1:6">
      <c r="A75" s="1295" t="s">
        <v>65</v>
      </c>
      <c r="B75" s="1295" t="s">
        <v>725</v>
      </c>
      <c r="C75" s="1295" t="s">
        <v>729</v>
      </c>
      <c r="D75" s="335">
        <v>17169824</v>
      </c>
      <c r="E75" s="335">
        <v>17822414.668259915</v>
      </c>
    </row>
    <row r="76" spans="1:6">
      <c r="A76" s="1295" t="s">
        <v>65</v>
      </c>
      <c r="B76" s="1295" t="s">
        <v>727</v>
      </c>
      <c r="C76" s="1295" t="s">
        <v>730</v>
      </c>
      <c r="D76" s="335">
        <v>473313.37084103131</v>
      </c>
      <c r="E76" s="335">
        <v>537838.82718195685</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659645.25831793738</v>
      </c>
      <c r="C83" s="335">
        <v>633349.30453559267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5628.5209999999997</v>
      </c>
    </row>
    <row r="92" spans="1:6">
      <c r="A92" s="1291" t="s">
        <v>69</v>
      </c>
      <c r="B92" s="338">
        <v>10970.44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1144</v>
      </c>
    </row>
    <row r="98" spans="1:6">
      <c r="A98" s="1295" t="s">
        <v>72</v>
      </c>
      <c r="B98" s="335">
        <v>4</v>
      </c>
    </row>
    <row r="99" spans="1:6">
      <c r="A99" s="1295" t="s">
        <v>73</v>
      </c>
      <c r="B99" s="335">
        <v>64</v>
      </c>
    </row>
    <row r="100" spans="1:6">
      <c r="A100" s="1295" t="s">
        <v>74</v>
      </c>
      <c r="B100" s="335">
        <v>163</v>
      </c>
    </row>
    <row r="101" spans="1:6">
      <c r="A101" s="1295" t="s">
        <v>75</v>
      </c>
      <c r="B101" s="335">
        <v>49</v>
      </c>
    </row>
    <row r="102" spans="1:6">
      <c r="A102" s="1295" t="s">
        <v>76</v>
      </c>
      <c r="B102" s="335">
        <v>96</v>
      </c>
    </row>
    <row r="103" spans="1:6">
      <c r="A103" s="1295" t="s">
        <v>77</v>
      </c>
      <c r="B103" s="335">
        <v>174</v>
      </c>
    </row>
    <row r="104" spans="1:6">
      <c r="A104" s="1295" t="s">
        <v>78</v>
      </c>
      <c r="B104" s="335">
        <v>5008</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11</v>
      </c>
      <c r="C123" s="335">
        <v>13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165</v>
      </c>
    </row>
    <row r="130" spans="1:6">
      <c r="A130" s="1295" t="s">
        <v>295</v>
      </c>
      <c r="B130" s="335">
        <v>2</v>
      </c>
    </row>
    <row r="131" spans="1:6">
      <c r="A131" s="1295" t="s">
        <v>296</v>
      </c>
      <c r="B131" s="335">
        <v>5</v>
      </c>
    </row>
    <row r="132" spans="1:6">
      <c r="A132" s="1291" t="s">
        <v>297</v>
      </c>
      <c r="B132" s="338">
        <v>19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108666.8335747875</v>
      </c>
      <c r="C3" s="43" t="s">
        <v>170</v>
      </c>
      <c r="D3" s="43"/>
      <c r="E3" s="156"/>
      <c r="F3" s="43"/>
      <c r="G3" s="43"/>
      <c r="H3" s="43"/>
      <c r="I3" s="43"/>
      <c r="J3" s="43"/>
      <c r="K3" s="96"/>
    </row>
    <row r="4" spans="1:11">
      <c r="A4" s="366" t="s">
        <v>171</v>
      </c>
      <c r="B4" s="49">
        <f>IF(ISERROR('SEAP template'!B78+'SEAP template'!C78),0,'SEAP template'!B78+'SEAP template'!C78)</f>
        <v>16598.960999999999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0.18724204220991381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1055.0999999999999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1055.0999999999999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0.18724204220991381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197.55907873568003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30212.422999999999</v>
      </c>
      <c r="C5" s="17">
        <f>IF(ISERROR('Eigen informatie GS &amp; warmtenet'!B57),0,'Eigen informatie GS &amp; warmtenet'!B57)</f>
        <v>0</v>
      </c>
      <c r="D5" s="30">
        <f>(SUM(HH_hh_gas_kWh,HH_rest_gas_kWh)/1000)*0.902</f>
        <v>57179.355794000003</v>
      </c>
      <c r="E5" s="17">
        <f>B46*B57</f>
        <v>7090.8589982245903</v>
      </c>
      <c r="F5" s="17">
        <f>B51*B62</f>
        <v>72130.823238160112</v>
      </c>
      <c r="G5" s="18"/>
      <c r="H5" s="17"/>
      <c r="I5" s="17"/>
      <c r="J5" s="17">
        <f>B50*B61+C50*C61</f>
        <v>0</v>
      </c>
      <c r="K5" s="17"/>
      <c r="L5" s="17"/>
      <c r="M5" s="17"/>
      <c r="N5" s="17">
        <f>B48*B59+C48*C59</f>
        <v>20352.697725851667</v>
      </c>
      <c r="O5" s="17">
        <f>B69*B70*B71</f>
        <v>278.27333333333337</v>
      </c>
      <c r="P5" s="17">
        <f>B77*B78*B79/1000-B77*B78*B79/1000/B80</f>
        <v>572</v>
      </c>
    </row>
    <row r="6" spans="1:16">
      <c r="A6" s="16" t="s">
        <v>634</v>
      </c>
      <c r="B6" s="783">
        <f>kWh_PV_kleiner_dan_10kW</f>
        <v>5628.5209999999997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35840.943999999996</v>
      </c>
      <c r="C8" s="21">
        <f>C5</f>
        <v>0</v>
      </c>
      <c r="D8" s="21">
        <f>D5</f>
        <v>57179.355794000003</v>
      </c>
      <c r="E8" s="21">
        <f>E5</f>
        <v>7090.8589982245903</v>
      </c>
      <c r="F8" s="21">
        <f>F5</f>
        <v>72130.823238160112</v>
      </c>
      <c r="G8" s="21"/>
      <c r="H8" s="21"/>
      <c r="I8" s="21"/>
      <c r="J8" s="21">
        <f>J5</f>
        <v>0</v>
      </c>
      <c r="K8" s="21"/>
      <c r="L8" s="21">
        <f>L5</f>
        <v>0</v>
      </c>
      <c r="M8" s="21">
        <f>M5</f>
        <v>0</v>
      </c>
      <c r="N8" s="21">
        <f>N5</f>
        <v>20352.697725851667</v>
      </c>
      <c r="O8" s="21">
        <f>O5</f>
        <v>278.27333333333337</v>
      </c>
      <c r="P8" s="21">
        <f>P5</f>
        <v>572</v>
      </c>
    </row>
    <row r="9" spans="1:16">
      <c r="B9" s="19"/>
      <c r="C9" s="19"/>
      <c r="D9" s="261"/>
      <c r="E9" s="19"/>
      <c r="F9" s="19"/>
      <c r="G9" s="19"/>
      <c r="H9" s="19"/>
      <c r="I9" s="19"/>
      <c r="J9" s="19"/>
      <c r="K9" s="19"/>
      <c r="L9" s="19"/>
      <c r="M9" s="19"/>
      <c r="N9" s="19"/>
      <c r="O9" s="19"/>
      <c r="P9" s="19"/>
    </row>
    <row r="10" spans="1:16">
      <c r="A10" s="24" t="s">
        <v>214</v>
      </c>
      <c r="B10" s="25">
        <f ca="1">'EF ele_warmte'!B12</f>
        <v>0.18724204220991381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6710.9315492911564</v>
      </c>
      <c r="C12" s="23">
        <f ca="1">C10*C8</f>
        <v>0</v>
      </c>
      <c r="D12" s="23">
        <f>D8*D10</f>
        <v>11550.229870388001</v>
      </c>
      <c r="E12" s="23">
        <f>E10*E8</f>
        <v>1609.6249925969821</v>
      </c>
      <c r="F12" s="23">
        <f>F10*F8</f>
        <v>19258.929804588752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1144</v>
      </c>
      <c r="C18" s="168" t="s">
        <v>111</v>
      </c>
      <c r="D18" s="230"/>
      <c r="E18" s="15"/>
    </row>
    <row r="19" spans="1:7">
      <c r="A19" s="173" t="s">
        <v>72</v>
      </c>
      <c r="B19" s="37">
        <f>aantalw2001_ander</f>
        <v>4</v>
      </c>
      <c r="C19" s="168" t="s">
        <v>111</v>
      </c>
      <c r="D19" s="231"/>
      <c r="E19" s="15"/>
    </row>
    <row r="20" spans="1:7">
      <c r="A20" s="173" t="s">
        <v>73</v>
      </c>
      <c r="B20" s="37">
        <f>aantalw2001_propaan</f>
        <v>64</v>
      </c>
      <c r="C20" s="169">
        <f>IF(ISERROR(B20/SUM($B$20,$B$21,$B$22)*100),0,B20/SUM($B$20,$B$21,$B$22)*100)</f>
        <v>23.188405797101449</v>
      </c>
      <c r="D20" s="231"/>
      <c r="E20" s="15"/>
    </row>
    <row r="21" spans="1:7">
      <c r="A21" s="173" t="s">
        <v>74</v>
      </c>
      <c r="B21" s="37">
        <f>aantalw2001_elektriciteit</f>
        <v>163</v>
      </c>
      <c r="C21" s="169">
        <f>IF(ISERROR(B21/SUM($B$20,$B$21,$B$22)*100),0,B21/SUM($B$20,$B$21,$B$22)*100)</f>
        <v>59.05797101449275</v>
      </c>
      <c r="D21" s="231"/>
      <c r="E21" s="15"/>
    </row>
    <row r="22" spans="1:7">
      <c r="A22" s="173" t="s">
        <v>75</v>
      </c>
      <c r="B22" s="37">
        <f>aantalw2001_hout</f>
        <v>49</v>
      </c>
      <c r="C22" s="169">
        <f>IF(ISERROR(B22/SUM($B$20,$B$21,$B$22)*100),0,B22/SUM($B$20,$B$21,$B$22)*100)</f>
        <v>17.753623188405797</v>
      </c>
      <c r="D22" s="231"/>
      <c r="E22" s="15"/>
    </row>
    <row r="23" spans="1:7">
      <c r="A23" s="173" t="s">
        <v>76</v>
      </c>
      <c r="B23" s="37">
        <f>aantalw2001_niet_gespec</f>
        <v>96</v>
      </c>
      <c r="C23" s="168" t="s">
        <v>111</v>
      </c>
      <c r="D23" s="230"/>
      <c r="E23" s="15"/>
    </row>
    <row r="24" spans="1:7">
      <c r="A24" s="173" t="s">
        <v>77</v>
      </c>
      <c r="B24" s="37">
        <f>aantalw2001_steenkool</f>
        <v>174</v>
      </c>
      <c r="C24" s="168" t="s">
        <v>111</v>
      </c>
      <c r="D24" s="231"/>
      <c r="E24" s="15"/>
    </row>
    <row r="25" spans="1:7">
      <c r="A25" s="173" t="s">
        <v>78</v>
      </c>
      <c r="B25" s="37">
        <f>aantalw2001_stookolie</f>
        <v>5008</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7889</v>
      </c>
      <c r="C28" s="36"/>
      <c r="D28" s="230"/>
    </row>
    <row r="29" spans="1:7" s="15" customFormat="1">
      <c r="A29" s="232" t="s">
        <v>746</v>
      </c>
      <c r="B29" s="37">
        <f>SUM(HH_hh_gas_aantal,HH_rest_gas_aantal)</f>
        <v>3539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3539</v>
      </c>
      <c r="C32" s="169">
        <f>IF(ISERROR(B32/SUM($B$32,$B$34,$B$35,$B$36,$B$38,$B$39)*100),0,B32/SUM($B$32,$B$34,$B$35,$B$36,$B$38,$B$39)*100)</f>
        <v>45.031174449675532</v>
      </c>
      <c r="D32" s="235"/>
      <c r="G32" s="15"/>
    </row>
    <row r="33" spans="1:7">
      <c r="A33" s="173" t="s">
        <v>72</v>
      </c>
      <c r="B33" s="34" t="s">
        <v>111</v>
      </c>
      <c r="C33" s="169"/>
      <c r="D33" s="235"/>
      <c r="G33" s="15"/>
    </row>
    <row r="34" spans="1:7">
      <c r="A34" s="173" t="s">
        <v>73</v>
      </c>
      <c r="B34" s="33">
        <f>IF((($B$28-$B$32-$B$39-$B$77-$B$38)*C20/100)&lt;0,0,($B$28-$B$32-$B$39-$B$77-$B$38)*C20/100)</f>
        <v>340.28985507246375</v>
      </c>
      <c r="C34" s="169">
        <f>IF(ISERROR(B34/SUM($B$32,$B$34,$B$35,$B$36,$B$38,$B$39)*100),0,B34/SUM($B$32,$B$34,$B$35,$B$36,$B$38,$B$39)*100)</f>
        <v>4.3299383518572814</v>
      </c>
      <c r="D34" s="235"/>
      <c r="G34" s="15"/>
    </row>
    <row r="35" spans="1:7">
      <c r="A35" s="173" t="s">
        <v>74</v>
      </c>
      <c r="B35" s="33">
        <f>IF((($B$28-$B$32-$B$39-$B$77-$B$38)*C21/100)&lt;0,0,($B$28-$B$32-$B$39-$B$77-$B$38)*C21/100)</f>
        <v>866.67572463768113</v>
      </c>
      <c r="C35" s="169">
        <f>IF(ISERROR(B35/SUM($B$32,$B$34,$B$35,$B$36,$B$38,$B$39)*100),0,B35/SUM($B$32,$B$34,$B$35,$B$36,$B$38,$B$39)*100)</f>
        <v>11.027811739886515</v>
      </c>
      <c r="D35" s="235"/>
      <c r="G35" s="15"/>
    </row>
    <row r="36" spans="1:7">
      <c r="A36" s="173" t="s">
        <v>75</v>
      </c>
      <c r="B36" s="33">
        <f>IF((($B$28-$B$32-$B$39-$B$77-$B$38)*C22/100)&lt;0,0,($B$28-$B$32-$B$39-$B$77-$B$38)*C22/100)</f>
        <v>260.53442028985506</v>
      </c>
      <c r="C36" s="169">
        <f>IF(ISERROR(B36/SUM($B$32,$B$34,$B$35,$B$36,$B$38,$B$39)*100),0,B36/SUM($B$32,$B$34,$B$35,$B$36,$B$38,$B$39)*100)</f>
        <v>3.3151090506407312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2852.5</v>
      </c>
      <c r="C39" s="169">
        <f>IF(ISERROR(B39/SUM($B$32,$B$34,$B$35,$B$36,$B$38,$B$39)*100),0,B39/SUM($B$32,$B$34,$B$35,$B$36,$B$38,$B$39)*100)</f>
        <v>36.295966407939936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3539</v>
      </c>
      <c r="C44" s="34" t="s">
        <v>111</v>
      </c>
      <c r="D44" s="176"/>
    </row>
    <row r="45" spans="1:7">
      <c r="A45" s="173" t="s">
        <v>72</v>
      </c>
      <c r="B45" s="33" t="str">
        <f t="shared" si="0"/>
        <v>-</v>
      </c>
      <c r="C45" s="34" t="s">
        <v>111</v>
      </c>
      <c r="D45" s="176"/>
    </row>
    <row r="46" spans="1:7">
      <c r="A46" s="173" t="s">
        <v>73</v>
      </c>
      <c r="B46" s="33">
        <f t="shared" si="0"/>
        <v>340.28985507246375</v>
      </c>
      <c r="C46" s="34" t="s">
        <v>111</v>
      </c>
      <c r="D46" s="176"/>
    </row>
    <row r="47" spans="1:7">
      <c r="A47" s="173" t="s">
        <v>74</v>
      </c>
      <c r="B47" s="33">
        <f t="shared" si="0"/>
        <v>866.67572463768113</v>
      </c>
      <c r="C47" s="34" t="s">
        <v>111</v>
      </c>
      <c r="D47" s="176"/>
    </row>
    <row r="48" spans="1:7">
      <c r="A48" s="173" t="s">
        <v>75</v>
      </c>
      <c r="B48" s="33">
        <f t="shared" si="0"/>
        <v>260.53442028985506</v>
      </c>
      <c r="C48" s="33">
        <f>B48*10</f>
        <v>2605.3442028985505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2852.5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15864.555</v>
      </c>
      <c r="C5" s="17">
        <f>IF(ISERROR('Eigen informatie GS &amp; warmtenet'!B58),0,'Eigen informatie GS &amp; warmtenet'!B58)</f>
        <v>0</v>
      </c>
      <c r="D5" s="30">
        <f>SUM(D6:D12)</f>
        <v>10523.995702000002</v>
      </c>
      <c r="E5" s="17">
        <f>SUM(E6:E12)</f>
        <v>228.11513819020976</v>
      </c>
      <c r="F5" s="17">
        <f>SUM(F6:F12)</f>
        <v>3350.0132828349151</v>
      </c>
      <c r="G5" s="18"/>
      <c r="H5" s="17"/>
      <c r="I5" s="17"/>
      <c r="J5" s="17">
        <f>SUM(J6:J12)</f>
        <v>0</v>
      </c>
      <c r="K5" s="17"/>
      <c r="L5" s="17"/>
      <c r="M5" s="17"/>
      <c r="N5" s="17">
        <f>SUM(N6:N12)</f>
        <v>2265.952022844308</v>
      </c>
      <c r="O5" s="17">
        <f>B38*B39*B40</f>
        <v>3.1266666666666669</v>
      </c>
      <c r="P5" s="17">
        <f>B46*B47*B48/1000-B46*B47*B48/1000/B49</f>
        <v>95.333333333333343</v>
      </c>
      <c r="R5" s="32"/>
    </row>
    <row r="6" spans="1:18">
      <c r="A6" s="32" t="s">
        <v>54</v>
      </c>
      <c r="B6" s="37">
        <f>B26</f>
        <v>4176.7719999999999</v>
      </c>
      <c r="C6" s="33"/>
      <c r="D6" s="37">
        <f>IF(ISERROR(TER_kantoor_gas_kWh/1000),0,TER_kantoor_gas_kWh/1000)*0.902</f>
        <v>2207.5692320000003</v>
      </c>
      <c r="E6" s="33">
        <f>$C$26*'E Balans VL '!I12/100/3.6*1000000</f>
        <v>16.227643494154492</v>
      </c>
      <c r="F6" s="33">
        <f>$C$26*('E Balans VL '!L12+'E Balans VL '!N12)/100/3.6*1000000</f>
        <v>635.24901560486887</v>
      </c>
      <c r="G6" s="34"/>
      <c r="H6" s="33"/>
      <c r="I6" s="33"/>
      <c r="J6" s="33">
        <f>$C$26*('E Balans VL '!D12+'E Balans VL '!E12)/100/3.6*1000000</f>
        <v>0</v>
      </c>
      <c r="K6" s="33"/>
      <c r="L6" s="33"/>
      <c r="M6" s="33"/>
      <c r="N6" s="33">
        <f>$C$26*'E Balans VL '!Y12/100/3.6*1000000</f>
        <v>2.3019017369631407</v>
      </c>
      <c r="O6" s="33"/>
      <c r="P6" s="33"/>
      <c r="R6" s="32"/>
    </row>
    <row r="7" spans="1:18">
      <c r="A7" s="32" t="s">
        <v>53</v>
      </c>
      <c r="B7" s="37">
        <f t="shared" ref="B7:B12" si="0">B27</f>
        <v>2039.989</v>
      </c>
      <c r="C7" s="33"/>
      <c r="D7" s="37">
        <f>IF(ISERROR(TER_horeca_gas_kWh/1000),0,TER_horeca_gas_kWh/1000)*0.902</f>
        <v>2707.9365939999998</v>
      </c>
      <c r="E7" s="33">
        <f>$C$27*'E Balans VL '!I9/100/3.6*1000000</f>
        <v>114.91312577269491</v>
      </c>
      <c r="F7" s="33">
        <f>$C$27*('E Balans VL '!L9+'E Balans VL '!N9)/100/3.6*1000000</f>
        <v>588.21069595176516</v>
      </c>
      <c r="G7" s="34"/>
      <c r="H7" s="33"/>
      <c r="I7" s="33"/>
      <c r="J7" s="33">
        <f>$C$27*('E Balans VL '!D9+'E Balans VL '!E9)/100/3.6*1000000</f>
        <v>0</v>
      </c>
      <c r="K7" s="33"/>
      <c r="L7" s="33"/>
      <c r="M7" s="33"/>
      <c r="N7" s="33">
        <f>$C$27*'E Balans VL '!Y9/100/3.6*1000000</f>
        <v>0.56323036211976119</v>
      </c>
      <c r="O7" s="33"/>
      <c r="P7" s="33"/>
      <c r="R7" s="32"/>
    </row>
    <row r="8" spans="1:18">
      <c r="A8" s="6" t="s">
        <v>52</v>
      </c>
      <c r="B8" s="37">
        <f t="shared" si="0"/>
        <v>5645.5640000000003</v>
      </c>
      <c r="C8" s="33"/>
      <c r="D8" s="37">
        <f>IF(ISERROR(TER_handel_gas_kWh/1000),0,TER_handel_gas_kWh/1000)*0.902</f>
        <v>3195.6398760000002</v>
      </c>
      <c r="E8" s="33">
        <f>$C$28*'E Balans VL '!I13/100/3.6*1000000</f>
        <v>81.371730733345316</v>
      </c>
      <c r="F8" s="33">
        <f>$C$28*('E Balans VL '!L13+'E Balans VL '!N13)/100/3.6*1000000</f>
        <v>980.76594311368933</v>
      </c>
      <c r="G8" s="34"/>
      <c r="H8" s="33"/>
      <c r="I8" s="33"/>
      <c r="J8" s="33">
        <f>$C$28*('E Balans VL '!D13+'E Balans VL '!E13)/100/3.6*1000000</f>
        <v>0</v>
      </c>
      <c r="K8" s="33"/>
      <c r="L8" s="33"/>
      <c r="M8" s="33"/>
      <c r="N8" s="33">
        <f>$C$28*'E Balans VL '!Y13/100/3.6*1000000</f>
        <v>16.914738221131206</v>
      </c>
      <c r="O8" s="33"/>
      <c r="P8" s="33"/>
      <c r="R8" s="32"/>
    </row>
    <row r="9" spans="1:18">
      <c r="A9" s="32" t="s">
        <v>51</v>
      </c>
      <c r="B9" s="37">
        <f t="shared" si="0"/>
        <v>500.41</v>
      </c>
      <c r="C9" s="33"/>
      <c r="D9" s="37">
        <f>IF(ISERROR(TER_gezond_gas_kWh/1000),0,TER_gezond_gas_kWh/1000)*0.902</f>
        <v>341.90941400000003</v>
      </c>
      <c r="E9" s="33">
        <f>$C$29*'E Balans VL '!I10/100/3.6*1000000</f>
        <v>0.53456758150886297</v>
      </c>
      <c r="F9" s="33">
        <f>$C$29*('E Balans VL '!L10+'E Balans VL '!N10)/100/3.6*1000000</f>
        <v>81.632079030584975</v>
      </c>
      <c r="G9" s="34"/>
      <c r="H9" s="33"/>
      <c r="I9" s="33"/>
      <c r="J9" s="33">
        <f>$C$29*('E Balans VL '!D10+'E Balans VL '!E10)/100/3.6*1000000</f>
        <v>0</v>
      </c>
      <c r="K9" s="33"/>
      <c r="L9" s="33"/>
      <c r="M9" s="33"/>
      <c r="N9" s="33">
        <f>$C$29*'E Balans VL '!Y10/100/3.6*1000000</f>
        <v>5.1514354217503762</v>
      </c>
      <c r="O9" s="33"/>
      <c r="P9" s="33"/>
      <c r="R9" s="32"/>
    </row>
    <row r="10" spans="1:18">
      <c r="A10" s="32" t="s">
        <v>50</v>
      </c>
      <c r="B10" s="37">
        <f t="shared" si="0"/>
        <v>3219.5520000000001</v>
      </c>
      <c r="C10" s="33"/>
      <c r="D10" s="37">
        <f>IF(ISERROR(TER_ander_gas_kWh/1000),0,TER_ander_gas_kWh/1000)*0.902</f>
        <v>2061.465076</v>
      </c>
      <c r="E10" s="33">
        <f>$C$30*'E Balans VL '!I14/100/3.6*1000000</f>
        <v>14.806229917786348</v>
      </c>
      <c r="F10" s="33">
        <f>$C$30*('E Balans VL '!L14+'E Balans VL '!N14)/100/3.6*1000000</f>
        <v>965.00128819756253</v>
      </c>
      <c r="G10" s="34"/>
      <c r="H10" s="33"/>
      <c r="I10" s="33"/>
      <c r="J10" s="33">
        <f>$C$30*('E Balans VL '!D14+'E Balans VL '!E14)/100/3.6*1000000</f>
        <v>0</v>
      </c>
      <c r="K10" s="33"/>
      <c r="L10" s="33"/>
      <c r="M10" s="33"/>
      <c r="N10" s="33">
        <f>$C$30*'E Balans VL '!Y14/100/3.6*1000000</f>
        <v>2241.0207171023435</v>
      </c>
      <c r="O10" s="33"/>
      <c r="P10" s="33"/>
      <c r="R10" s="32"/>
    </row>
    <row r="11" spans="1:18">
      <c r="A11" s="32" t="s">
        <v>55</v>
      </c>
      <c r="B11" s="37">
        <f t="shared" si="0"/>
        <v>282.26799999999997</v>
      </c>
      <c r="C11" s="33"/>
      <c r="D11" s="37">
        <f>IF(ISERROR(TER_onderwijs_gas_kWh/1000),0,TER_onderwijs_gas_kWh/1000)*0.902</f>
        <v>0</v>
      </c>
      <c r="E11" s="33">
        <f>$C$31*'E Balans VL '!I11/100/3.6*1000000</f>
        <v>0.26184069071981153</v>
      </c>
      <c r="F11" s="33">
        <f>$C$31*('E Balans VL '!L11+'E Balans VL '!N11)/100/3.6*1000000</f>
        <v>99.154260936444047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9.4755100000000017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15864.555</v>
      </c>
      <c r="C16" s="21">
        <f t="shared" ca="1" si="1"/>
        <v>0</v>
      </c>
      <c r="D16" s="21">
        <f t="shared" ca="1" si="1"/>
        <v>10523.995702000002</v>
      </c>
      <c r="E16" s="21">
        <f t="shared" si="1"/>
        <v>228.11513819020976</v>
      </c>
      <c r="F16" s="21">
        <f t="shared" ca="1" si="1"/>
        <v>3350.0132828349151</v>
      </c>
      <c r="G16" s="21">
        <f t="shared" si="1"/>
        <v>0</v>
      </c>
      <c r="H16" s="21">
        <f t="shared" si="1"/>
        <v>0</v>
      </c>
      <c r="I16" s="21">
        <f t="shared" si="1"/>
        <v>0</v>
      </c>
      <c r="J16" s="21">
        <f t="shared" si="1"/>
        <v>0</v>
      </c>
      <c r="K16" s="21">
        <f t="shared" si="1"/>
        <v>0</v>
      </c>
      <c r="L16" s="21">
        <f t="shared" ca="1" si="1"/>
        <v>0</v>
      </c>
      <c r="M16" s="21">
        <f t="shared" si="1"/>
        <v>0</v>
      </c>
      <c r="N16" s="21">
        <f t="shared" ca="1" si="1"/>
        <v>2265.952022844308</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0.18724204220991381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2970.5116769514993</v>
      </c>
      <c r="C20" s="23">
        <f t="shared" ref="C20:P20" ca="1" si="2">C16*C18</f>
        <v>0</v>
      </c>
      <c r="D20" s="23">
        <f t="shared" ca="1" si="2"/>
        <v>2125.8471318040006</v>
      </c>
      <c r="E20" s="23">
        <f t="shared" si="2"/>
        <v>51.782136369177621</v>
      </c>
      <c r="F20" s="23">
        <f t="shared" ca="1" si="2"/>
        <v>894.45354651692242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4176.7719999999999</v>
      </c>
      <c r="C26" s="39">
        <f>IF(ISERROR(B26*3.6/1000000/'E Balans VL '!Z12*100),0,B26*3.6/1000000/'E Balans VL '!Z12*100)</f>
        <v>8.8716706183894961E-2</v>
      </c>
      <c r="D26" s="239" t="s">
        <v>692</v>
      </c>
      <c r="F26" s="6"/>
    </row>
    <row r="27" spans="1:18">
      <c r="A27" s="233" t="s">
        <v>53</v>
      </c>
      <c r="B27" s="33">
        <f>IF(ISERROR(TER_horeca_ele_kWh/1000),0,TER_horeca_ele_kWh/1000)</f>
        <v>2039.989</v>
      </c>
      <c r="C27" s="39">
        <f>IF(ISERROR(B27*3.6/1000000/'E Balans VL '!Z9*100),0,B27*3.6/1000000/'E Balans VL '!Z9*100)</f>
        <v>0.15862156844273254</v>
      </c>
      <c r="D27" s="239" t="s">
        <v>692</v>
      </c>
      <c r="F27" s="6"/>
    </row>
    <row r="28" spans="1:18">
      <c r="A28" s="173" t="s">
        <v>52</v>
      </c>
      <c r="B28" s="33">
        <f>IF(ISERROR(TER_handel_ele_kWh/1000),0,TER_handel_ele_kWh/1000)</f>
        <v>5645.5640000000003</v>
      </c>
      <c r="C28" s="39">
        <f>IF(ISERROR(B28*3.6/1000000/'E Balans VL '!Z13*100),0,B28*3.6/1000000/'E Balans VL '!Z13*100)</f>
        <v>0.16152623020417853</v>
      </c>
      <c r="D28" s="239" t="s">
        <v>692</v>
      </c>
      <c r="F28" s="6"/>
    </row>
    <row r="29" spans="1:18">
      <c r="A29" s="233" t="s">
        <v>51</v>
      </c>
      <c r="B29" s="33">
        <f>IF(ISERROR(TER_gezond_ele_kWh/1000),0,TER_gezond_ele_kWh/1000)</f>
        <v>500.41</v>
      </c>
      <c r="C29" s="39">
        <f>IF(ISERROR(B29*3.6/1000000/'E Balans VL '!Z10*100),0,B29*3.6/1000000/'E Balans VL '!Z10*100)</f>
        <v>5.4556318133816679E-2</v>
      </c>
      <c r="D29" s="239" t="s">
        <v>692</v>
      </c>
      <c r="F29" s="6"/>
    </row>
    <row r="30" spans="1:18">
      <c r="A30" s="233" t="s">
        <v>50</v>
      </c>
      <c r="B30" s="33">
        <f>IF(ISERROR(TER_ander_ele_kWh/1000),0,TER_ander_ele_kWh/1000)</f>
        <v>3219.5520000000001</v>
      </c>
      <c r="C30" s="39">
        <f>IF(ISERROR(B30*3.6/1000000/'E Balans VL '!Z14*100),0,B30*3.6/1000000/'E Balans VL '!Z14*100)</f>
        <v>0.23559951197941795</v>
      </c>
      <c r="D30" s="239" t="s">
        <v>692</v>
      </c>
      <c r="F30" s="6"/>
    </row>
    <row r="31" spans="1:18">
      <c r="A31" s="233" t="s">
        <v>55</v>
      </c>
      <c r="B31" s="33">
        <f>IF(ISERROR(TER_onderwijs_ele_kWh/1000),0,TER_onderwijs_ele_kWh/1000)</f>
        <v>282.26799999999997</v>
      </c>
      <c r="C31" s="39">
        <f>IF(ISERROR(B31*3.6/1000000/'E Balans VL '!Z11*100),0,B31*3.6/1000000/'E Balans VL '!Z11*100)</f>
        <v>5.6693737406436913E-2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5</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54165.55</v>
      </c>
      <c r="C5" s="17">
        <f>IF(ISERROR('Eigen informatie GS &amp; warmtenet'!B59),0,'Eigen informatie GS &amp; warmtenet'!B59)</f>
        <v>0</v>
      </c>
      <c r="D5" s="30">
        <f>SUM(D6:D15)</f>
        <v>80922.876782000007</v>
      </c>
      <c r="E5" s="17">
        <f>SUM(E6:E15)</f>
        <v>5822.7927852228349</v>
      </c>
      <c r="F5" s="17">
        <f>SUM(F6:F15)</f>
        <v>30069.66023401526</v>
      </c>
      <c r="G5" s="18"/>
      <c r="H5" s="17"/>
      <c r="I5" s="17"/>
      <c r="J5" s="17">
        <f>SUM(J6:J15)</f>
        <v>41.964375935094367</v>
      </c>
      <c r="K5" s="17"/>
      <c r="L5" s="17"/>
      <c r="M5" s="17"/>
      <c r="N5" s="17">
        <f>SUM(N6:N15)</f>
        <v>8642.0071632470754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22241.773000000001</v>
      </c>
      <c r="C8" s="33"/>
      <c r="D8" s="37">
        <f>IF( ISERROR(IND_metaal_Gas_kWH/1000),0,IND_metaal_Gas_kWH/1000)*0.902</f>
        <v>39321.335196</v>
      </c>
      <c r="E8" s="33">
        <f>C30*'E Balans VL '!I18/100/3.6*1000000</f>
        <v>638.86720593397672</v>
      </c>
      <c r="F8" s="33">
        <f>C30*'E Balans VL '!L18/100/3.6*1000000+C30*'E Balans VL '!N18/100/3.6*1000000</f>
        <v>5704.5870037297227</v>
      </c>
      <c r="G8" s="34"/>
      <c r="H8" s="33"/>
      <c r="I8" s="33"/>
      <c r="J8" s="40">
        <f>C30*'E Balans VL '!D18/100/3.6*1000000+C30*'E Balans VL '!E18/100/3.6*1000000</f>
        <v>0</v>
      </c>
      <c r="K8" s="33"/>
      <c r="L8" s="33"/>
      <c r="M8" s="33"/>
      <c r="N8" s="33">
        <f>C30*'E Balans VL '!Y18/100/3.6*1000000</f>
        <v>603.90953884112946</v>
      </c>
      <c r="O8" s="33"/>
      <c r="P8" s="33"/>
      <c r="R8" s="32"/>
    </row>
    <row r="9" spans="1:18">
      <c r="A9" s="6" t="s">
        <v>33</v>
      </c>
      <c r="B9" s="37">
        <f t="shared" si="0"/>
        <v>16627.096000000001</v>
      </c>
      <c r="C9" s="33"/>
      <c r="D9" s="37">
        <f>IF( ISERROR(IND_andere_gas_kWh/1000),0,IND_andere_gas_kWh/1000)*0.902</f>
        <v>27624.566309999998</v>
      </c>
      <c r="E9" s="33">
        <f>C31*'E Balans VL '!I19/100/3.6*1000000</f>
        <v>4500.546076118153</v>
      </c>
      <c r="F9" s="33">
        <f>C31*'E Balans VL '!L19/100/3.6*1000000+C31*'E Balans VL '!N19/100/3.6*1000000</f>
        <v>11075.405450302183</v>
      </c>
      <c r="G9" s="34"/>
      <c r="H9" s="33"/>
      <c r="I9" s="33"/>
      <c r="J9" s="40">
        <f>C31*'E Balans VL '!D19/100/3.6*1000000+C31*'E Balans VL '!E19/100/3.6*1000000</f>
        <v>0</v>
      </c>
      <c r="K9" s="33"/>
      <c r="L9" s="33"/>
      <c r="M9" s="33"/>
      <c r="N9" s="33">
        <f>C31*'E Balans VL '!Y19/100/3.6*1000000</f>
        <v>5428.4706442897059</v>
      </c>
      <c r="O9" s="33"/>
      <c r="P9" s="33"/>
      <c r="R9" s="32"/>
    </row>
    <row r="10" spans="1:18">
      <c r="A10" s="6" t="s">
        <v>41</v>
      </c>
      <c r="B10" s="37">
        <f t="shared" si="0"/>
        <v>6935.4790000000003</v>
      </c>
      <c r="C10" s="33"/>
      <c r="D10" s="37">
        <f>IF( ISERROR(IND_voed_gas_kWh/1000),0,IND_voed_gas_kWh/1000)*0.902</f>
        <v>13478.346068000001</v>
      </c>
      <c r="E10" s="33">
        <f>C32*'E Balans VL '!I20/100/3.6*1000000</f>
        <v>565.67360108838227</v>
      </c>
      <c r="F10" s="33">
        <f>C32*'E Balans VL '!L20/100/3.6*1000000+C32*'E Balans VL '!N20/100/3.6*1000000</f>
        <v>10341.42843078986</v>
      </c>
      <c r="G10" s="34"/>
      <c r="H10" s="33"/>
      <c r="I10" s="33"/>
      <c r="J10" s="40">
        <f>C32*'E Balans VL '!D20/100/3.6*1000000+C32*'E Balans VL '!E20/100/3.6*1000000</f>
        <v>9.1747968627846593E-2</v>
      </c>
      <c r="K10" s="33"/>
      <c r="L10" s="33"/>
      <c r="M10" s="33"/>
      <c r="N10" s="33">
        <f>C32*'E Balans VL '!Y20/100/3.6*1000000</f>
        <v>2037.3990035344427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7107.2659999999996</v>
      </c>
      <c r="C12" s="33"/>
      <c r="D12" s="37">
        <f>IF( ISERROR(IND_min_gas_kWh/1000),0,IND_min_gas_kWh/1000)*0.902</f>
        <v>474.61526200000003</v>
      </c>
      <c r="E12" s="33">
        <f>C34*'E Balans VL '!I22/100/3.6*1000000</f>
        <v>55.364053532655923</v>
      </c>
      <c r="F12" s="33">
        <f>C34*'E Balans VL '!L22/100/3.6*1000000+C34*'E Balans VL '!N22/100/3.6*1000000</f>
        <v>2680.4239803648275</v>
      </c>
      <c r="G12" s="34"/>
      <c r="H12" s="33"/>
      <c r="I12" s="33"/>
      <c r="J12" s="40">
        <f>C34*'E Balans VL '!D22/100/3.6*1000000+C34*'E Balans VL '!E22/100/3.6*1000000</f>
        <v>39.08934159092756</v>
      </c>
      <c r="K12" s="33"/>
      <c r="L12" s="33"/>
      <c r="M12" s="33"/>
      <c r="N12" s="33">
        <f>C34*'E Balans VL '!Y22/100/3.6*1000000</f>
        <v>0</v>
      </c>
      <c r="O12" s="33"/>
      <c r="P12" s="33"/>
      <c r="R12" s="32"/>
    </row>
    <row r="13" spans="1:18">
      <c r="A13" s="6" t="s">
        <v>39</v>
      </c>
      <c r="B13" s="37">
        <f t="shared" si="0"/>
        <v>168.01400000000001</v>
      </c>
      <c r="C13" s="33"/>
      <c r="D13" s="37">
        <f>IF( ISERROR(IND_papier_gas_kWh/1000),0,IND_papier_gas_kWh/1000)*0.902</f>
        <v>0</v>
      </c>
      <c r="E13" s="33">
        <f>C35*'E Balans VL '!I23/100/3.6*1000000</f>
        <v>1.760252734153412</v>
      </c>
      <c r="F13" s="33">
        <f>C35*'E Balans VL '!L23/100/3.6*1000000+C35*'E Balans VL '!N23/100/3.6*1000000</f>
        <v>12.537234459814989</v>
      </c>
      <c r="G13" s="34"/>
      <c r="H13" s="33"/>
      <c r="I13" s="33"/>
      <c r="J13" s="40">
        <f>C35*'E Balans VL '!D23/100/3.6*1000000+C35*'E Balans VL '!E23/100/3.6*1000000</f>
        <v>0</v>
      </c>
      <c r="K13" s="33"/>
      <c r="L13" s="33"/>
      <c r="M13" s="33"/>
      <c r="N13" s="33">
        <f>C35*'E Balans VL '!Y23/100/3.6*1000000</f>
        <v>359.11238823151643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1085.922</v>
      </c>
      <c r="C15" s="33"/>
      <c r="D15" s="37">
        <f>IF( ISERROR(IND_rest_gas_kWh/1000),0,IND_rest_gas_kWh/1000)*0.902</f>
        <v>24.013946000000001</v>
      </c>
      <c r="E15" s="33">
        <f>C37*'E Balans VL '!I15/100/3.6*1000000</f>
        <v>60.581595815513111</v>
      </c>
      <c r="F15" s="33">
        <f>C37*'E Balans VL '!L15/100/3.6*1000000+C37*'E Balans VL '!N15/100/3.6*1000000</f>
        <v>255.27813436885404</v>
      </c>
      <c r="G15" s="34"/>
      <c r="H15" s="33"/>
      <c r="I15" s="33"/>
      <c r="J15" s="40">
        <f>C37*'E Balans VL '!D15/100/3.6*1000000+C37*'E Balans VL '!E15/100/3.6*1000000</f>
        <v>2.7832863755389576</v>
      </c>
      <c r="K15" s="33"/>
      <c r="L15" s="33"/>
      <c r="M15" s="33"/>
      <c r="N15" s="33">
        <f>C37*'E Balans VL '!Y15/100/3.6*1000000</f>
        <v>213.1155883502804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54165.55</v>
      </c>
      <c r="C18" s="21">
        <f>C5+C16</f>
        <v>0</v>
      </c>
      <c r="D18" s="21">
        <f>MAX((D5+D16),0)</f>
        <v>80922.876782000007</v>
      </c>
      <c r="E18" s="21">
        <f>MAX((E5+E16),0)</f>
        <v>5822.7927852228349</v>
      </c>
      <c r="F18" s="21">
        <f>MAX((F5+F16),0)</f>
        <v>30069.66023401526</v>
      </c>
      <c r="G18" s="21"/>
      <c r="H18" s="21"/>
      <c r="I18" s="21"/>
      <c r="J18" s="21">
        <f>MAX((J5+J16),0)</f>
        <v>41.964375935094367</v>
      </c>
      <c r="K18" s="21"/>
      <c r="L18" s="21">
        <f>MAX((L5+L16),0)</f>
        <v>0</v>
      </c>
      <c r="M18" s="21"/>
      <c r="N18" s="21">
        <f>MAX((N5+N16),0)</f>
        <v>8642.0071632470754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0.18724204220991381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10142.068199423198</v>
      </c>
      <c r="C22" s="23">
        <f ca="1">C18*C20</f>
        <v>0</v>
      </c>
      <c r="D22" s="23">
        <f>D18*D20</f>
        <v>16346.421109964002</v>
      </c>
      <c r="E22" s="23">
        <f>E18*E20</f>
        <v>1321.7739622455836</v>
      </c>
      <c r="F22" s="23">
        <f>F18*F20</f>
        <v>8028.5992824820751</v>
      </c>
      <c r="G22" s="23"/>
      <c r="H22" s="23"/>
      <c r="I22" s="23"/>
      <c r="J22" s="23">
        <f>J18*J20</f>
        <v>14.855389081023405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22241.773000000001</v>
      </c>
      <c r="C30" s="39">
        <f>IF(ISERROR(B30*3.6/1000000/'E Balans VL '!Z18*100),0,B30*3.6/1000000/'E Balans VL '!Z18*100)</f>
        <v>2.1885336860017253</v>
      </c>
      <c r="D30" s="239" t="s">
        <v>692</v>
      </c>
    </row>
    <row r="31" spans="1:18">
      <c r="A31" s="6" t="s">
        <v>33</v>
      </c>
      <c r="B31" s="37">
        <f>IF( ISERROR(IND_ander_ele_kWh/1000),0,IND_ander_ele_kWh/1000)</f>
        <v>16627.096000000001</v>
      </c>
      <c r="C31" s="39">
        <f>IF(ISERROR(B31*3.6/1000000/'E Balans VL '!Z19*100),0,B31*3.6/1000000/'E Balans VL '!Z19*100)</f>
        <v>0.72409676749617302</v>
      </c>
      <c r="D31" s="239" t="s">
        <v>692</v>
      </c>
    </row>
    <row r="32" spans="1:18">
      <c r="A32" s="173" t="s">
        <v>41</v>
      </c>
      <c r="B32" s="37">
        <f>IF( ISERROR(IND_voed_ele_kWh/1000),0,IND_voed_ele_kWh/1000)</f>
        <v>6935.4790000000003</v>
      </c>
      <c r="C32" s="39">
        <f>IF(ISERROR(B32*3.6/1000000/'E Balans VL '!Z20*100),0,B32*3.6/1000000/'E Balans VL '!Z20*100)</f>
        <v>1.3159071197618912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7107.2659999999996</v>
      </c>
      <c r="C34" s="39">
        <f>IF(ISERROR(B34*3.6/1000000/'E Balans VL '!Z22*100),0,B34*3.6/1000000/'E Balans VL '!Z22*100)</f>
        <v>0.99935296854062849</v>
      </c>
      <c r="D34" s="239" t="s">
        <v>692</v>
      </c>
    </row>
    <row r="35" spans="1:5">
      <c r="A35" s="173" t="s">
        <v>39</v>
      </c>
      <c r="B35" s="37">
        <f>IF( ISERROR(IND_papier_ele_kWh/1000),0,IND_papier_ele_kWh/1000)</f>
        <v>168.01400000000001</v>
      </c>
      <c r="C35" s="39">
        <f>IF(ISERROR(B35*3.6/1000000/'E Balans VL '!Z22*100),0,B35*3.6/1000000/'E Balans VL '!Z22*100)</f>
        <v>2.3624455544000344E-2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1085.922</v>
      </c>
      <c r="C37" s="39">
        <f>IF(ISERROR(B37*3.6/1000000/'E Balans VL '!Z15*100),0,B37*3.6/1000000/'E Balans VL '!Z15*100)</f>
        <v>8.3683627971476073E-3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816.88599999999997</v>
      </c>
      <c r="C5" s="17">
        <f>'Eigen informatie GS &amp; warmtenet'!B60</f>
        <v>0</v>
      </c>
      <c r="D5" s="30">
        <f>IF(ISERROR(SUM(LB_lb_gas_kWh,LB_rest_gas_kWh)/1000),0,SUM(LB_lb_gas_kWh,LB_rest_gas_kWh)/1000)*0.902</f>
        <v>551.14454999999998</v>
      </c>
      <c r="E5" s="17">
        <f>B17*'E Balans VL '!I25/3.6*1000000/100</f>
        <v>10.29381596313508</v>
      </c>
      <c r="F5" s="17">
        <f>B17*('E Balans VL '!L25/3.6*1000000+'E Balans VL '!N25/3.6*1000000)/100</f>
        <v>2818.4613421708714</v>
      </c>
      <c r="G5" s="18"/>
      <c r="H5" s="17"/>
      <c r="I5" s="17"/>
      <c r="J5" s="17">
        <f>('E Balans VL '!D25+'E Balans VL '!E25)/3.6*1000000*landbouw!B17/100</f>
        <v>122.85036836768658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816.88599999999997</v>
      </c>
      <c r="C8" s="21">
        <f>C5+C6</f>
        <v>0</v>
      </c>
      <c r="D8" s="21">
        <f>MAX((D5+D6),0)</f>
        <v>551.14454999999998</v>
      </c>
      <c r="E8" s="21">
        <f>MAX((E5+E6),0)</f>
        <v>10.29381596313508</v>
      </c>
      <c r="F8" s="21">
        <f>MAX((F5+F6),0)</f>
        <v>2818.4613421708714</v>
      </c>
      <c r="G8" s="21"/>
      <c r="H8" s="21"/>
      <c r="I8" s="21"/>
      <c r="J8" s="21">
        <f>MAX((J5+J6),0)</f>
        <v>122.85036836768658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0.18724204220991381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152.95540289268763</v>
      </c>
      <c r="C12" s="23">
        <f ca="1">C8*C10</f>
        <v>0</v>
      </c>
      <c r="D12" s="23">
        <f>D8*D10</f>
        <v>111.33119910000001</v>
      </c>
      <c r="E12" s="23">
        <f>E8*E10</f>
        <v>2.3366962236316633</v>
      </c>
      <c r="F12" s="23">
        <f>F8*F10</f>
        <v>752.52917835962273</v>
      </c>
      <c r="G12" s="23"/>
      <c r="H12" s="23"/>
      <c r="I12" s="23"/>
      <c r="J12" s="23">
        <f>J8*J10</f>
        <v>43.489030402161049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0.11392985024778371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268.63953797079137</v>
      </c>
      <c r="C26" s="249">
        <f>B26*'GWP N2O_CH4'!B5</f>
        <v>5641.4302973866188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64.69621728537642</v>
      </c>
      <c r="C27" s="249">
        <f>B27*'GWP N2O_CH4'!B5</f>
        <v>1358.6205629929048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3.8068201552591501</v>
      </c>
      <c r="C28" s="249">
        <f>B28*'GWP N2O_CH4'!B4</f>
        <v>1180.1142481303366</v>
      </c>
      <c r="D28" s="50"/>
    </row>
    <row r="29" spans="1:4">
      <c r="A29" s="41" t="s">
        <v>277</v>
      </c>
      <c r="B29" s="249">
        <f>B34*'ha_N2O bodem landbouw'!B4</f>
        <v>12.866308176265534</v>
      </c>
      <c r="C29" s="249">
        <f>B29*'GWP N2O_CH4'!B4</f>
        <v>3988.5555346423153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3.2125885878739654E-3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2.5306469234985114E-5</v>
      </c>
      <c r="C5" s="448" t="s">
        <v>211</v>
      </c>
      <c r="D5" s="433">
        <f>SUM(D6:D11)</f>
        <v>3.957445569009129E-5</v>
      </c>
      <c r="E5" s="433">
        <f>SUM(E6:E11)</f>
        <v>1.2217940391961784E-3</v>
      </c>
      <c r="F5" s="446" t="s">
        <v>211</v>
      </c>
      <c r="G5" s="433">
        <f>SUM(G6:G11)</f>
        <v>0.32087124791116589</v>
      </c>
      <c r="H5" s="433">
        <f>SUM(H6:H11)</f>
        <v>5.9442188213694402E-2</v>
      </c>
      <c r="I5" s="448" t="s">
        <v>211</v>
      </c>
      <c r="J5" s="448" t="s">
        <v>211</v>
      </c>
      <c r="K5" s="448" t="s">
        <v>211</v>
      </c>
      <c r="L5" s="448" t="s">
        <v>211</v>
      </c>
      <c r="M5" s="433">
        <f>SUM(M6:M11)</f>
        <v>1.7193461686109725E-2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2.1931324722290775E-5</v>
      </c>
      <c r="C6" s="887"/>
      <c r="D6" s="887">
        <f>vkm_2011_GW_PW*SUMIFS(TableVerdeelsleutelVkm[CNG],TableVerdeelsleutelVkm[Voertuigtype],"Lichte voertuigen")*SUMIFS(TableECFTransport[EnergieConsumptieFactor (PJ per km)],TableECFTransport[Index],CONCATENATE($A6,"_CNG_CNG"))</f>
        <v>3.1059045148728535E-5</v>
      </c>
      <c r="E6" s="887">
        <f>vkm_2011_GW_PW*SUMIFS(TableVerdeelsleutelVkm[LPG],TableVerdeelsleutelVkm[Voertuigtype],"Lichte voertuigen")*SUMIFS(TableECFTransport[EnergieConsumptieFactor (PJ per km)],TableECFTransport[Index],CONCATENATE($A6,"_LPG_LPG"))</f>
        <v>9.7546235904553719E-4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0.17531729606907187</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4.6977680190303482E-2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1.0057335019475731E-2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9.8098859699886354E-2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3.4853507883790166E-5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4.4268910767787445E-3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3.3751445126943411E-6</v>
      </c>
      <c r="C8" s="887"/>
      <c r="D8" s="436">
        <f>vkm_2011_NGW_PW*SUMIFS(TableVerdeelsleutelVkm[CNG],TableVerdeelsleutelVkm[Voertuigtype],"Lichte voertuigen")*SUMIFS(TableECFTransport[EnergieConsumptieFactor (PJ per km)],TableECFTransport[Index],CONCATENATE($A8,"_CNG_CNG"))</f>
        <v>8.5154105413627536E-6</v>
      </c>
      <c r="E8" s="436">
        <f>vkm_2011_NGW_PW*SUMIFS(TableVerdeelsleutelVkm[LPG],TableVerdeelsleutelVkm[Voertuigtype],"Lichte voertuigen")*SUMIFS(TableECFTransport[EnergieConsumptieFactor (PJ per km)],TableECFTransport[Index],CONCATENATE($A8,"_LPG_LPG"))</f>
        <v>2.4633168015064124E-4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4.1755608462997806E-2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1.2427738307053592E-2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2.452040903463442E-3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5.6994836792098489E-3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1.9162084535389057E-6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2.5719468639180801E-4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7.0295747874958652</v>
      </c>
      <c r="C14" s="21"/>
      <c r="D14" s="21">
        <f t="shared" ref="D14:M14" si="0">((D5)*10^9/3600)+D12</f>
        <v>10.992904358358691</v>
      </c>
      <c r="E14" s="21">
        <f t="shared" si="0"/>
        <v>339.38723311004952</v>
      </c>
      <c r="F14" s="21"/>
      <c r="G14" s="21">
        <f t="shared" si="0"/>
        <v>89130.902197546078</v>
      </c>
      <c r="H14" s="21">
        <f t="shared" si="0"/>
        <v>16511.718948248446</v>
      </c>
      <c r="I14" s="21"/>
      <c r="J14" s="21"/>
      <c r="K14" s="21"/>
      <c r="L14" s="21"/>
      <c r="M14" s="21">
        <f t="shared" si="0"/>
        <v>4775.9615794749234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0.18724204220991381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1.3162319390780466</v>
      </c>
      <c r="C18" s="23"/>
      <c r="D18" s="23">
        <f t="shared" ref="D18:M18" si="1">D14*D16</f>
        <v>2.2205666803884556</v>
      </c>
      <c r="E18" s="23">
        <f t="shared" si="1"/>
        <v>77.040901915981237</v>
      </c>
      <c r="F18" s="23"/>
      <c r="G18" s="23">
        <f t="shared" si="1"/>
        <v>23797.950886744806</v>
      </c>
      <c r="H18" s="23">
        <f t="shared" si="1"/>
        <v>4111.4180181138636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8.6060278611979641E-3</v>
      </c>
      <c r="H50" s="323">
        <f t="shared" si="2"/>
        <v>0</v>
      </c>
      <c r="I50" s="323">
        <f t="shared" si="2"/>
        <v>0</v>
      </c>
      <c r="J50" s="323">
        <f t="shared" si="2"/>
        <v>0</v>
      </c>
      <c r="K50" s="323">
        <f t="shared" si="2"/>
        <v>0</v>
      </c>
      <c r="L50" s="323">
        <f t="shared" si="2"/>
        <v>0</v>
      </c>
      <c r="M50" s="323">
        <f t="shared" si="2"/>
        <v>3.8273110861197193E-4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8.6060278611979641E-3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3.8273110861197193E-4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2390.5632947772119</v>
      </c>
      <c r="H54" s="21">
        <f t="shared" si="3"/>
        <v>0</v>
      </c>
      <c r="I54" s="21">
        <f t="shared" si="3"/>
        <v>0</v>
      </c>
      <c r="J54" s="21">
        <f t="shared" si="3"/>
        <v>0</v>
      </c>
      <c r="K54" s="21">
        <f t="shared" si="3"/>
        <v>0</v>
      </c>
      <c r="L54" s="21">
        <f t="shared" si="3"/>
        <v>0</v>
      </c>
      <c r="M54" s="21">
        <f t="shared" si="3"/>
        <v>106.31419683665888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0.18724204220991381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638.28039970551561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16598.960999999999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16598.960999999999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2019-08-12T08:05:04Z</dcterms:modified>
</cp:coreProperties>
</file>