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<sst xmlns="http://schemas.openxmlformats.org/spreadsheetml/2006/main" count="2441" uniqueCount="919">
  <si>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</si>
  <si>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</si>
  <si>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</si>
  <si>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</si>
  <si>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</si>
  <si>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</si>
  <si>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</si>
  <si>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</si>
  <si>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</si>
  <si>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</si>
  <si>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</si>
  <si>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</si>
  <si>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</si>
  <si>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</si>
  <si>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</si>
  <si>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</si>
  <si>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</si>
  <si>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</si>
  <si>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</si>
  <si>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</si>
  <si>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</si>
  <si>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</si>
  <si>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</si>
  <si>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</si>
  <si>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</si>
  <si>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</si>
  <si>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</si>
  <si>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</si>
  <si>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</si>
  <si>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</si>
  <si>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</si>
  <si>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</si>
  <si>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</si>
  <si>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</si>
  <si>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</si>
  <si>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</si>
  <si>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</si>
  <si>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</si>
  <si>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</si>
  <si>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</si>
  <si>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</si>
  <si>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</si>
  <si>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</si>
  <si>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</si>
  <si>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</si>
  <si>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</si>
  <si>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</si>
  <si>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</si>
  <si>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</si>
  <si>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</si>
  <si>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</si>
  <si>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</si>
  <si>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</si>
  <si>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</si>
  <si>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</si>
  <si>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</si>
  <si>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</si>
  <si>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</si>
  <si>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</si>
  <si>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</si>
  <si>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</si>
  <si>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</si>
  <si>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</si>
  <si>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</si>
  <si>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</si>
  <si>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</si>
  <si>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</si>
  <si>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</si>
  <si>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</si>
  <si>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</si>
  <si>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</si>
  <si>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</si>
  <si>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</si>
  <si>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</si>
  <si>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</si>
  <si>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</si>
  <si>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</si>
  <si>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</si>
  <si>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</si>
  <si>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</si>
  <si>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</si>
  <si>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</si>
  <si>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</si>
  <si>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</si>
  <si>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</si>
  <si>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</si>
  <si>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</si>
  <si>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</si>
  <si>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</si>
  <si>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</si>
  <si>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</si>
  <si>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</si>
  <si>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</si>
  <si>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</si>
  <si>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</si>
  <si>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</si>
  <si>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</si>
  <si>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</si>
  <si>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</si>
  <si>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</si>
  <si>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</si>
  <si>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</si>
  <si>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</si>
  <si>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</si>
  <si>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</si>
  <si>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</si>
  <si>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</si>
  <si>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</si>
  <si>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</si>
  <si>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</si>
  <si>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</si>
  <si>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</si>
  <si>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</si>
  <si>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</si>
  <si>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</si>
  <si>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</si>
  <si>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</si>
  <si>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</si>
  <si>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</si>
  <si>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</si>
  <si>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</si>
  <si>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</si>
  <si>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</si>
  <si>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</si>
  <si>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</si>
  <si>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</si>
  <si>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</si>
  <si>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</si>
  <si>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</si>
  <si>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</si>
  <si>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</si>
  <si>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</si>
  <si>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</si>
  <si>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</si>
  <si>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</si>
  <si>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</si>
  <si>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</si>
  <si>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</si>
  <si>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</si>
  <si>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</si>
  <si>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</si>
  <si>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</si>
  <si>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</si>
  <si>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</si>
  <si>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</si>
  <si>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</si>
  <si>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</si>
  <si>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</si>
  <si>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</si>
  <si>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</si>
  <si>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</si>
  <si>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</si>
  <si>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</si>
  <si>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</si>
  <si>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</si>
  <si>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</si>
  <si>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</si>
  <si>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</si>
  <si>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</si>
  <si>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</si>
  <si>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</si>
  <si>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</si>
  <si>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</si>
  <si>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</si>
  <si>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</si>
  <si>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</si>
  <si>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</si>
  <si>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</si>
  <si>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</si>
  <si>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</si>
  <si>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</si>
  <si>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</si>
  <si>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</si>
  <si>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</si>
  <si>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</si>
  <si>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</si>
  <si>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</si>
  <si>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</si>
  <si>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</si>
  <si>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</si>
  <si>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</si>
  <si>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</si>
  <si>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</si>
  <si>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</si>
  <si>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</si>
  <si>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</si>
  <si>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</si>
  <si>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</si>
  <si>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</si>
  <si>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</si>
  <si>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</si>
  <si>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</si>
  <si>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</si>
  <si>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</si>
  <si>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</si>
  <si>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</si>
  <si>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</si>
  <si>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</si>
  <si>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</si>
  <si>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</si>
  <si>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</si>
  <si>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</si>
  <si>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</si>
  <si>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</si>
  <si>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</si>
  <si>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</si>
  <si>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</si>
  <si>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</si>
  <si>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</si>
  <si>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</si>
  <si>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</si>
  <si>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</si>
  <si>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</si>
  <si>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</si>
  <si>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</si>
  <si>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</si>
  <si>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</si>
  <si>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</si>
  <si>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</si>
  <si>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</si>
  <si>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</si>
  <si>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</si>
  <si>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</si>
  <si>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</si>
  <si>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</si>
  <si>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</si>
  <si>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</si>
  <si>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</si>
  <si>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</si>
  <si>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</si>
  <si>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</si>
  <si>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</si>
  <si>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</si>
  <si>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</si>
  <si>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</si>
  <si>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</si>
  <si>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</si>
  <si>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</si>
  <si>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</si>
  <si>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</si>
  <si>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</si>
  <si>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</si>
  <si>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</si>
  <si>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</si>
  <si>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</si>
  <si>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</si>
  <si>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</si>
  <si>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</si>
  <si>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</si>
  <si>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</si>
  <si>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</si>
  <si>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</si>
  <si>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</si>
  <si>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</si>
  <si>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</si>
  <si>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</si>
  <si>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</si>
  <si>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</si>
  <si>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</si>
  <si>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</si>
  <si>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</si>
  <si>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</si>
  <si>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</si>
  <si>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</si>
  <si>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</si>
  <si>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</si>
  <si>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</si>
  <si>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</si>
  <si>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</si>
  <si>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</si>
  <si>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</si>
  <si>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</si>
  <si>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</si>
  <si>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</si>
  <si>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</si>
  <si>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</si>
  <si>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</si>
  <si>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</si>
  <si>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</si>
  <si>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</si>
  <si>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</si>
  <si>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</si>
  <si>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</si>
  <si>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</si>
  <si>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</si>
  <si>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</si>
  <si>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</si>
  <si>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</si>
  <si>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</si>
  <si>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</si>
  <si>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</si>
  <si>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</si>
  <si>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</si>
  <si>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</si>
  <si>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</si>
  <si>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</si>
  <si>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</si>
  <si>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</si>
  <si>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</si>
  <si>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</si>
  <si>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</si>
  <si>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</si>
  <si>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</si>
  <si>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</si>
  <si>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</si>
  <si>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</si>
  <si>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</si>
  <si>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</si>
  <si>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</si>
  <si>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</si>
  <si>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</si>
  <si>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</si>
  <si>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</si>
  <si>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</si>
  <si>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</si>
  <si>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</si>
  <si>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</si>
  <si>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</si>
  <si>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</si>
  <si>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</si>
  <si>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</si>
  <si>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</si>
  <si>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</si>
  <si>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</si>
  <si>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</si>
  <si>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</si>
  <si>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</si>
  <si>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</si>
  <si>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</si>
  <si>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</si>
  <si>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</si>
  <si>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</si>
  <si>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</si>
  <si>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</si>
  <si>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</si>
  <si>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</si>
  <si>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</si>
  <si>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</si>
  <si>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</si>
  <si>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</si>
  <si>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</si>
  <si>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</si>
  <si>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</si>
  <si>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</si>
  <si>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</si>
  <si>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</si>
  <si>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</si>
  <si>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</si>
  <si>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</si>
  <si>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</si>
  <si>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</si>
  <si>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</si>
  <si>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</si>
  <si>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</si>
  <si>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</si>
  <si>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</si>
  <si>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</si>
  <si>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</si>
  <si>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</si>
  <si>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</si>
  <si>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</si>
  <si>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</si>
  <si>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</si>
  <si>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</si>
  <si>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</si>
  <si>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</si>
  <si>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</si>
  <si>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</si>
  <si>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</si>
  <si>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</si>
  <si>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</si>
  <si>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</si>
  <si>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</si>
  <si>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</si>
  <si>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</si>
  <si>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</si>
  <si>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</si>
  <si>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</si>
  <si>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</si>
  <si>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</si>
  <si>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</si>
  <si>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</si>
  <si>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</si>
  <si>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</si>
  <si>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</si>
  <si>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</si>
  <si>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</si>
  <si>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</si>
  <si>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</si>
  <si>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</si>
  <si>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</si>
  <si>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</si>
  <si>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</si>
  <si>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</si>
  <si>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</si>
  <si>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</si>
  <si>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</si>
  <si>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</si>
  <si>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</si>
  <si>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</si>
  <si>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</si>
  <si>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</si>
  <si>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</si>
  <si>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</si>
  <si>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</si>
  <si>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</si>
  <si>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</si>
  <si>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</si>
  <si>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</si>
  <si>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</si>
  <si>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</si>
  <si>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</si>
  <si>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</si>
  <si>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</si>
  <si>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</si>
  <si>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</si>
  <si>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</si>
  <si>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</si>
  <si>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</si>
  <si>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</si>
  <si>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</si>
  <si>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</si>
  <si>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</si>
  <si>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</si>
  <si>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</si>
  <si>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</si>
  <si>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</si>
  <si>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</si>
  <si>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</si>
  <si>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</si>
  <si>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</si>
  <si>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</si>
  <si>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</si>
  <si>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</si>
  <si>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</si>
  <si>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</si>
  <si>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</si>
  <si>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</si>
  <si>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</si>
  <si>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</si>
  <si>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</si>
  <si>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</si>
  <si>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</si>
  <si>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</si>
  <si>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</si>
  <si>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</si>
  <si>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</si>
  <si>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</si>
  <si>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</si>
  <si>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</si>
  <si>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</si>
  <si>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</si>
  <si>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</si>
  <si>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</si>
  <si>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</si>
  <si>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</si>
  <si>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</si>
  <si>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</si>
  <si>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</si>
  <si>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</si>
  <si>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</si>
  <si>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</si>
  <si>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</si>
  <si>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</si>
  <si>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</si>
  <si>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</si>
  <si>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</si>
  <si>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</si>
  <si>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</si>
  <si>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</si>
  <si>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</si>
  <si>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</si>
  <si>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</si>
  <si>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</si>
  <si>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</si>
  <si>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</si>
  <si>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</si>
  <si>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</si>
  <si>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</si>
  <si>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</si>
  <si>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</si>
  <si>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</si>
  <si>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</si>
  <si>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</si>
  <si>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</si>
  <si>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</si>
  <si>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</si>
  <si>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</si>
  <si>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</si>
  <si>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</si>
  <si>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</si>
  <si>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</si>
  <si>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</si>
  <si>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</si>
  <si>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</si>
  <si>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</si>
  <si>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</si>
  <si>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</si>
  <si>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</si>
  <si>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</si>
  <si>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</si>
  <si>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</si>
  <si>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</si>
  <si>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</si>
  <si>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</si>
  <si>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</si>
  <si>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</si>
  <si>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</si>
  <si>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</si>
  <si>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</si>
  <si>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</si>
  <si>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</si>
  <si>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</si>
  <si>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</si>
  <si>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</si>
  <si>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</si>
  <si>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</si>
  <si>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</si>
  <si>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</si>
  <si>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</si>
  <si>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</si>
  <si>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</si>
  <si>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</si>
  <si>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</si>
  <si>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</si>
  <si>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</si>
  <si>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</si>
  <si>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</si>
  <si>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</si>
  <si>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</si>
  <si>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</si>
  <si>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</si>
  <si>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</si>
  <si>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</si>
  <si>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</si>
  <si>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</si>
  <si>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</si>
  <si>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</si>
  <si>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</si>
  <si>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</si>
  <si>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</si>
  <si>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</si>
  <si>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</si>
  <si>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</si>
  <si>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</si>
  <si>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</si>
  <si>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</si>
  <si>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</si>
  <si>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</si>
  <si>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</si>
  <si>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</si>
  <si>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</si>
  <si>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</si>
  <si>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</si>
  <si>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</si>
  <si>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</si>
  <si>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</si>
  <si>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</si>
  <si>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</si>
  <si>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</si>
  <si>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</si>
  <si>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</si>
  <si>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</si>
  <si>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</si>
  <si>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</si>
  <si>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</si>
  <si>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</si>
  <si>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</si>
  <si>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</si>
  <si>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</si>
  <si>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</si>
  <si>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</si>
  <si>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</si>
  <si>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</si>
  <si>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</si>
  <si>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</si>
  <si>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</si>
  <si>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</si>
  <si>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</si>
  <si>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</si>
  <si>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</si>
  <si>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</si>
  <si>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</si>
  <si>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</si>
  <si>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</si>
  <si>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</si>
  <si>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</si>
  <si>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</si>
  <si>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</si>
  <si>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</si>
  <si>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</si>
  <si>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</si>
  <si>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</si>
  <si>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</si>
  <si>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</si>
  <si>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</si>
  <si>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</si>
  <si>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</si>
  <si>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</si>
  <si>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</si>
  <si>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</si>
  <si>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</si>
  <si>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</si>
  <si>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</si>
  <si>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</si>
  <si>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</si>
  <si>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</si>
  <si>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</si>
  <si>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</si>
  <si>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</si>
  <si>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</si>
  <si>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</si>
  <si>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</si>
  <si>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</si>
  <si>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</si>
  <si>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</si>
  <si>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</si>
  <si>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</si>
  <si>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</si>
  <si>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</si>
  <si>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</si>
  <si>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</si>
  <si>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</si>
  <si>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</si>
  <si>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</si>
  <si>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</si>
  <si>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</si>
  <si>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</si>
  <si>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</si>
  <si>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</si>
  <si>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</si>
  <si>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</si>
  <si>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</si>
  <si>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</si>
  <si>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</si>
  <si>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</si>
  <si>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</si>
  <si>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</si>
  <si>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</si>
  <si>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</si>
  <si>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</si>
  <si>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</si>
  <si>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</si>
  <si>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</si>
  <si>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</si>
  <si>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</si>
  <si>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</si>
  <si>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</si>
  <si>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</si>
  <si>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</si>
  <si>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</si>
  <si>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</si>
  <si>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</si>
  <si>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</si>
  <si>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</si>
  <si>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</si>
  <si>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</si>
  <si>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</si>
  <si>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</si>
  <si>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</si>
  <si>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</si>
  <si>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</si>
  <si>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</si>
  <si>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</si>
  <si>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</si>
  <si>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</si>
  <si>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</si>
  <si>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</si>
  <si>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</si>
  <si>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</si>
  <si>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</si>
  <si>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</si>
  <si>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</si>
  <si>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</si>
  <si>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</si>
  <si>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</si>
  <si>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</si>
  <si>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</si>
  <si>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</si>
  <si>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</si>
  <si>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</si>
  <si>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</si>
  <si>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</si>
  <si>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</si>
  <si>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</si>
  <si>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</si>
  <si>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</si>
  <si>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</si>
  <si>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</si>
  <si>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</si>
  <si>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</si>
  <si>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</si>
  <si>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</si>
  <si>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</si>
  <si>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</si>
  <si>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</si>
  <si>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</si>
  <si>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</si>
  <si>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</si>
  <si>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</si>
  <si>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</si>
  <si>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</si>
  <si>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</si>
  <si>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</si>
  <si>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</si>
  <si>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</si>
  <si>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</si>
  <si>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</si>
  <si>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</si>
  <si>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</si>
  <si>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</si>
  <si>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</si>
  <si>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</si>
  <si>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</si>
  <si>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</si>
  <si>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</si>
  <si>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</si>
  <si>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</si>
  <si>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</si>
  <si>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</si>
  <si>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</si>
  <si>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</si>
  <si>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</si>
  <si>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</si>
  <si>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</si>
  <si>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</si>
  <si>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</si>
  <si>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</si>
  <si>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</si>
  <si>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</si>
  <si>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</si>
  <si>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</si>
  <si>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</si>
  <si>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</si>
  <si>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</si>
  <si>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</si>
  <si>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</si>
  <si>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</si>
  <si>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</si>
  <si>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</si>
  <si>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</si>
  <si>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</si>
  <si>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</si>
  <si>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</si>
  <si>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</si>
  <si>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</si>
  <si>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</si>
  <si>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</si>
  <si>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</si>
  <si>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</si>
  <si>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</si>
  <si>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</si>
  <si>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</si>
  <si>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</si>
  <si>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</si>
  <si>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</si>
  <si>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</si>
  <si>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</si>
  <si>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</si>
  <si>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</si>
  <si>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</si>
  <si>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</si>
  <si>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</si>
  <si>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</si>
  <si>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</si>
  <si>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</si>
  <si>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</si>
  <si>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</si>
  <si>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</si>
  <si>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</si>
  <si>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</si>
  <si>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</si>
  <si>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</si>
  <si>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</si>
  <si>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</si>
  <si>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</si>
  <si>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</si>
  <si>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</si>
  <si>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</si>
  <si>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</si>
  <si>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</si>
  <si>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</si>
  <si>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</si>
  <si>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</si>
  <si>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</si>
  <si>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</si>
  <si>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</si>
  <si>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</si>
  <si>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</si>
  <si>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</si>
  <si>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</si>
  <si>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</si>
  <si>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</si>
  <si>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</si>
  <si>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</si>
  <si>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</si>
  <si>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</si>
  <si>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</si>
  <si>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</si>
  <si>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</si>
  <si>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</si>
  <si>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</si>
  <si>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</si>
  <si>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</si>
  <si>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</si>
  <si>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</si>
  <si>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</si>
  <si>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</si>
  <si>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</si>
  <si>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</si>
  <si>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</si>
  <si>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</si>
  <si>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</si>
  <si>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</si>
  <si>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</si>
  <si>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</si>
  <si>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</si>
  <si>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</si>
  <si>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</si>
  <si>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</si>
  <si>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</si>
  <si>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</si>
  <si>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</si>
  <si>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</si>
  <si>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</si>
  <si>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</si>
  <si>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</si>
  <si>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</si>
  <si>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</si>
  <si>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</si>
  <si>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</si>
  <si>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</si>
  <si>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</si>
  <si>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</si>
  <si>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</si>
  <si>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</si>
  <si>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</si>
  <si>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</si>
  <si>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</si>
  <si>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</si>
  <si>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</si>
  <si>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</si>
  <si>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</si>
  <si>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</si>
  <si>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</si>
  <si>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</si>
  <si>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</si>
  <si>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</si>
  <si>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</si>
  <si>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</si>
  <si>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</si>
  <si>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</si>
  <si>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</si>
  <si>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</si>
  <si>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</si>
  <si>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</si>
  <si>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</si>
  <si>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</si>
  <si>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</si>
  <si>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</si>
  <si>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</si>
  <si>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</si>
  <si>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</si>
  <si>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</si>
  <si>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</si>
  <si>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</si>
  <si>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</si>
  <si>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</si>
  <si>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</si>
  <si>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</si>
  <si>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</si>
  <si>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</si>
  <si>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</si>
  <si>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</si>
  <si>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</si>
  <si>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</si>
  <si>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</si>
  <si>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</si>
  <si>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</si>
  <si>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</si>
  <si>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</si>
  <si>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</si>
  <si>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</si>
  <si>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</si>
  <si>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</si>
  <si>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</si>
  <si>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</si>
  <si>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</si>
  <si>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</si>
  <si>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</si>
  <si>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</si>
  <si>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</si>
  <si>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</si>
  <si>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</si>
  <si>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</si>
  <si>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</si>
  <si>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</si>
  <si>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</si>
  <si>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</si>
  <si>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</si>
  <si>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</si>
  <si>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</si>
  <si>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</si>
  <si>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</si>
  <si>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</si>
  <si>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</si>
  <si>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72029</t>
  </si>
  <si>
    <t>OVERPELT</t>
  </si>
  <si>
    <t>Cultuurgrond (ha)</t>
  </si>
  <si>
    <t>Paarden&amp;pony's 200 - 600 kg</t>
  </si>
  <si>
    <t>Paarden&amp;pony's &lt; 200 kg</t>
  </si>
  <si>
    <t>op basis van VEA (maart 2018) en Inventaris Hernieuwbare Energiebronnen (juni 2018)</t>
  </si>
  <si>
    <t>VEA (juni 2018)</t>
  </si>
  <si>
    <t>Rik Theuwis</t>
  </si>
  <si>
    <t>Schansstraat 88 , 3900 Overpelt</t>
  </si>
  <si>
    <t>WKK-0450 Rik Theuwis</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</si>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</sst>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127140.01308036098</c:v>
                </c:pt>
                <c:pt idx="1">
                  <c:v>53122.550643444156</c:v>
                </c:pt>
                <c:pt idx="2">
                  <c:v>998.87099999999998</c:v>
                </c:pt>
                <c:pt idx="3">
                  <c:v>3576.7522512644869</c:v>
                </c:pt>
                <c:pt idx="4">
                  <c:v>236115.66993889515</c:v>
                </c:pt>
                <c:pt idx="5">
                  <c:v>95451.380983487121</c:v>
                </c:pt>
                <c:pt idx="6">
                  <c:v>2286.586816429302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0080"/>
        <c:axId val="182671616"/>
      </c:barChart>
      <c:catAx>
        <c:axId val="182670080"/>
        <c:scaling>
          <c:orientation val="minMax"/>
        </c:scaling>
        <c:axPos val="b"/>
        <c:numFmt formatCode="General" sourceLinked="0"/>
        <c:tickLblPos val="nextTo"/>
        <c:crossAx val="182671616"/>
        <c:crosses val="autoZero"/>
        <c:auto val="1"/>
        <c:lblAlgn val="ctr"/>
        <c:lblOffset val="100"/>
      </c:catAx>
      <c:valAx>
        <c:axId val="182671616"/>
        <c:scaling>
          <c:orientation val="minMax"/>
        </c:scaling>
        <c:axPos val="l"/>
        <c:majorGridlines/>
        <c:numFmt formatCode="#,##0" sourceLinked="1"/>
        <c:tickLblPos val="nextTo"/>
        <c:crossAx val="182670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127140.01308036098</c:v>
                </c:pt>
                <c:pt idx="1">
                  <c:v>53122.550643444156</c:v>
                </c:pt>
                <c:pt idx="2">
                  <c:v>998.87099999999998</c:v>
                </c:pt>
                <c:pt idx="3">
                  <c:v>3576.7522512644869</c:v>
                </c:pt>
                <c:pt idx="4">
                  <c:v>236115.66993889515</c:v>
                </c:pt>
                <c:pt idx="5">
                  <c:v>95451.380983487121</c:v>
                </c:pt>
                <c:pt idx="6">
                  <c:v>2286.586816429302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23175.014900915892</c:v>
                </c:pt>
                <c:pt idx="2">
                  <c:v>10246.706641899842</c:v>
                </c:pt>
                <c:pt idx="3">
                  <c:v>187.09682303508535</c:v>
                </c:pt>
                <c:pt idx="4">
                  <c:v>881.92794046830136</c:v>
                </c:pt>
                <c:pt idx="5">
                  <c:v>44897.006273038569</c:v>
                </c:pt>
                <c:pt idx="6">
                  <c:v>24117.706039921912</c:v>
                </c:pt>
                <c:pt idx="7">
                  <c:v>584.52349066133468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75168"/>
        <c:axId val="182781056"/>
      </c:barChart>
      <c:catAx>
        <c:axId val="182775168"/>
        <c:scaling>
          <c:orientation val="minMax"/>
        </c:scaling>
        <c:axPos val="b"/>
        <c:numFmt formatCode="General" sourceLinked="0"/>
        <c:tickLblPos val="nextTo"/>
        <c:crossAx val="182781056"/>
        <c:crosses val="autoZero"/>
        <c:auto val="1"/>
        <c:lblAlgn val="ctr"/>
        <c:lblOffset val="100"/>
      </c:catAx>
      <c:valAx>
        <c:axId val="182781056"/>
        <c:scaling>
          <c:orientation val="minMax"/>
        </c:scaling>
        <c:axPos val="l"/>
        <c:majorGridlines/>
        <c:numFmt formatCode="#,##0" sourceLinked="1"/>
        <c:tickLblPos val="nextTo"/>
        <c:crossAx val="1827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23175.014900915892</c:v>
                </c:pt>
                <c:pt idx="2">
                  <c:v>10246.706641899842</c:v>
                </c:pt>
                <c:pt idx="3">
                  <c:v>187.09682303508535</c:v>
                </c:pt>
                <c:pt idx="4">
                  <c:v>881.92794046830136</c:v>
                </c:pt>
                <c:pt idx="5">
                  <c:v>44897.006273038569</c:v>
                </c:pt>
                <c:pt idx="6">
                  <c:v>24117.706039921912</c:v>
                </c:pt>
                <c:pt idx="7">
                  <c:v>584.52349066133468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72029</v>
      </c>
      <c r="B6" s="398"/>
      <c r="C6" s="399"/>
    </row>
    <row r="7" spans="1:7" s="396" customFormat="1" ht="15.75" customHeight="1">
      <c r="A7" s="400" t="str">
        <f>txtMunicipality</f>
        <v>OVERPELT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0.18730829409912325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0.18730829409912325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72029</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5886</v>
      </c>
      <c r="C9" s="338">
        <v>6109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1156</v>
      </c>
    </row>
    <row r="15" spans="1:6">
      <c r="A15" s="1295" t="s">
        <v>184</v>
      </c>
      <c r="B15" s="335">
        <v>1754</v>
      </c>
    </row>
    <row r="16" spans="1:6">
      <c r="A16" s="1295" t="s">
        <v>6</v>
      </c>
      <c r="B16" s="335">
        <v>897</v>
      </c>
    </row>
    <row r="17" spans="1:6">
      <c r="A17" s="1295" t="s">
        <v>7</v>
      </c>
      <c r="B17" s="335">
        <v>29</v>
      </c>
    </row>
    <row r="18" spans="1:6">
      <c r="A18" s="1295" t="s">
        <v>8</v>
      </c>
      <c r="B18" s="335">
        <v>520</v>
      </c>
    </row>
    <row r="19" spans="1:6">
      <c r="A19" s="1295" t="s">
        <v>9</v>
      </c>
      <c r="B19" s="335">
        <v>462</v>
      </c>
    </row>
    <row r="20" spans="1:6">
      <c r="A20" s="1295" t="s">
        <v>10</v>
      </c>
      <c r="B20" s="335">
        <v>187</v>
      </c>
    </row>
    <row r="21" spans="1:6">
      <c r="A21" s="1295" t="s">
        <v>11</v>
      </c>
      <c r="B21" s="335">
        <v>0</v>
      </c>
    </row>
    <row r="22" spans="1:6">
      <c r="A22" s="1295" t="s">
        <v>12</v>
      </c>
      <c r="B22" s="335">
        <v>171</v>
      </c>
    </row>
    <row r="23" spans="1:6">
      <c r="A23" s="1295" t="s">
        <v>13</v>
      </c>
      <c r="B23" s="335">
        <v>0</v>
      </c>
    </row>
    <row r="24" spans="1:6">
      <c r="A24" s="1295" t="s">
        <v>14</v>
      </c>
      <c r="B24" s="335">
        <v>0</v>
      </c>
    </row>
    <row r="25" spans="1:6">
      <c r="A25" s="1295" t="s">
        <v>15</v>
      </c>
      <c r="B25" s="335">
        <v>0</v>
      </c>
    </row>
    <row r="26" spans="1:6">
      <c r="A26" s="1295" t="s">
        <v>16</v>
      </c>
      <c r="B26" s="335">
        <v>92</v>
      </c>
    </row>
    <row r="27" spans="1:6">
      <c r="A27" s="1295" t="s">
        <v>17</v>
      </c>
      <c r="B27" s="335">
        <v>0</v>
      </c>
    </row>
    <row r="28" spans="1:6" s="341" customFormat="1">
      <c r="A28" s="1296" t="s">
        <v>18</v>
      </c>
      <c r="B28" s="1296">
        <v>15809</v>
      </c>
    </row>
    <row r="29" spans="1:6">
      <c r="A29" s="1296" t="s">
        <v>909</v>
      </c>
      <c r="B29" s="1296">
        <v>87</v>
      </c>
      <c r="C29" s="341"/>
      <c r="D29" s="341"/>
      <c r="E29" s="341"/>
      <c r="F29" s="341"/>
    </row>
    <row r="30" spans="1:6">
      <c r="A30" s="1291" t="s">
        <v>910</v>
      </c>
      <c r="B30" s="1291">
        <v>19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5</v>
      </c>
      <c r="F36" s="335">
        <v>41771</v>
      </c>
    </row>
    <row r="37" spans="1:6">
      <c r="A37" s="1295" t="s">
        <v>25</v>
      </c>
      <c r="B37" s="1295" t="s">
        <v>28</v>
      </c>
      <c r="C37" s="335">
        <v>0</v>
      </c>
      <c r="D37" s="335">
        <v>0</v>
      </c>
      <c r="E37" s="335">
        <v>0</v>
      </c>
      <c r="F37" s="335">
        <v>0</v>
      </c>
    </row>
    <row r="38" spans="1:6">
      <c r="A38" s="1295" t="s">
        <v>25</v>
      </c>
      <c r="B38" s="1295" t="s">
        <v>29</v>
      </c>
      <c r="C38" s="335">
        <v>1</v>
      </c>
      <c r="D38" s="335">
        <v>418208</v>
      </c>
      <c r="E38" s="335">
        <v>0</v>
      </c>
      <c r="F38" s="335">
        <v>0</v>
      </c>
    </row>
    <row r="39" spans="1:6">
      <c r="A39" s="1295" t="s">
        <v>30</v>
      </c>
      <c r="B39" s="1295" t="s">
        <v>31</v>
      </c>
      <c r="C39" s="335">
        <v>3734</v>
      </c>
      <c r="D39" s="335">
        <v>62489205</v>
      </c>
      <c r="E39" s="335">
        <v>6098</v>
      </c>
      <c r="F39" s="335">
        <v>23135024</v>
      </c>
    </row>
    <row r="40" spans="1:6">
      <c r="A40" s="1295" t="s">
        <v>30</v>
      </c>
      <c r="B40" s="1295" t="s">
        <v>29</v>
      </c>
      <c r="C40" s="335">
        <v>0</v>
      </c>
      <c r="D40" s="335">
        <v>0</v>
      </c>
      <c r="E40" s="335">
        <v>0</v>
      </c>
      <c r="F40" s="335">
        <v>0</v>
      </c>
    </row>
    <row r="41" spans="1:6">
      <c r="A41" s="1295" t="s">
        <v>32</v>
      </c>
      <c r="B41" s="1295" t="s">
        <v>33</v>
      </c>
      <c r="C41" s="335">
        <v>60</v>
      </c>
      <c r="D41" s="335">
        <v>12060467</v>
      </c>
      <c r="E41" s="335">
        <v>129</v>
      </c>
      <c r="F41" s="335">
        <v>17877281</v>
      </c>
    </row>
    <row r="42" spans="1:6">
      <c r="A42" s="1295" t="s">
        <v>32</v>
      </c>
      <c r="B42" s="1295" t="s">
        <v>34</v>
      </c>
      <c r="C42" s="335">
        <v>3</v>
      </c>
      <c r="D42" s="335">
        <v>972108</v>
      </c>
      <c r="E42" s="335">
        <v>4</v>
      </c>
      <c r="F42" s="335">
        <v>1029128</v>
      </c>
    </row>
    <row r="43" spans="1:6">
      <c r="A43" s="1295" t="s">
        <v>32</v>
      </c>
      <c r="B43" s="1295" t="s">
        <v>35</v>
      </c>
      <c r="C43" s="335">
        <v>0</v>
      </c>
      <c r="D43" s="335">
        <v>0</v>
      </c>
      <c r="E43" s="335">
        <v>3</v>
      </c>
      <c r="F43" s="335">
        <v>4303247</v>
      </c>
    </row>
    <row r="44" spans="1:6">
      <c r="A44" s="1295" t="s">
        <v>32</v>
      </c>
      <c r="B44" s="1295" t="s">
        <v>36</v>
      </c>
      <c r="C44" s="335">
        <v>28</v>
      </c>
      <c r="D44" s="335">
        <v>59971882</v>
      </c>
      <c r="E44" s="335">
        <v>47</v>
      </c>
      <c r="F44" s="335">
        <v>29864199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2117018</v>
      </c>
      <c r="E47" s="335">
        <v>5</v>
      </c>
      <c r="F47" s="335">
        <v>4694871</v>
      </c>
    </row>
    <row r="48" spans="1:6">
      <c r="A48" s="1295" t="s">
        <v>32</v>
      </c>
      <c r="B48" s="1295" t="s">
        <v>29</v>
      </c>
      <c r="C48" s="335">
        <v>5</v>
      </c>
      <c r="D48" s="335">
        <v>68885144</v>
      </c>
      <c r="E48" s="335">
        <v>2</v>
      </c>
      <c r="F48" s="335">
        <v>36660</v>
      </c>
    </row>
    <row r="49" spans="1:6">
      <c r="A49" s="1295" t="s">
        <v>32</v>
      </c>
      <c r="B49" s="1295" t="s">
        <v>40</v>
      </c>
      <c r="C49" s="335">
        <v>3</v>
      </c>
      <c r="D49" s="335">
        <v>3649802</v>
      </c>
      <c r="E49" s="335">
        <v>4</v>
      </c>
      <c r="F49" s="335">
        <v>1478636</v>
      </c>
    </row>
    <row r="50" spans="1:6">
      <c r="A50" s="1295" t="s">
        <v>32</v>
      </c>
      <c r="B50" s="1295" t="s">
        <v>41</v>
      </c>
      <c r="C50" s="335">
        <v>7</v>
      </c>
      <c r="D50" s="335">
        <v>474505</v>
      </c>
      <c r="E50" s="335">
        <v>13</v>
      </c>
      <c r="F50" s="335">
        <v>258978</v>
      </c>
    </row>
    <row r="51" spans="1:6">
      <c r="A51" s="1295" t="s">
        <v>42</v>
      </c>
      <c r="B51" s="1295" t="s">
        <v>43</v>
      </c>
      <c r="C51" s="335">
        <v>4</v>
      </c>
      <c r="D51" s="335">
        <v>116227</v>
      </c>
      <c r="E51" s="335">
        <v>44</v>
      </c>
      <c r="F51" s="335">
        <v>739081</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73</v>
      </c>
      <c r="F54" s="335">
        <v>998871</v>
      </c>
    </row>
    <row r="55" spans="1:6">
      <c r="A55" s="1295" t="s">
        <v>46</v>
      </c>
      <c r="B55" s="1295" t="s">
        <v>29</v>
      </c>
      <c r="C55" s="335">
        <v>0</v>
      </c>
      <c r="D55" s="335">
        <v>0</v>
      </c>
      <c r="E55" s="335">
        <v>0</v>
      </c>
      <c r="F55" s="335">
        <v>0</v>
      </c>
    </row>
    <row r="56" spans="1:6">
      <c r="A56" s="1295" t="s">
        <v>48</v>
      </c>
      <c r="B56" s="1295" t="s">
        <v>29</v>
      </c>
      <c r="C56" s="335">
        <v>82</v>
      </c>
      <c r="D56" s="335">
        <v>13937754</v>
      </c>
      <c r="E56" s="335">
        <v>82</v>
      </c>
      <c r="F56" s="335">
        <v>651200</v>
      </c>
    </row>
    <row r="57" spans="1:6">
      <c r="A57" s="1295" t="s">
        <v>49</v>
      </c>
      <c r="B57" s="1295" t="s">
        <v>50</v>
      </c>
      <c r="C57" s="335">
        <v>27</v>
      </c>
      <c r="D57" s="335">
        <v>2590979</v>
      </c>
      <c r="E57" s="335">
        <v>69</v>
      </c>
      <c r="F57" s="335">
        <v>2899879</v>
      </c>
    </row>
    <row r="58" spans="1:6">
      <c r="A58" s="1295" t="s">
        <v>49</v>
      </c>
      <c r="B58" s="1295" t="s">
        <v>51</v>
      </c>
      <c r="C58" s="335">
        <v>20</v>
      </c>
      <c r="D58" s="335">
        <v>3930172</v>
      </c>
      <c r="E58" s="335">
        <v>40</v>
      </c>
      <c r="F58" s="335">
        <v>2409397</v>
      </c>
    </row>
    <row r="59" spans="1:6">
      <c r="A59" s="1295" t="s">
        <v>49</v>
      </c>
      <c r="B59" s="1295" t="s">
        <v>52</v>
      </c>
      <c r="C59" s="335">
        <v>80</v>
      </c>
      <c r="D59" s="335">
        <v>6159178</v>
      </c>
      <c r="E59" s="335">
        <v>153</v>
      </c>
      <c r="F59" s="335">
        <v>6628312</v>
      </c>
    </row>
    <row r="60" spans="1:6">
      <c r="A60" s="1295" t="s">
        <v>49</v>
      </c>
      <c r="B60" s="1295" t="s">
        <v>53</v>
      </c>
      <c r="C60" s="335">
        <v>28</v>
      </c>
      <c r="D60" s="335">
        <v>1616317</v>
      </c>
      <c r="E60" s="335">
        <v>51</v>
      </c>
      <c r="F60" s="335">
        <v>1317525</v>
      </c>
    </row>
    <row r="61" spans="1:6">
      <c r="A61" s="1295" t="s">
        <v>49</v>
      </c>
      <c r="B61" s="1295" t="s">
        <v>54</v>
      </c>
      <c r="C61" s="335">
        <v>60</v>
      </c>
      <c r="D61" s="335">
        <v>3450199</v>
      </c>
      <c r="E61" s="335">
        <v>220</v>
      </c>
      <c r="F61" s="335">
        <v>12412642</v>
      </c>
    </row>
    <row r="62" spans="1:6">
      <c r="A62" s="1295" t="s">
        <v>49</v>
      </c>
      <c r="B62" s="1295" t="s">
        <v>55</v>
      </c>
      <c r="C62" s="335">
        <v>20</v>
      </c>
      <c r="D62" s="335">
        <v>3282465</v>
      </c>
      <c r="E62" s="335">
        <v>23</v>
      </c>
      <c r="F62" s="335">
        <v>1081562</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2</v>
      </c>
      <c r="D65" s="335">
        <v>348872</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5</v>
      </c>
      <c r="F68" s="335">
        <v>357098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84245607</v>
      </c>
      <c r="E73" s="335">
        <v>87154434.00608319</v>
      </c>
    </row>
    <row r="74" spans="1:6">
      <c r="A74" s="1295" t="s">
        <v>64</v>
      </c>
      <c r="B74" s="1295" t="s">
        <v>727</v>
      </c>
      <c r="C74" s="1295" t="s">
        <v>728</v>
      </c>
      <c r="D74" s="335">
        <v>8519318.5151872952</v>
      </c>
      <c r="E74" s="335">
        <v>8807798.4291414563</v>
      </c>
    </row>
    <row r="75" spans="1:6">
      <c r="A75" s="1295" t="s">
        <v>65</v>
      </c>
      <c r="B75" s="1295" t="s">
        <v>725</v>
      </c>
      <c r="C75" s="1295" t="s">
        <v>729</v>
      </c>
      <c r="D75" s="335">
        <v>21762804</v>
      </c>
      <c r="E75" s="335">
        <v>22505694.08864674</v>
      </c>
    </row>
    <row r="76" spans="1:6">
      <c r="A76" s="1295" t="s">
        <v>65</v>
      </c>
      <c r="B76" s="1295" t="s">
        <v>727</v>
      </c>
      <c r="C76" s="1295" t="s">
        <v>730</v>
      </c>
      <c r="D76" s="335">
        <v>890183.51518729597</v>
      </c>
      <c r="E76" s="335">
        <v>909198.24303393962</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604088.96962540806</v>
      </c>
      <c r="C83" s="335">
        <v>580007.69954063534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4223.8230000000003</v>
      </c>
    </row>
    <row r="92" spans="1:6">
      <c r="A92" s="1291" t="s">
        <v>69</v>
      </c>
      <c r="B92" s="338">
        <v>13423.89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1399</v>
      </c>
    </row>
    <row r="98" spans="1:6">
      <c r="A98" s="1295" t="s">
        <v>72</v>
      </c>
      <c r="B98" s="335">
        <v>3</v>
      </c>
    </row>
    <row r="99" spans="1:6">
      <c r="A99" s="1295" t="s">
        <v>73</v>
      </c>
      <c r="B99" s="335">
        <v>78</v>
      </c>
    </row>
    <row r="100" spans="1:6">
      <c r="A100" s="1295" t="s">
        <v>74</v>
      </c>
      <c r="B100" s="335">
        <v>209</v>
      </c>
    </row>
    <row r="101" spans="1:6">
      <c r="A101" s="1295" t="s">
        <v>75</v>
      </c>
      <c r="B101" s="335">
        <v>54</v>
      </c>
    </row>
    <row r="102" spans="1:6">
      <c r="A102" s="1295" t="s">
        <v>76</v>
      </c>
      <c r="B102" s="335">
        <v>43</v>
      </c>
    </row>
    <row r="103" spans="1:6">
      <c r="A103" s="1295" t="s">
        <v>77</v>
      </c>
      <c r="B103" s="335">
        <v>68</v>
      </c>
    </row>
    <row r="104" spans="1:6">
      <c r="A104" s="1295" t="s">
        <v>78</v>
      </c>
      <c r="B104" s="335">
        <v>2869</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6</v>
      </c>
      <c r="C123" s="335">
        <v>21</v>
      </c>
    </row>
    <row r="124" spans="1:6">
      <c r="A124" s="1291" t="s">
        <v>89</v>
      </c>
      <c r="B124" s="335">
        <v>1</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141</v>
      </c>
    </row>
    <row r="130" spans="1:6">
      <c r="A130" s="1295" t="s">
        <v>295</v>
      </c>
      <c r="B130" s="335">
        <v>0</v>
      </c>
    </row>
    <row r="131" spans="1:6">
      <c r="A131" s="1295" t="s">
        <v>296</v>
      </c>
      <c r="B131" s="335">
        <v>2</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116046.10447754912</v>
      </c>
      <c r="C3" s="43" t="s">
        <v>170</v>
      </c>
      <c r="D3" s="43"/>
      <c r="E3" s="156"/>
      <c r="F3" s="43"/>
      <c r="G3" s="43"/>
      <c r="H3" s="43"/>
      <c r="I3" s="43"/>
      <c r="J3" s="43"/>
      <c r="K3" s="96"/>
    </row>
    <row r="4" spans="1:11">
      <c r="A4" s="366" t="s">
        <v>171</v>
      </c>
      <c r="B4" s="49">
        <f>IF(ISERROR('SEAP template'!B78+'SEAP template'!C78),0,'SEAP template'!B78+'SEAP template'!C78)</f>
        <v>17691.363000000001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0.18730829409912325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62.357142857142847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998.87099999999998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998.87099999999998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0.18730829409912325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187.09682303508535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23135.024000000001</v>
      </c>
      <c r="C5" s="17">
        <f>IF(ISERROR('Eigen informatie GS &amp; warmtenet'!B57),0,'Eigen informatie GS &amp; warmtenet'!B57)</f>
        <v>0</v>
      </c>
      <c r="D5" s="30">
        <f>(SUM(HH_hh_gas_kWh,HH_rest_gas_kWh)/1000)*0.902</f>
        <v>56365.262910000005</v>
      </c>
      <c r="E5" s="17">
        <f>B46*B57</f>
        <v>6532.344965395584</v>
      </c>
      <c r="F5" s="17">
        <f>B51*B62</f>
        <v>19407.679872142991</v>
      </c>
      <c r="G5" s="18"/>
      <c r="H5" s="17"/>
      <c r="I5" s="17"/>
      <c r="J5" s="17">
        <f>B50*B61+C50*C61</f>
        <v>0</v>
      </c>
      <c r="K5" s="17"/>
      <c r="L5" s="17"/>
      <c r="M5" s="17"/>
      <c r="N5" s="17">
        <f>B48*B59+C48*C59</f>
        <v>16954.12166615573</v>
      </c>
      <c r="O5" s="17">
        <f>B69*B70*B71</f>
        <v>254.82333333333335</v>
      </c>
      <c r="P5" s="17">
        <f>B77*B78*B79/1000-B77*B78*B79/1000/B80</f>
        <v>266.93333333333334</v>
      </c>
    </row>
    <row r="6" spans="1:16">
      <c r="A6" s="16" t="s">
        <v>634</v>
      </c>
      <c r="B6" s="783">
        <f>kWh_PV_kleiner_dan_10kW</f>
        <v>4223.8230000000003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27358.847000000002</v>
      </c>
      <c r="C8" s="21">
        <f>C5</f>
        <v>0</v>
      </c>
      <c r="D8" s="21">
        <f>D5</f>
        <v>56365.262910000005</v>
      </c>
      <c r="E8" s="21">
        <f>E5</f>
        <v>6532.344965395584</v>
      </c>
      <c r="F8" s="21">
        <f>F5</f>
        <v>19407.679872142991</v>
      </c>
      <c r="G8" s="21"/>
      <c r="H8" s="21"/>
      <c r="I8" s="21"/>
      <c r="J8" s="21">
        <f>J5</f>
        <v>0</v>
      </c>
      <c r="K8" s="21"/>
      <c r="L8" s="21">
        <f>L5</f>
        <v>0</v>
      </c>
      <c r="M8" s="21">
        <f>M5</f>
        <v>0</v>
      </c>
      <c r="N8" s="21">
        <f>N5</f>
        <v>16954.12166615573</v>
      </c>
      <c r="O8" s="21">
        <f>O5</f>
        <v>254.82333333333335</v>
      </c>
      <c r="P8" s="21">
        <f>P5</f>
        <v>266.93333333333334</v>
      </c>
    </row>
    <row r="9" spans="1:16">
      <c r="B9" s="19"/>
      <c r="C9" s="19"/>
      <c r="D9" s="261"/>
      <c r="E9" s="19"/>
      <c r="F9" s="19"/>
      <c r="G9" s="19"/>
      <c r="H9" s="19"/>
      <c r="I9" s="19"/>
      <c r="J9" s="19"/>
      <c r="K9" s="19"/>
      <c r="L9" s="19"/>
      <c r="M9" s="19"/>
      <c r="N9" s="19"/>
      <c r="O9" s="19"/>
      <c r="P9" s="19"/>
    </row>
    <row r="10" spans="1:16">
      <c r="A10" s="24" t="s">
        <v>214</v>
      </c>
      <c r="B10" s="25">
        <f ca="1">'EF ele_warmte'!B12</f>
        <v>0.18730829409912325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5124.5389600889166</v>
      </c>
      <c r="C12" s="23">
        <f ca="1">C10*C8</f>
        <v>0</v>
      </c>
      <c r="D12" s="23">
        <f>D8*D10</f>
        <v>11385.783107820002</v>
      </c>
      <c r="E12" s="23">
        <f>E10*E8</f>
        <v>1482.8423071447976</v>
      </c>
      <c r="F12" s="23">
        <f>F10*F8</f>
        <v>5181.850525862179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1399</v>
      </c>
      <c r="C18" s="168" t="s">
        <v>111</v>
      </c>
      <c r="D18" s="230"/>
      <c r="E18" s="15"/>
    </row>
    <row r="19" spans="1:7">
      <c r="A19" s="173" t="s">
        <v>72</v>
      </c>
      <c r="B19" s="37">
        <f>aantalw2001_ander</f>
        <v>3</v>
      </c>
      <c r="C19" s="168" t="s">
        <v>111</v>
      </c>
      <c r="D19" s="231"/>
      <c r="E19" s="15"/>
    </row>
    <row r="20" spans="1:7">
      <c r="A20" s="173" t="s">
        <v>73</v>
      </c>
      <c r="B20" s="37">
        <f>aantalw2001_propaan</f>
        <v>78</v>
      </c>
      <c r="C20" s="169">
        <f>IF(ISERROR(B20/SUM($B$20,$B$21,$B$22)*100),0,B20/SUM($B$20,$B$21,$B$22)*100)</f>
        <v>22.873900293255129</v>
      </c>
      <c r="D20" s="231"/>
      <c r="E20" s="15"/>
    </row>
    <row r="21" spans="1:7">
      <c r="A21" s="173" t="s">
        <v>74</v>
      </c>
      <c r="B21" s="37">
        <f>aantalw2001_elektriciteit</f>
        <v>209</v>
      </c>
      <c r="C21" s="169">
        <f>IF(ISERROR(B21/SUM($B$20,$B$21,$B$22)*100),0,B21/SUM($B$20,$B$21,$B$22)*100)</f>
        <v>61.29032258064516</v>
      </c>
      <c r="D21" s="231"/>
      <c r="E21" s="15"/>
    </row>
    <row r="22" spans="1:7">
      <c r="A22" s="173" t="s">
        <v>75</v>
      </c>
      <c r="B22" s="37">
        <f>aantalw2001_hout</f>
        <v>54</v>
      </c>
      <c r="C22" s="169">
        <f>IF(ISERROR(B22/SUM($B$20,$B$21,$B$22)*100),0,B22/SUM($B$20,$B$21,$B$22)*100)</f>
        <v>15.835777126099707</v>
      </c>
      <c r="D22" s="231"/>
      <c r="E22" s="15"/>
    </row>
    <row r="23" spans="1:7">
      <c r="A23" s="173" t="s">
        <v>76</v>
      </c>
      <c r="B23" s="37">
        <f>aantalw2001_niet_gespec</f>
        <v>43</v>
      </c>
      <c r="C23" s="168" t="s">
        <v>111</v>
      </c>
      <c r="D23" s="230"/>
      <c r="E23" s="15"/>
    </row>
    <row r="24" spans="1:7">
      <c r="A24" s="173" t="s">
        <v>77</v>
      </c>
      <c r="B24" s="37">
        <f>aantalw2001_steenkool</f>
        <v>68</v>
      </c>
      <c r="C24" s="168" t="s">
        <v>111</v>
      </c>
      <c r="D24" s="231"/>
      <c r="E24" s="15"/>
    </row>
    <row r="25" spans="1:7">
      <c r="A25" s="173" t="s">
        <v>78</v>
      </c>
      <c r="B25" s="37">
        <f>aantalw2001_stookolie</f>
        <v>2869</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5886</v>
      </c>
      <c r="C28" s="36"/>
      <c r="D28" s="230"/>
    </row>
    <row r="29" spans="1:7" s="15" customFormat="1">
      <c r="A29" s="232" t="s">
        <v>746</v>
      </c>
      <c r="B29" s="37">
        <f>SUM(HH_hh_gas_aantal,HH_rest_gas_aantal)</f>
        <v>3734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3734</v>
      </c>
      <c r="C32" s="169">
        <f>IF(ISERROR(B32/SUM($B$32,$B$34,$B$35,$B$36,$B$38,$B$39)*100),0,B32/SUM($B$32,$B$34,$B$35,$B$36,$B$38,$B$39)*100)</f>
        <v>63.589918256130794</v>
      </c>
      <c r="D32" s="235"/>
      <c r="G32" s="15"/>
    </row>
    <row r="33" spans="1:7">
      <c r="A33" s="173" t="s">
        <v>72</v>
      </c>
      <c r="B33" s="34" t="s">
        <v>111</v>
      </c>
      <c r="C33" s="169"/>
      <c r="D33" s="235"/>
      <c r="G33" s="15"/>
    </row>
    <row r="34" spans="1:7">
      <c r="A34" s="173" t="s">
        <v>73</v>
      </c>
      <c r="B34" s="33">
        <f>IF((($B$28-$B$32-$B$39-$B$77-$B$38)*C20/100)&lt;0,0,($B$28-$B$32-$B$39-$B$77-$B$38)*C20/100)</f>
        <v>313.48680351906154</v>
      </c>
      <c r="C34" s="169">
        <f>IF(ISERROR(B34/SUM($B$32,$B$34,$B$35,$B$36,$B$38,$B$39)*100),0,B34/SUM($B$32,$B$34,$B$35,$B$36,$B$38,$B$39)*100)</f>
        <v>5.3386717220548627</v>
      </c>
      <c r="D34" s="235"/>
      <c r="G34" s="15"/>
    </row>
    <row r="35" spans="1:7">
      <c r="A35" s="173" t="s">
        <v>74</v>
      </c>
      <c r="B35" s="33">
        <f>IF((($B$28-$B$32-$B$39-$B$77-$B$38)*C21/100)&lt;0,0,($B$28-$B$32-$B$39-$B$77-$B$38)*C21/100)</f>
        <v>839.98387096774195</v>
      </c>
      <c r="C35" s="169">
        <f>IF(ISERROR(B35/SUM($B$32,$B$34,$B$35,$B$36,$B$38,$B$39)*100),0,B35/SUM($B$32,$B$34,$B$35,$B$36,$B$38,$B$39)*100)</f>
        <v>14.30490243473675</v>
      </c>
      <c r="D35" s="235"/>
      <c r="G35" s="15"/>
    </row>
    <row r="36" spans="1:7">
      <c r="A36" s="173" t="s">
        <v>75</v>
      </c>
      <c r="B36" s="33">
        <f>IF((($B$28-$B$32-$B$39-$B$77-$B$38)*C22/100)&lt;0,0,($B$28-$B$32-$B$39-$B$77-$B$38)*C22/100)</f>
        <v>217.02932551319648</v>
      </c>
      <c r="C36" s="169">
        <f>IF(ISERROR(B36/SUM($B$32,$B$34,$B$35,$B$36,$B$38,$B$39)*100),0,B36/SUM($B$32,$B$34,$B$35,$B$36,$B$38,$B$39)*100)</f>
        <v>3.696003499884136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767.5</v>
      </c>
      <c r="C39" s="169">
        <f>IF(ISERROR(B39/SUM($B$32,$B$34,$B$35,$B$36,$B$38,$B$39)*100),0,B39/SUM($B$32,$B$34,$B$35,$B$36,$B$38,$B$39)*100)</f>
        <v>13.070504087193461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3734</v>
      </c>
      <c r="C44" s="34" t="s">
        <v>111</v>
      </c>
      <c r="D44" s="176"/>
    </row>
    <row r="45" spans="1:7">
      <c r="A45" s="173" t="s">
        <v>72</v>
      </c>
      <c r="B45" s="33" t="str">
        <f t="shared" si="0"/>
        <v>-</v>
      </c>
      <c r="C45" s="34" t="s">
        <v>111</v>
      </c>
      <c r="D45" s="176"/>
    </row>
    <row r="46" spans="1:7">
      <c r="A46" s="173" t="s">
        <v>73</v>
      </c>
      <c r="B46" s="33">
        <f t="shared" si="0"/>
        <v>313.48680351906154</v>
      </c>
      <c r="C46" s="34" t="s">
        <v>111</v>
      </c>
      <c r="D46" s="176"/>
    </row>
    <row r="47" spans="1:7">
      <c r="A47" s="173" t="s">
        <v>74</v>
      </c>
      <c r="B47" s="33">
        <f t="shared" si="0"/>
        <v>839.98387096774195</v>
      </c>
      <c r="C47" s="34" t="s">
        <v>111</v>
      </c>
      <c r="D47" s="176"/>
    </row>
    <row r="48" spans="1:7">
      <c r="A48" s="173" t="s">
        <v>75</v>
      </c>
      <c r="B48" s="33">
        <f t="shared" si="0"/>
        <v>217.02932551319648</v>
      </c>
      <c r="C48" s="33">
        <f>B48*10</f>
        <v>2170.293255131965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767.5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163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26749.317000000003</v>
      </c>
      <c r="C5" s="17">
        <f>IF(ISERROR('Eigen informatie GS &amp; warmtenet'!B58),0,'Eigen informatie GS &amp; warmtenet'!B58)</f>
        <v>0</v>
      </c>
      <c r="D5" s="30">
        <f>SUM(D6:D12)</f>
        <v>18968.437620000001</v>
      </c>
      <c r="E5" s="17">
        <f>SUM(E6:E12)</f>
        <v>234.89199501821918</v>
      </c>
      <c r="F5" s="17">
        <f>SUM(F6:F12)</f>
        <v>5061.3963453334354</v>
      </c>
      <c r="G5" s="18"/>
      <c r="H5" s="17"/>
      <c r="I5" s="17"/>
      <c r="J5" s="17">
        <f>SUM(J6:J12)</f>
        <v>0</v>
      </c>
      <c r="K5" s="17"/>
      <c r="L5" s="17"/>
      <c r="M5" s="17"/>
      <c r="N5" s="17">
        <f>SUM(N6:N12)</f>
        <v>2070.3743497591636</v>
      </c>
      <c r="O5" s="17">
        <f>B38*B39*B40</f>
        <v>0</v>
      </c>
      <c r="P5" s="17">
        <f>B46*B47*B48/1000-B46*B47*B48/1000/B49</f>
        <v>38.133333333333333</v>
      </c>
      <c r="R5" s="32"/>
    </row>
    <row r="6" spans="1:18">
      <c r="A6" s="32" t="s">
        <v>54</v>
      </c>
      <c r="B6" s="37">
        <f>B26</f>
        <v>12412.642</v>
      </c>
      <c r="C6" s="33"/>
      <c r="D6" s="37">
        <f>IF(ISERROR(TER_kantoor_gas_kWh/1000),0,TER_kantoor_gas_kWh/1000)*0.902</f>
        <v>3112.0794980000001</v>
      </c>
      <c r="E6" s="33">
        <f>$C$26*'E Balans VL '!I12/100/3.6*1000000</f>
        <v>48.225742079426119</v>
      </c>
      <c r="F6" s="33">
        <f>$C$26*('E Balans VL '!L12+'E Balans VL '!N12)/100/3.6*1000000</f>
        <v>1887.8499021626392</v>
      </c>
      <c r="G6" s="34"/>
      <c r="H6" s="33"/>
      <c r="I6" s="33"/>
      <c r="J6" s="33">
        <f>$C$26*('E Balans VL '!D12+'E Balans VL '!E12)/100/3.6*1000000</f>
        <v>0</v>
      </c>
      <c r="K6" s="33"/>
      <c r="L6" s="33"/>
      <c r="M6" s="33"/>
      <c r="N6" s="33">
        <f>$C$26*'E Balans VL '!Y12/100/3.6*1000000</f>
        <v>6.8408527398913863</v>
      </c>
      <c r="O6" s="33"/>
      <c r="P6" s="33"/>
      <c r="R6" s="32"/>
    </row>
    <row r="7" spans="1:18">
      <c r="A7" s="32" t="s">
        <v>53</v>
      </c>
      <c r="B7" s="37">
        <f t="shared" ref="B7:B12" si="0">B27</f>
        <v>1317.5250000000001</v>
      </c>
      <c r="C7" s="33"/>
      <c r="D7" s="37">
        <f>IF(ISERROR(TER_horeca_gas_kWh/1000),0,TER_horeca_gas_kWh/1000)*0.902</f>
        <v>1457.9179340000001</v>
      </c>
      <c r="E7" s="33">
        <f>$C$27*'E Balans VL '!I9/100/3.6*1000000</f>
        <v>74.216535497823713</v>
      </c>
      <c r="F7" s="33">
        <f>$C$27*('E Balans VL '!L9+'E Balans VL '!N9)/100/3.6*1000000</f>
        <v>379.89533138847781</v>
      </c>
      <c r="G7" s="34"/>
      <c r="H7" s="33"/>
      <c r="I7" s="33"/>
      <c r="J7" s="33">
        <f>$C$27*('E Balans VL '!D9+'E Balans VL '!E9)/100/3.6*1000000</f>
        <v>0</v>
      </c>
      <c r="K7" s="33"/>
      <c r="L7" s="33"/>
      <c r="M7" s="33"/>
      <c r="N7" s="33">
        <f>$C$27*'E Balans VL '!Y9/100/3.6*1000000</f>
        <v>0.36376180599593344</v>
      </c>
      <c r="O7" s="33"/>
      <c r="P7" s="33"/>
      <c r="R7" s="32"/>
    </row>
    <row r="8" spans="1:18">
      <c r="A8" s="6" t="s">
        <v>52</v>
      </c>
      <c r="B8" s="37">
        <f t="shared" si="0"/>
        <v>6628.3119999999999</v>
      </c>
      <c r="C8" s="33"/>
      <c r="D8" s="37">
        <f>IF(ISERROR(TER_handel_gas_kWh/1000),0,TER_handel_gas_kWh/1000)*0.902</f>
        <v>5555.5785560000004</v>
      </c>
      <c r="E8" s="33">
        <f>$C$28*'E Balans VL '!I13/100/3.6*1000000</f>
        <v>95.536463545644224</v>
      </c>
      <c r="F8" s="33">
        <f>$C$28*('E Balans VL '!L13+'E Balans VL '!N13)/100/3.6*1000000</f>
        <v>1151.4921573702438</v>
      </c>
      <c r="G8" s="34"/>
      <c r="H8" s="33"/>
      <c r="I8" s="33"/>
      <c r="J8" s="33">
        <f>$C$28*('E Balans VL '!D13+'E Balans VL '!E13)/100/3.6*1000000</f>
        <v>0</v>
      </c>
      <c r="K8" s="33"/>
      <c r="L8" s="33"/>
      <c r="M8" s="33"/>
      <c r="N8" s="33">
        <f>$C$28*'E Balans VL '!Y13/100/3.6*1000000</f>
        <v>19.859160630892259</v>
      </c>
      <c r="O8" s="33"/>
      <c r="P8" s="33"/>
      <c r="R8" s="32"/>
    </row>
    <row r="9" spans="1:18">
      <c r="A9" s="32" t="s">
        <v>51</v>
      </c>
      <c r="B9" s="37">
        <f t="shared" si="0"/>
        <v>2409.3969999999999</v>
      </c>
      <c r="C9" s="33"/>
      <c r="D9" s="37">
        <f>IF(ISERROR(TER_gezond_gas_kWh/1000),0,TER_gezond_gas_kWh/1000)*0.902</f>
        <v>3545.015144</v>
      </c>
      <c r="E9" s="33">
        <f>$C$29*'E Balans VL '!I10/100/3.6*1000000</f>
        <v>2.5738604887686298</v>
      </c>
      <c r="F9" s="33">
        <f>$C$29*('E Balans VL '!L10+'E Balans VL '!N10)/100/3.6*1000000</f>
        <v>393.04587502259034</v>
      </c>
      <c r="G9" s="34"/>
      <c r="H9" s="33"/>
      <c r="I9" s="33"/>
      <c r="J9" s="33">
        <f>$C$29*('E Balans VL '!D10+'E Balans VL '!E10)/100/3.6*1000000</f>
        <v>0</v>
      </c>
      <c r="K9" s="33"/>
      <c r="L9" s="33"/>
      <c r="M9" s="33"/>
      <c r="N9" s="33">
        <f>$C$29*'E Balans VL '!Y10/100/3.6*1000000</f>
        <v>24.803367340498976</v>
      </c>
      <c r="O9" s="33"/>
      <c r="P9" s="33"/>
      <c r="R9" s="32"/>
    </row>
    <row r="10" spans="1:18">
      <c r="A10" s="32" t="s">
        <v>50</v>
      </c>
      <c r="B10" s="37">
        <f t="shared" si="0"/>
        <v>2899.8789999999999</v>
      </c>
      <c r="C10" s="33"/>
      <c r="D10" s="37">
        <f>IF(ISERROR(TER_ander_gas_kWh/1000),0,TER_ander_gas_kWh/1000)*0.902</f>
        <v>2337.0630579999997</v>
      </c>
      <c r="E10" s="33">
        <f>$C$30*'E Balans VL '!I14/100/3.6*1000000</f>
        <v>13.336102416659319</v>
      </c>
      <c r="F10" s="33">
        <f>$C$30*('E Balans VL '!L14+'E Balans VL '!N14)/100/3.6*1000000</f>
        <v>869.18520670486419</v>
      </c>
      <c r="G10" s="34"/>
      <c r="H10" s="33"/>
      <c r="I10" s="33"/>
      <c r="J10" s="33">
        <f>$C$30*('E Balans VL '!D14+'E Balans VL '!E14)/100/3.6*1000000</f>
        <v>0</v>
      </c>
      <c r="K10" s="33"/>
      <c r="L10" s="33"/>
      <c r="M10" s="33"/>
      <c r="N10" s="33">
        <f>$C$30*'E Balans VL '!Y14/100/3.6*1000000</f>
        <v>2018.5072072418852</v>
      </c>
      <c r="O10" s="33"/>
      <c r="P10" s="33"/>
      <c r="R10" s="32"/>
    </row>
    <row r="11" spans="1:18">
      <c r="A11" s="32" t="s">
        <v>55</v>
      </c>
      <c r="B11" s="37">
        <f t="shared" si="0"/>
        <v>1081.5619999999999</v>
      </c>
      <c r="C11" s="33"/>
      <c r="D11" s="37">
        <f>IF(ISERROR(TER_onderwijs_gas_kWh/1000),0,TER_onderwijs_gas_kWh/1000)*0.902</f>
        <v>2960.7834300000004</v>
      </c>
      <c r="E11" s="33">
        <f>$C$31*'E Balans VL '!I11/100/3.6*1000000</f>
        <v>1.0032909898971927</v>
      </c>
      <c r="F11" s="33">
        <f>$C$31*('E Balans VL '!L11+'E Balans VL '!N11)/100/3.6*1000000</f>
        <v>379.92787268461984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26749.317000000003</v>
      </c>
      <c r="C16" s="21">
        <f t="shared" ca="1" si="1"/>
        <v>0</v>
      </c>
      <c r="D16" s="21">
        <f t="shared" ca="1" si="1"/>
        <v>18968.437620000001</v>
      </c>
      <c r="E16" s="21">
        <f t="shared" si="1"/>
        <v>234.89199501821918</v>
      </c>
      <c r="F16" s="21">
        <f t="shared" ca="1" si="1"/>
        <v>5061.3963453334354</v>
      </c>
      <c r="G16" s="21">
        <f t="shared" si="1"/>
        <v>0</v>
      </c>
      <c r="H16" s="21">
        <f t="shared" si="1"/>
        <v>0</v>
      </c>
      <c r="I16" s="21">
        <f t="shared" si="1"/>
        <v>0</v>
      </c>
      <c r="J16" s="21">
        <f t="shared" si="1"/>
        <v>0</v>
      </c>
      <c r="K16" s="21">
        <f t="shared" si="1"/>
        <v>0</v>
      </c>
      <c r="L16" s="21">
        <f t="shared" ca="1" si="1"/>
        <v>0</v>
      </c>
      <c r="M16" s="21">
        <f t="shared" si="1"/>
        <v>0</v>
      </c>
      <c r="N16" s="21">
        <f t="shared" ca="1" si="1"/>
        <v>2070.3743497591636</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0.18730829409912325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5010.3689355866782</v>
      </c>
      <c r="C20" s="23">
        <f t="shared" ref="C20:P20" ca="1" si="2">C16*C18</f>
        <v>0</v>
      </c>
      <c r="D20" s="23">
        <f t="shared" ca="1" si="2"/>
        <v>3831.6243992400005</v>
      </c>
      <c r="E20" s="23">
        <f t="shared" si="2"/>
        <v>53.320482869135752</v>
      </c>
      <c r="F20" s="23">
        <f t="shared" ca="1" si="2"/>
        <v>1351.3928242040274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12412.642</v>
      </c>
      <c r="C26" s="39">
        <f>IF(ISERROR(B26*3.6/1000000/'E Balans VL '!Z12*100),0,B26*3.6/1000000/'E Balans VL '!Z12*100)</f>
        <v>0.26365066450356262</v>
      </c>
      <c r="D26" s="239" t="s">
        <v>692</v>
      </c>
      <c r="F26" s="6"/>
    </row>
    <row r="27" spans="1:18">
      <c r="A27" s="233" t="s">
        <v>53</v>
      </c>
      <c r="B27" s="33">
        <f>IF(ISERROR(TER_horeca_ele_kWh/1000),0,TER_horeca_ele_kWh/1000)</f>
        <v>1317.5250000000001</v>
      </c>
      <c r="C27" s="39">
        <f>IF(ISERROR(B27*3.6/1000000/'E Balans VL '!Z9*100),0,B27*3.6/1000000/'E Balans VL '!Z9*100)</f>
        <v>0.10244559258040666</v>
      </c>
      <c r="D27" s="239" t="s">
        <v>692</v>
      </c>
      <c r="F27" s="6"/>
    </row>
    <row r="28" spans="1:18">
      <c r="A28" s="173" t="s">
        <v>52</v>
      </c>
      <c r="B28" s="33">
        <f>IF(ISERROR(TER_handel_ele_kWh/1000),0,TER_handel_ele_kWh/1000)</f>
        <v>6628.3119999999999</v>
      </c>
      <c r="C28" s="39">
        <f>IF(ISERROR(B28*3.6/1000000/'E Balans VL '!Z13*100),0,B28*3.6/1000000/'E Balans VL '!Z13*100)</f>
        <v>0.18964380706287606</v>
      </c>
      <c r="D28" s="239" t="s">
        <v>692</v>
      </c>
      <c r="F28" s="6"/>
    </row>
    <row r="29" spans="1:18">
      <c r="A29" s="233" t="s">
        <v>51</v>
      </c>
      <c r="B29" s="33">
        <f>IF(ISERROR(TER_gezond_ele_kWh/1000),0,TER_gezond_ele_kWh/1000)</f>
        <v>2409.3969999999999</v>
      </c>
      <c r="C29" s="39">
        <f>IF(ISERROR(B29*3.6/1000000/'E Balans VL '!Z10*100),0,B29*3.6/1000000/'E Balans VL '!Z10*100)</f>
        <v>0.26268026067157635</v>
      </c>
      <c r="D29" s="239" t="s">
        <v>692</v>
      </c>
      <c r="F29" s="6"/>
    </row>
    <row r="30" spans="1:18">
      <c r="A30" s="233" t="s">
        <v>50</v>
      </c>
      <c r="B30" s="33">
        <f>IF(ISERROR(TER_ander_ele_kWh/1000),0,TER_ander_ele_kWh/1000)</f>
        <v>2899.8789999999999</v>
      </c>
      <c r="C30" s="39">
        <f>IF(ISERROR(B30*3.6/1000000/'E Balans VL '!Z14*100),0,B30*3.6/1000000/'E Balans VL '!Z14*100)</f>
        <v>0.21220656700042811</v>
      </c>
      <c r="D30" s="239" t="s">
        <v>692</v>
      </c>
      <c r="F30" s="6"/>
    </row>
    <row r="31" spans="1:18">
      <c r="A31" s="233" t="s">
        <v>55</v>
      </c>
      <c r="B31" s="33">
        <f>IF(ISERROR(TER_onderwijs_ele_kWh/1000),0,TER_onderwijs_ele_kWh/1000)</f>
        <v>1081.5619999999999</v>
      </c>
      <c r="C31" s="39">
        <f>IF(ISERROR(B31*3.6/1000000/'E Balans VL '!Z11*100),0,B31*3.6/1000000/'E Balans VL '!Z11*100)</f>
        <v>0.21723253084579447</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59543</v>
      </c>
      <c r="C5" s="17">
        <f>IF(ISERROR('Eigen informatie GS &amp; warmtenet'!B59),0,'Eigen informatie GS &amp; warmtenet'!B59)</f>
        <v>0</v>
      </c>
      <c r="D5" s="30">
        <f>SUM(D6:D15)</f>
        <v>133614.09525199997</v>
      </c>
      <c r="E5" s="17">
        <f>SUM(E6:E15)</f>
        <v>5774.2656961692137</v>
      </c>
      <c r="F5" s="17">
        <f>SUM(F6:F15)</f>
        <v>20386.773364274042</v>
      </c>
      <c r="G5" s="18"/>
      <c r="H5" s="17"/>
      <c r="I5" s="17"/>
      <c r="J5" s="17">
        <f>SUM(J6:J15)</f>
        <v>9.7387849992013706E-2</v>
      </c>
      <c r="K5" s="17"/>
      <c r="L5" s="17"/>
      <c r="M5" s="17"/>
      <c r="N5" s="17">
        <f>SUM(N6:N15)</f>
        <v>16797.438238601917</v>
      </c>
      <c r="O5" s="17">
        <f>B43*B44*B45</f>
        <v>0</v>
      </c>
      <c r="P5" s="17">
        <f>B51*B52*B53/1000-B51*B52*B53/1000/B54</f>
        <v>0</v>
      </c>
      <c r="R5" s="32"/>
    </row>
    <row r="6" spans="1:18">
      <c r="A6" s="6" t="s">
        <v>35</v>
      </c>
      <c r="B6" s="37">
        <f>IF( ISERROR(IND_ijzer_ele_kWh/1000),0,IND_ijzer_ele_kWh/1000)</f>
        <v>4303.2470000000003</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29864.199000000001</v>
      </c>
      <c r="C8" s="33"/>
      <c r="D8" s="37">
        <f>IF( ISERROR(IND_metaal_Gas_kWH/1000),0,IND_metaal_Gas_kWH/1000)*0.902</f>
        <v>54094.637563999997</v>
      </c>
      <c r="E8" s="33">
        <f>C30*'E Balans VL '!I18/100/3.6*1000000</f>
        <v>857.81189173121504</v>
      </c>
      <c r="F8" s="33">
        <f>C30*'E Balans VL '!L18/100/3.6*1000000+C30*'E Balans VL '!N18/100/3.6*1000000</f>
        <v>7659.5926724096225</v>
      </c>
      <c r="G8" s="34"/>
      <c r="H8" s="33"/>
      <c r="I8" s="33"/>
      <c r="J8" s="40">
        <f>C30*'E Balans VL '!D18/100/3.6*1000000+C30*'E Balans VL '!E18/100/3.6*1000000</f>
        <v>0</v>
      </c>
      <c r="K8" s="33"/>
      <c r="L8" s="33"/>
      <c r="M8" s="33"/>
      <c r="N8" s="33">
        <f>C30*'E Balans VL '!Y18/100/3.6*1000000</f>
        <v>810.87396431704076</v>
      </c>
      <c r="O8" s="33"/>
      <c r="P8" s="33"/>
      <c r="R8" s="32"/>
    </row>
    <row r="9" spans="1:18">
      <c r="A9" s="6" t="s">
        <v>33</v>
      </c>
      <c r="B9" s="37">
        <f t="shared" si="0"/>
        <v>17877.280999999999</v>
      </c>
      <c r="C9" s="33"/>
      <c r="D9" s="37">
        <f>IF( ISERROR(IND_andere_gas_kWh/1000),0,IND_andere_gas_kWh/1000)*0.902</f>
        <v>10878.541234</v>
      </c>
      <c r="E9" s="33">
        <f>C31*'E Balans VL '!I19/100/3.6*1000000</f>
        <v>4838.9404172689929</v>
      </c>
      <c r="F9" s="33">
        <f>C31*'E Balans VL '!L19/100/3.6*1000000+C31*'E Balans VL '!N19/100/3.6*1000000</f>
        <v>11908.160957510778</v>
      </c>
      <c r="G9" s="34"/>
      <c r="H9" s="33"/>
      <c r="I9" s="33"/>
      <c r="J9" s="40">
        <f>C31*'E Balans VL '!D19/100/3.6*1000000+C31*'E Balans VL '!E19/100/3.6*1000000</f>
        <v>0</v>
      </c>
      <c r="K9" s="33"/>
      <c r="L9" s="33"/>
      <c r="M9" s="33"/>
      <c r="N9" s="33">
        <f>C31*'E Balans VL '!Y19/100/3.6*1000000</f>
        <v>5836.6352794389413</v>
      </c>
      <c r="O9" s="33"/>
      <c r="P9" s="33"/>
      <c r="R9" s="32"/>
    </row>
    <row r="10" spans="1:18">
      <c r="A10" s="6" t="s">
        <v>41</v>
      </c>
      <c r="B10" s="37">
        <f t="shared" si="0"/>
        <v>258.97800000000001</v>
      </c>
      <c r="C10" s="33"/>
      <c r="D10" s="37">
        <f>IF( ISERROR(IND_voed_gas_kWh/1000),0,IND_voed_gas_kWh/1000)*0.902</f>
        <v>428.00351000000001</v>
      </c>
      <c r="E10" s="33">
        <f>C32*'E Balans VL '!I20/100/3.6*1000000</f>
        <v>21.122840666472641</v>
      </c>
      <c r="F10" s="33">
        <f>C32*'E Balans VL '!L20/100/3.6*1000000+C32*'E Balans VL '!N20/100/3.6*1000000</f>
        <v>386.15969454295737</v>
      </c>
      <c r="G10" s="34"/>
      <c r="H10" s="33"/>
      <c r="I10" s="33"/>
      <c r="J10" s="40">
        <f>C32*'E Balans VL '!D20/100/3.6*1000000+C32*'E Balans VL '!E20/100/3.6*1000000</f>
        <v>3.425964582879199E-3</v>
      </c>
      <c r="K10" s="33"/>
      <c r="L10" s="33"/>
      <c r="M10" s="33"/>
      <c r="N10" s="33">
        <f>C32*'E Balans VL '!Y20/100/3.6*1000000</f>
        <v>76.078598051748514</v>
      </c>
      <c r="O10" s="33"/>
      <c r="P10" s="33"/>
      <c r="R10" s="32"/>
    </row>
    <row r="11" spans="1:18">
      <c r="A11" s="6" t="s">
        <v>40</v>
      </c>
      <c r="B11" s="37">
        <f t="shared" si="0"/>
        <v>1478.636</v>
      </c>
      <c r="C11" s="33"/>
      <c r="D11" s="37">
        <f>IF( ISERROR(IND_textiel_gas_kWh/1000),0,IND_textiel_gas_kWh/1000)*0.902</f>
        <v>3292.121404</v>
      </c>
      <c r="E11" s="33">
        <f>C33*'E Balans VL '!I21/100/3.6*1000000</f>
        <v>0.29309590766338117</v>
      </c>
      <c r="F11" s="33">
        <f>C33*'E Balans VL '!L21/100/3.6*1000000+C33*'E Balans VL '!N21/100/3.6*1000000</f>
        <v>54.459947860029033</v>
      </c>
      <c r="G11" s="34"/>
      <c r="H11" s="33"/>
      <c r="I11" s="33"/>
      <c r="J11" s="40">
        <f>C33*'E Balans VL '!D21/100/3.6*1000000+C33*'E Balans VL '!E21/100/3.6*1000000</f>
        <v>0</v>
      </c>
      <c r="K11" s="33"/>
      <c r="L11" s="33"/>
      <c r="M11" s="33"/>
      <c r="N11" s="33">
        <f>C33*'E Balans VL '!Y21/100/3.6*1000000</f>
        <v>6.8752841303976187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4694.8710000000001</v>
      </c>
      <c r="C13" s="33"/>
      <c r="D13" s="37">
        <f>IF( ISERROR(IND_papier_gas_kWh/1000),0,IND_papier_gas_kWh/1000)*0.902</f>
        <v>1909.550236</v>
      </c>
      <c r="E13" s="33">
        <f>C35*'E Balans VL '!I23/100/3.6*1000000</f>
        <v>49.187326736150339</v>
      </c>
      <c r="F13" s="33">
        <f>C35*'E Balans VL '!L23/100/3.6*1000000+C35*'E Balans VL '!N23/100/3.6*1000000</f>
        <v>350.33210616726018</v>
      </c>
      <c r="G13" s="34"/>
      <c r="H13" s="33"/>
      <c r="I13" s="33"/>
      <c r="J13" s="40">
        <f>C35*'E Balans VL '!D23/100/3.6*1000000+C35*'E Balans VL '!E23/100/3.6*1000000</f>
        <v>0</v>
      </c>
      <c r="K13" s="33"/>
      <c r="L13" s="33"/>
      <c r="M13" s="33"/>
      <c r="N13" s="33">
        <f>C35*'E Balans VL '!Y23/100/3.6*1000000</f>
        <v>10034.796726754243</v>
      </c>
      <c r="O13" s="33"/>
      <c r="P13" s="33"/>
      <c r="R13" s="32"/>
    </row>
    <row r="14" spans="1:18">
      <c r="A14" s="6" t="s">
        <v>34</v>
      </c>
      <c r="B14" s="37">
        <f t="shared" si="0"/>
        <v>1029.1279999999999</v>
      </c>
      <c r="C14" s="33"/>
      <c r="D14" s="37">
        <f>IF( ISERROR(IND_chemie_gas_kWh/1000),0,IND_chemie_gas_kWh/1000)*0.902</f>
        <v>876.84141599999998</v>
      </c>
      <c r="E14" s="33">
        <f>C36*'E Balans VL '!I24/100/3.6*1000000</f>
        <v>4.8649297263633491</v>
      </c>
      <c r="F14" s="33">
        <f>C36*'E Balans VL '!L24/100/3.6*1000000+C36*'E Balans VL '!N24/100/3.6*1000000</f>
        <v>19.449966804169669</v>
      </c>
      <c r="G14" s="34"/>
      <c r="H14" s="33"/>
      <c r="I14" s="33"/>
      <c r="J14" s="40">
        <f>C36*'E Balans VL '!D24/100/3.6*1000000+C36*'E Balans VL '!E24/100/3.6*1000000</f>
        <v>0</v>
      </c>
      <c r="K14" s="33"/>
      <c r="L14" s="33"/>
      <c r="M14" s="33"/>
      <c r="N14" s="33">
        <f>C36*'E Balans VL '!Y24/100/3.6*1000000</f>
        <v>24.983746267912608</v>
      </c>
      <c r="O14" s="33"/>
      <c r="P14" s="33"/>
      <c r="R14" s="32"/>
    </row>
    <row r="15" spans="1:18">
      <c r="A15" s="6" t="s">
        <v>270</v>
      </c>
      <c r="B15" s="37">
        <f t="shared" si="0"/>
        <v>36.659999999999997</v>
      </c>
      <c r="C15" s="33"/>
      <c r="D15" s="37">
        <f>IF( ISERROR(IND_rest_gas_kWh/1000),0,IND_rest_gas_kWh/1000)*0.902</f>
        <v>62134.399888</v>
      </c>
      <c r="E15" s="33">
        <f>C37*'E Balans VL '!I15/100/3.6*1000000</f>
        <v>2.0451941323563849</v>
      </c>
      <c r="F15" s="33">
        <f>C37*'E Balans VL '!L15/100/3.6*1000000+C37*'E Balans VL '!N15/100/3.6*1000000</f>
        <v>8.6180189792288857</v>
      </c>
      <c r="G15" s="34"/>
      <c r="H15" s="33"/>
      <c r="I15" s="33"/>
      <c r="J15" s="40">
        <f>C37*'E Balans VL '!D15/100/3.6*1000000+C37*'E Balans VL '!E15/100/3.6*1000000</f>
        <v>9.3961885409134513E-2</v>
      </c>
      <c r="K15" s="33"/>
      <c r="L15" s="33"/>
      <c r="M15" s="33"/>
      <c r="N15" s="33">
        <f>C37*'E Balans VL '!Y15/100/3.6*1000000</f>
        <v>7.1946396416328957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59543</v>
      </c>
      <c r="C18" s="21">
        <f>C5+C16</f>
        <v>0</v>
      </c>
      <c r="D18" s="21">
        <f>MAX((D5+D16),0)</f>
        <v>133614.09525199997</v>
      </c>
      <c r="E18" s="21">
        <f>MAX((E5+E16),0)</f>
        <v>5774.2656961692137</v>
      </c>
      <c r="F18" s="21">
        <f>MAX((F5+F16),0)</f>
        <v>20386.773364274042</v>
      </c>
      <c r="G18" s="21"/>
      <c r="H18" s="21"/>
      <c r="I18" s="21"/>
      <c r="J18" s="21">
        <f>MAX((J5+J16),0)</f>
        <v>9.7387849992013706E-2</v>
      </c>
      <c r="K18" s="21"/>
      <c r="L18" s="21">
        <f>MAX((L5+L16),0)</f>
        <v>0</v>
      </c>
      <c r="M18" s="21"/>
      <c r="N18" s="21">
        <f>MAX((N5+N16),0)</f>
        <v>16797.438238601917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0.18730829409912325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11152.897755544096</v>
      </c>
      <c r="C22" s="23">
        <f ca="1">C18*C20</f>
        <v>0</v>
      </c>
      <c r="D22" s="23">
        <f>D18*D20</f>
        <v>26990.047240903994</v>
      </c>
      <c r="E22" s="23">
        <f>E18*E20</f>
        <v>1310.7583130304115</v>
      </c>
      <c r="F22" s="23">
        <f>F18*F20</f>
        <v>5443.2684882611693</v>
      </c>
      <c r="G22" s="23"/>
      <c r="H22" s="23"/>
      <c r="I22" s="23"/>
      <c r="J22" s="23">
        <f>J18*J20</f>
        <v>3.4475298897172851E-2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29864.199000000001</v>
      </c>
      <c r="C30" s="39">
        <f>IF(ISERROR(B30*3.6/1000000/'E Balans VL '!Z18*100),0,B30*3.6/1000000/'E Balans VL '!Z18*100)</f>
        <v>2.9385609464209099</v>
      </c>
      <c r="D30" s="239" t="s">
        <v>692</v>
      </c>
    </row>
    <row r="31" spans="1:18">
      <c r="A31" s="6" t="s">
        <v>33</v>
      </c>
      <c r="B31" s="37">
        <f>IF( ISERROR(IND_ander_ele_kWh/1000),0,IND_ander_ele_kWh/1000)</f>
        <v>17877.280999999999</v>
      </c>
      <c r="C31" s="39">
        <f>IF(ISERROR(B31*3.6/1000000/'E Balans VL '!Z19*100),0,B31*3.6/1000000/'E Balans VL '!Z19*100)</f>
        <v>0.77854132698342204</v>
      </c>
      <c r="D31" s="239" t="s">
        <v>692</v>
      </c>
    </row>
    <row r="32" spans="1:18">
      <c r="A32" s="173" t="s">
        <v>41</v>
      </c>
      <c r="B32" s="37">
        <f>IF( ISERROR(IND_voed_ele_kWh/1000),0,IND_voed_ele_kWh/1000)</f>
        <v>258.97800000000001</v>
      </c>
      <c r="C32" s="39">
        <f>IF(ISERROR(B32*3.6/1000000/'E Balans VL '!Z20*100),0,B32*3.6/1000000/'E Balans VL '!Z20*100)</f>
        <v>4.9137340630934792E-2</v>
      </c>
      <c r="D32" s="239" t="s">
        <v>692</v>
      </c>
    </row>
    <row r="33" spans="1:5">
      <c r="A33" s="173" t="s">
        <v>40</v>
      </c>
      <c r="B33" s="37">
        <f>IF( ISERROR(IND_textiel_ele_kWh/1000),0,IND_textiel_ele_kWh/1000)</f>
        <v>1478.636</v>
      </c>
      <c r="C33" s="39">
        <f>IF(ISERROR(B33*3.6/1000000/'E Balans VL '!Z21*100),0,B33*3.6/1000000/'E Balans VL '!Z21*100)</f>
        <v>8.4422617059251748E-2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4694.8710000000001</v>
      </c>
      <c r="C35" s="39">
        <f>IF(ISERROR(B35*3.6/1000000/'E Balans VL '!Z22*100),0,B35*3.6/1000000/'E Balans VL '!Z22*100)</f>
        <v>0.66014600702510762</v>
      </c>
      <c r="D35" s="239" t="s">
        <v>692</v>
      </c>
    </row>
    <row r="36" spans="1:5">
      <c r="A36" s="173" t="s">
        <v>34</v>
      </c>
      <c r="B36" s="37">
        <f>IF( ISERROR(IND_chemie_ele_kWh/1000),0,IND_chemie_ele_kWh/1000)</f>
        <v>1029.1279999999999</v>
      </c>
      <c r="C36" s="39">
        <f>IF(ISERROR(B36*3.6/1000000/'E Balans VL '!Z24*100),0,B36*3.6/1000000/'E Balans VL '!Z24*100)</f>
        <v>2.9991830933996638E-2</v>
      </c>
      <c r="D36" s="239" t="s">
        <v>692</v>
      </c>
    </row>
    <row r="37" spans="1:5">
      <c r="A37" s="173" t="s">
        <v>270</v>
      </c>
      <c r="B37" s="37">
        <f>IF( ISERROR(IND_rest_ele_kWh/1000),0,IND_rest_ele_kWh/1000)</f>
        <v>36.659999999999997</v>
      </c>
      <c r="C37" s="39">
        <f>IF(ISERROR(B37*3.6/1000000/'E Balans VL '!Z15*100),0,B37*3.6/1000000/'E Balans VL '!Z15*100)</f>
        <v>2.8251032776150704E-4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739.08100000000002</v>
      </c>
      <c r="C5" s="17">
        <f>'Eigen informatie GS &amp; warmtenet'!B60</f>
        <v>0</v>
      </c>
      <c r="D5" s="30">
        <f>IF(ISERROR(SUM(LB_lb_gas_kWh,LB_rest_gas_kWh)/1000),0,SUM(LB_lb_gas_kWh,LB_rest_gas_kWh)/1000)*0.902</f>
        <v>104.83675400000001</v>
      </c>
      <c r="E5" s="17">
        <f>B17*'E Balans VL '!I25/3.6*1000000/100</f>
        <v>9.3133727299156028</v>
      </c>
      <c r="F5" s="17">
        <f>B17*('E Balans VL '!L25/3.6*1000000+'E Balans VL '!N25/3.6*1000000)/100</f>
        <v>2550.0146008537172</v>
      </c>
      <c r="G5" s="18"/>
      <c r="H5" s="17"/>
      <c r="I5" s="17"/>
      <c r="J5" s="17">
        <f>('E Balans VL '!D25+'E Balans VL '!E25)/3.6*1000000*landbouw!B17/100</f>
        <v>111.14938082371121</v>
      </c>
      <c r="K5" s="17"/>
      <c r="L5" s="17">
        <f>L6*(-1)</f>
        <v>0</v>
      </c>
      <c r="M5" s="17"/>
      <c r="N5" s="17">
        <f>N6*(-1)</f>
        <v>124.71428571428569</v>
      </c>
      <c r="O5" s="17"/>
      <c r="P5" s="17"/>
      <c r="R5" s="32"/>
    </row>
    <row r="6" spans="1:18">
      <c r="A6" s="16" t="s">
        <v>497</v>
      </c>
      <c r="B6" s="17" t="s">
        <v>211</v>
      </c>
      <c r="C6" s="17">
        <f>'lokale energieproductie'!O92+'lokale energieproductie'!O61</f>
        <v>62.357142857142847</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-124.71428571428569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739.08100000000002</v>
      </c>
      <c r="C8" s="21">
        <f>C5+C6</f>
        <v>62.357142857142847</v>
      </c>
      <c r="D8" s="21">
        <f>MAX((D5+D6),0)</f>
        <v>104.83675400000001</v>
      </c>
      <c r="E8" s="21">
        <f>MAX((E5+E6),0)</f>
        <v>9.3133727299156028</v>
      </c>
      <c r="F8" s="21">
        <f>MAX((F5+F6),0)</f>
        <v>2550.0146008537172</v>
      </c>
      <c r="G8" s="21"/>
      <c r="H8" s="21"/>
      <c r="I8" s="21"/>
      <c r="J8" s="21">
        <f>MAX((J5+J6),0)</f>
        <v>111.14938082371121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0.18730829409912325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138.43600131107411</v>
      </c>
      <c r="C12" s="23">
        <f ca="1">C8*C10</f>
        <v>0</v>
      </c>
      <c r="D12" s="23">
        <f>D8*D10</f>
        <v>21.177024308000004</v>
      </c>
      <c r="E12" s="23">
        <f>E8*E10</f>
        <v>2.1141356096908419</v>
      </c>
      <c r="F12" s="23">
        <f>F8*F10</f>
        <v>680.85389842794257</v>
      </c>
      <c r="G12" s="23"/>
      <c r="H12" s="23"/>
      <c r="I12" s="23"/>
      <c r="J12" s="23">
        <f>J8*J10</f>
        <v>39.34688081159377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0.10307850501903842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189.32434834583222</v>
      </c>
      <c r="C26" s="249">
        <f>B26*'GWP N2O_CH4'!B5</f>
        <v>3975.8113152624765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47.431420748366705</v>
      </c>
      <c r="C27" s="249">
        <f>B27*'GWP N2O_CH4'!B5</f>
        <v>996.05983571570084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3.5531514156966097</v>
      </c>
      <c r="C28" s="249">
        <f>B28*'GWP N2O_CH4'!B4</f>
        <v>1101.476938865949</v>
      </c>
      <c r="D28" s="50"/>
    </row>
    <row r="29" spans="1:4">
      <c r="A29" s="41" t="s">
        <v>277</v>
      </c>
      <c r="B29" s="249">
        <f>B34*'ha_N2O bodem landbouw'!B4</f>
        <v>6.885857523964332</v>
      </c>
      <c r="C29" s="249">
        <f>B29*'GWP N2O_CH4'!B4</f>
        <v>2134.6158324289431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1.7193298183251406E-3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2.0838519176789257E-5</v>
      </c>
      <c r="C5" s="448" t="s">
        <v>211</v>
      </c>
      <c r="D5" s="433">
        <f>SUM(D6:D11)</f>
        <v>3.4246234395144458E-5</v>
      </c>
      <c r="E5" s="433">
        <f>SUM(E6:E11)</f>
        <v>1.0488053390886325E-3</v>
      </c>
      <c r="F5" s="446" t="s">
        <v>211</v>
      </c>
      <c r="G5" s="433">
        <f>SUM(G6:G11)</f>
        <v>0.27644832904066224</v>
      </c>
      <c r="H5" s="433">
        <f>SUM(H6:H11)</f>
        <v>5.1257582775351626E-2</v>
      </c>
      <c r="I5" s="448" t="s">
        <v>211</v>
      </c>
      <c r="J5" s="448" t="s">
        <v>211</v>
      </c>
      <c r="K5" s="448" t="s">
        <v>211</v>
      </c>
      <c r="L5" s="448" t="s">
        <v>211</v>
      </c>
      <c r="M5" s="433">
        <f>SUM(M6:M11)</f>
        <v>1.4815169631879222E-2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1.6560513269364552E-5</v>
      </c>
      <c r="C6" s="887"/>
      <c r="D6" s="887">
        <f>vkm_2011_GW_PW*SUMIFS(TableVerdeelsleutelVkm[CNG],TableVerdeelsleutelVkm[Voertuigtype],"Lichte voertuigen")*SUMIFS(TableECFTransport[EnergieConsumptieFactor (PJ per km)],TableECFTransport[Index],CONCATENATE($A6,"_CNG_CNG"))</f>
        <v>2.3452925704780972E-5</v>
      </c>
      <c r="E6" s="887">
        <f>vkm_2011_GW_PW*SUMIFS(TableVerdeelsleutelVkm[LPG],TableVerdeelsleutelVkm[Voertuigtype],"Lichte voertuigen")*SUMIFS(TableECFTransport[EnergieConsumptieFactor (PJ per km)],TableECFTransport[Index],CONCATENATE($A6,"_LPG_LPG"))</f>
        <v>7.3657918731741495E-4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0.13238344900114718</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3.547321039685121E-2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7.5943716192933943E-3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8.0420223038247196E-2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2.8572471548137275E-5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3.6291101532649659E-3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4.2780059074247039E-6</v>
      </c>
      <c r="C8" s="887"/>
      <c r="D8" s="436">
        <f>vkm_2011_NGW_PW*SUMIFS(TableVerdeelsleutelVkm[CNG],TableVerdeelsleutelVkm[Voertuigtype],"Lichte voertuigen")*SUMIFS(TableECFTransport[EnergieConsumptieFactor (PJ per km)],TableECFTransport[Index],CONCATENATE($A8,"_CNG_CNG"))</f>
        <v>1.0793308690363483E-5</v>
      </c>
      <c r="E8" s="436">
        <f>vkm_2011_NGW_PW*SUMIFS(TableVerdeelsleutelVkm[LPG],TableVerdeelsleutelVkm[Voertuigtype],"Lichte voertuigen")*SUMIFS(TableECFTransport[EnergieConsumptieFactor (PJ per km)],TableECFTransport[Index],CONCATENATE($A8,"_LPG_LPG"))</f>
        <v>3.1222615177121764E-4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5.2925360381152572E-2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1.5752196000360812E-2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3.1079692827403367E-3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1.0719296620115297E-2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3.6039065914657705E-6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4.8371857658052503E-4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5.7884775491081273</v>
      </c>
      <c r="C14" s="21"/>
      <c r="D14" s="21">
        <f t="shared" ref="D14:M14" si="0">((D5)*10^9/3600)+D12</f>
        <v>9.5128428875401276</v>
      </c>
      <c r="E14" s="21">
        <f t="shared" si="0"/>
        <v>291.33481641350903</v>
      </c>
      <c r="F14" s="21"/>
      <c r="G14" s="21">
        <f t="shared" si="0"/>
        <v>76791.202511295065</v>
      </c>
      <c r="H14" s="21">
        <f t="shared" si="0"/>
        <v>14238.217437597674</v>
      </c>
      <c r="I14" s="21"/>
      <c r="J14" s="21"/>
      <c r="K14" s="21"/>
      <c r="L14" s="21"/>
      <c r="M14" s="21">
        <f t="shared" si="0"/>
        <v>4115.3248977442281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0.18730829409912325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1.0842298551545173</v>
      </c>
      <c r="C18" s="23"/>
      <c r="D18" s="23">
        <f t="shared" ref="D18:M18" si="1">D14*D16</f>
        <v>1.921594263283106</v>
      </c>
      <c r="E18" s="23">
        <f t="shared" si="1"/>
        <v>66.133003325866554</v>
      </c>
      <c r="F18" s="23"/>
      <c r="G18" s="23">
        <f t="shared" si="1"/>
        <v>20503.251070515784</v>
      </c>
      <c r="H18" s="23">
        <f t="shared" si="1"/>
        <v>3545.3161419618209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7.8812156044224899E-3</v>
      </c>
      <c r="H50" s="323">
        <f t="shared" si="2"/>
        <v>0</v>
      </c>
      <c r="I50" s="323">
        <f t="shared" si="2"/>
        <v>0</v>
      </c>
      <c r="J50" s="323">
        <f t="shared" si="2"/>
        <v>0</v>
      </c>
      <c r="K50" s="323">
        <f t="shared" si="2"/>
        <v>0</v>
      </c>
      <c r="L50" s="323">
        <f t="shared" si="2"/>
        <v>0</v>
      </c>
      <c r="M50" s="323">
        <f t="shared" si="2"/>
        <v>3.5049693472299654E-4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7.8812156044224899E-3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3.5049693472299654E-4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2189.226556784025</v>
      </c>
      <c r="H54" s="21">
        <f t="shared" si="3"/>
        <v>0</v>
      </c>
      <c r="I54" s="21">
        <f t="shared" si="3"/>
        <v>0</v>
      </c>
      <c r="J54" s="21">
        <f t="shared" si="3"/>
        <v>0</v>
      </c>
      <c r="K54" s="21">
        <f t="shared" si="3"/>
        <v>0</v>
      </c>
      <c r="L54" s="21">
        <f t="shared" si="3"/>
        <v>0</v>
      </c>
      <c r="M54" s="21">
        <f t="shared" si="3"/>
        <v>97.360259645276813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0.18730829409912325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584.52349066133468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27748.188000000002</v>
      </c>
      <c r="D10" s="690">
        <f ca="1">tertiair!C16</f>
        <v>0</v>
      </c>
      <c r="E10" s="690">
        <f ca="1">tertiair!D16</f>
        <v>18968.437620000001</v>
      </c>
      <c r="F10" s="690">
        <f>tertiair!E16</f>
        <v>234.89199501821918</v>
      </c>
      <c r="G10" s="690">
        <f ca="1">tertiair!F16</f>
        <v>5061.3963453334354</v>
      </c>
      <c r="H10" s="690">
        <f>tertiair!G16</f>
        <v>0</v>
      </c>
      <c r="I10" s="690">
        <f>tertiair!H16</f>
        <v>0</v>
      </c>
      <c r="J10" s="690">
        <f>tertiair!I16</f>
        <v>0</v>
      </c>
      <c r="K10" s="690">
        <f>tertiair!J16</f>
        <v>0</v>
      </c>
      <c r="L10" s="690">
        <f>tertiair!K16</f>
        <v>0</v>
      </c>
      <c r="M10" s="690">
        <f ca="1">tertiair!L16</f>
        <v>0</v>
      </c>
      <c r="N10" s="690">
        <f>tertiair!M16</f>
        <v>0</v>
      </c>
      <c r="O10" s="690">
        <f ca="1">tertiair!N16</f>
        <v>2070.3743497591636</v>
      </c>
      <c r="P10" s="690">
        <f>tertiair!O16</f>
        <v>0</v>
      </c>
      <c r="Q10" s="691">
        <f>tertiair!P16</f>
        <v>38.133333333333333</v>
      </c>
      <c r="R10" s="693">
        <f ca="1">SUM(C10:Q10)</f>
        <v>54121.421643444155</v>
      </c>
      <c r="S10" s="67"/>
    </row>
    <row r="11" spans="1:19" s="458" customFormat="1">
      <c r="A11" s="805" t="s">
        <v>225</v>
      </c>
      <c r="B11" s="810"/>
      <c r="C11" s="690">
        <f>huishoudens!B8</f>
        <v>27358.847000000002</v>
      </c>
      <c r="D11" s="690">
        <f>huishoudens!C8</f>
        <v>0</v>
      </c>
      <c r="E11" s="690">
        <f>huishoudens!D8</f>
        <v>56365.262910000005</v>
      </c>
      <c r="F11" s="690">
        <f>huishoudens!E8</f>
        <v>6532.344965395584</v>
      </c>
      <c r="G11" s="690">
        <f>huishoudens!F8</f>
        <v>19407.679872142991</v>
      </c>
      <c r="H11" s="690">
        <f>huishoudens!G8</f>
        <v>0</v>
      </c>
      <c r="I11" s="690">
        <f>huishoudens!H8</f>
        <v>0</v>
      </c>
      <c r="J11" s="690">
        <f>huishoudens!I8</f>
        <v>0</v>
      </c>
      <c r="K11" s="690">
        <f>huishoudens!J8</f>
        <v>0</v>
      </c>
      <c r="L11" s="690">
        <f>huishoudens!K8</f>
        <v>0</v>
      </c>
      <c r="M11" s="690">
        <f>huishoudens!L8</f>
        <v>0</v>
      </c>
      <c r="N11" s="690">
        <f>huishoudens!M8</f>
        <v>0</v>
      </c>
      <c r="O11" s="690">
        <f>huishoudens!N8</f>
        <v>16954.12166615573</v>
      </c>
      <c r="P11" s="690">
        <f>huishoudens!O8</f>
        <v>254.82333333333335</v>
      </c>
      <c r="Q11" s="691">
        <f>huishoudens!P8</f>
        <v>266.93333333333334</v>
      </c>
      <c r="R11" s="693">
        <f>SUM(C11:Q11)</f>
        <v>127140.01308036098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59543</v>
      </c>
      <c r="D13" s="690">
        <f>industrie!C18</f>
        <v>0</v>
      </c>
      <c r="E13" s="690">
        <f>industrie!D18</f>
        <v>133614.09525199997</v>
      </c>
      <c r="F13" s="690">
        <f>industrie!E18</f>
        <v>5774.2656961692137</v>
      </c>
      <c r="G13" s="690">
        <f>industrie!F18</f>
        <v>20386.773364274042</v>
      </c>
      <c r="H13" s="690">
        <f>industrie!G18</f>
        <v>0</v>
      </c>
      <c r="I13" s="690">
        <f>industrie!H18</f>
        <v>0</v>
      </c>
      <c r="J13" s="690">
        <f>industrie!I18</f>
        <v>0</v>
      </c>
      <c r="K13" s="690">
        <f>industrie!J18</f>
        <v>9.7387849992013706E-2</v>
      </c>
      <c r="L13" s="690">
        <f>industrie!K18</f>
        <v>0</v>
      </c>
      <c r="M13" s="690">
        <f>industrie!L18</f>
        <v>0</v>
      </c>
      <c r="N13" s="690">
        <f>industrie!M18</f>
        <v>0</v>
      </c>
      <c r="O13" s="690">
        <f>industrie!N18</f>
        <v>16797.438238601917</v>
      </c>
      <c r="P13" s="690">
        <f>industrie!O18</f>
        <v>0</v>
      </c>
      <c r="Q13" s="691">
        <f>industrie!P18</f>
        <v>0</v>
      </c>
      <c r="R13" s="693">
        <f>SUM(C13:Q13)</f>
        <v>236115.66993889515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114650.035</v>
      </c>
      <c r="D16" s="725">
        <f t="shared" ref="D16:R16" ca="1" si="0">SUM(D9:D15)</f>
        <v>0</v>
      </c>
      <c r="E16" s="725">
        <f t="shared" ca="1" si="0"/>
        <v>208947.79578199997</v>
      </c>
      <c r="F16" s="725">
        <f t="shared" si="0"/>
        <v>12541.502656583016</v>
      </c>
      <c r="G16" s="725">
        <f t="shared" ca="1" si="0"/>
        <v>44855.849581750474</v>
      </c>
      <c r="H16" s="725">
        <f t="shared" si="0"/>
        <v>0</v>
      </c>
      <c r="I16" s="725">
        <f t="shared" si="0"/>
        <v>0</v>
      </c>
      <c r="J16" s="725">
        <f t="shared" si="0"/>
        <v>0</v>
      </c>
      <c r="K16" s="725">
        <f t="shared" si="0"/>
        <v>9.7387849992013706E-2</v>
      </c>
      <c r="L16" s="725">
        <f t="shared" si="0"/>
        <v>0</v>
      </c>
      <c r="M16" s="725">
        <f t="shared" ca="1" si="0"/>
        <v>0</v>
      </c>
      <c r="N16" s="725">
        <f t="shared" si="0"/>
        <v>0</v>
      </c>
      <c r="O16" s="725">
        <f t="shared" ca="1" si="0"/>
        <v>35821.934254516811</v>
      </c>
      <c r="P16" s="725">
        <f t="shared" si="0"/>
        <v>254.82333333333335</v>
      </c>
      <c r="Q16" s="725">
        <f t="shared" si="0"/>
        <v>305.06666666666666</v>
      </c>
      <c r="R16" s="725">
        <f t="shared" ca="1" si="0"/>
        <v>417377.10466270032</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2189.226556784025</v>
      </c>
      <c r="I19" s="690">
        <f>transport!H54</f>
        <v>0</v>
      </c>
      <c r="J19" s="690">
        <f>transport!I54</f>
        <v>0</v>
      </c>
      <c r="K19" s="690">
        <f>transport!J54</f>
        <v>0</v>
      </c>
      <c r="L19" s="690">
        <f>transport!K54</f>
        <v>0</v>
      </c>
      <c r="M19" s="690">
        <f>transport!L54</f>
        <v>0</v>
      </c>
      <c r="N19" s="690">
        <f>transport!M54</f>
        <v>97.360259645276813</v>
      </c>
      <c r="O19" s="690">
        <f>transport!N54</f>
        <v>0</v>
      </c>
      <c r="P19" s="690">
        <f>transport!O54</f>
        <v>0</v>
      </c>
      <c r="Q19" s="691">
        <f>transport!P54</f>
        <v>0</v>
      </c>
      <c r="R19" s="693">
        <f>SUM(C19:Q19)</f>
        <v>2286.586816429302</v>
      </c>
      <c r="S19" s="67"/>
    </row>
    <row r="20" spans="1:19" s="458" customFormat="1">
      <c r="A20" s="805" t="s">
        <v>307</v>
      </c>
      <c r="B20" s="810"/>
      <c r="C20" s="690">
        <f>transport!B14</f>
        <v>5.7884775491081273</v>
      </c>
      <c r="D20" s="690">
        <f>transport!C14</f>
        <v>0</v>
      </c>
      <c r="E20" s="690">
        <f>transport!D14</f>
        <v>9.5128428875401276</v>
      </c>
      <c r="F20" s="690">
        <f>transport!E14</f>
        <v>291.33481641350903</v>
      </c>
      <c r="G20" s="690">
        <f>transport!F14</f>
        <v>0</v>
      </c>
      <c r="H20" s="690">
        <f>transport!G14</f>
        <v>76791.202511295065</v>
      </c>
      <c r="I20" s="690">
        <f>transport!H14</f>
        <v>14238.217437597674</v>
      </c>
      <c r="J20" s="690">
        <f>transport!I14</f>
        <v>0</v>
      </c>
      <c r="K20" s="690">
        <f>transport!J14</f>
        <v>0</v>
      </c>
      <c r="L20" s="690">
        <f>transport!K14</f>
        <v>0</v>
      </c>
      <c r="M20" s="690">
        <f>transport!L14</f>
        <v>0</v>
      </c>
      <c r="N20" s="690">
        <f>transport!M14</f>
        <v>4115.3248977442281</v>
      </c>
      <c r="O20" s="690">
        <f>transport!N14</f>
        <v>0</v>
      </c>
      <c r="P20" s="690">
        <f>transport!O14</f>
        <v>0</v>
      </c>
      <c r="Q20" s="691">
        <f>transport!P14</f>
        <v>0</v>
      </c>
      <c r="R20" s="693">
        <f>SUM(C20:Q20)</f>
        <v>95451.380983487121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5.7884775491081273</v>
      </c>
      <c r="D22" s="808">
        <f t="shared" ref="D22:R22" si="1">SUM(D18:D21)</f>
        <v>0</v>
      </c>
      <c r="E22" s="808">
        <f t="shared" si="1"/>
        <v>9.5128428875401276</v>
      </c>
      <c r="F22" s="808">
        <f t="shared" si="1"/>
        <v>291.33481641350903</v>
      </c>
      <c r="G22" s="808">
        <f t="shared" si="1"/>
        <v>0</v>
      </c>
      <c r="H22" s="808">
        <f t="shared" si="1"/>
        <v>78980.429068079087</v>
      </c>
      <c r="I22" s="808">
        <f t="shared" si="1"/>
        <v>14238.217437597674</v>
      </c>
      <c r="J22" s="808">
        <f t="shared" si="1"/>
        <v>0</v>
      </c>
      <c r="K22" s="808">
        <f t="shared" si="1"/>
        <v>0</v>
      </c>
      <c r="L22" s="808">
        <f t="shared" si="1"/>
        <v>0</v>
      </c>
      <c r="M22" s="808">
        <f t="shared" si="1"/>
        <v>0</v>
      </c>
      <c r="N22" s="808">
        <f t="shared" si="1"/>
        <v>4212.6851573895046</v>
      </c>
      <c r="O22" s="808">
        <f t="shared" si="1"/>
        <v>0</v>
      </c>
      <c r="P22" s="808">
        <f t="shared" si="1"/>
        <v>0</v>
      </c>
      <c r="Q22" s="808">
        <f t="shared" si="1"/>
        <v>0</v>
      </c>
      <c r="R22" s="808">
        <f t="shared" si="1"/>
        <v>97737.967799916427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739.08100000000002</v>
      </c>
      <c r="D24" s="690">
        <f>+landbouw!C8</f>
        <v>62.357142857142847</v>
      </c>
      <c r="E24" s="690">
        <f>+landbouw!D8</f>
        <v>104.83675400000001</v>
      </c>
      <c r="F24" s="690">
        <f>+landbouw!E8</f>
        <v>9.3133727299156028</v>
      </c>
      <c r="G24" s="690">
        <f>+landbouw!F8</f>
        <v>2550.0146008537172</v>
      </c>
      <c r="H24" s="690">
        <f>+landbouw!G8</f>
        <v>0</v>
      </c>
      <c r="I24" s="690">
        <f>+landbouw!H8</f>
        <v>0</v>
      </c>
      <c r="J24" s="690">
        <f>+landbouw!I8</f>
        <v>0</v>
      </c>
      <c r="K24" s="690">
        <f>+landbouw!J8</f>
        <v>111.14938082371121</v>
      </c>
      <c r="L24" s="690">
        <f>+landbouw!K8</f>
        <v>0</v>
      </c>
      <c r="M24" s="690">
        <f>+landbouw!L8</f>
        <v>0</v>
      </c>
      <c r="N24" s="690">
        <f>+landbouw!M8</f>
        <v>0</v>
      </c>
      <c r="O24" s="690">
        <f>+landbouw!N8</f>
        <v>0</v>
      </c>
      <c r="P24" s="690">
        <f>+landbouw!O8</f>
        <v>0</v>
      </c>
      <c r="Q24" s="691">
        <f>+landbouw!P8</f>
        <v>0</v>
      </c>
      <c r="R24" s="693">
        <f>SUM(C24:Q24)</f>
        <v>3576.7522512644869</v>
      </c>
      <c r="S24" s="67"/>
    </row>
    <row r="25" spans="1:19" s="458" customFormat="1" ht="15" thickBot="1">
      <c r="A25" s="827" t="s">
        <v>872</v>
      </c>
      <c r="B25" s="1004"/>
      <c r="C25" s="1005">
        <f>IF(Onbekend_ele_kWh="---",0,Onbekend_ele_kWh)/1000+IF(REST_rest_ele_kWh="---",0,REST_rest_ele_kWh)/1000</f>
        <v>651.20000000000005</v>
      </c>
      <c r="D25" s="1005"/>
      <c r="E25" s="1005">
        <f>IF(onbekend_gas_kWh="---",0,onbekend_gas_kWh)/1000+IF(REST_rest_gas_kWh="---",0,REST_rest_gas_kWh)/1000</f>
        <v>13937.754000000001</v>
      </c>
      <c r="F25" s="1005"/>
      <c r="G25" s="1005"/>
      <c r="H25" s="1005"/>
      <c r="I25" s="1005"/>
      <c r="J25" s="1005"/>
      <c r="K25" s="1005"/>
      <c r="L25" s="1005"/>
      <c r="M25" s="1005"/>
      <c r="N25" s="1005"/>
      <c r="O25" s="1005"/>
      <c r="P25" s="1005"/>
      <c r="Q25" s="1006"/>
      <c r="R25" s="693">
        <f>SUM(C25:Q25)</f>
        <v>14588.954000000002</v>
      </c>
      <c r="S25" s="67"/>
    </row>
    <row r="26" spans="1:19" s="458" customFormat="1" ht="15.75" thickBot="1">
      <c r="A26" s="698" t="s">
        <v>873</v>
      </c>
      <c r="B26" s="813"/>
      <c r="C26" s="808">
        <f>SUM(C24:C25)</f>
        <v>1390.2809999999999</v>
      </c>
      <c r="D26" s="808">
        <f t="shared" ref="D26:R26" si="2">SUM(D24:D25)</f>
        <v>62.357142857142847</v>
      </c>
      <c r="E26" s="808">
        <f t="shared" si="2"/>
        <v>14042.590754000001</v>
      </c>
      <c r="F26" s="808">
        <f t="shared" si="2"/>
        <v>9.3133727299156028</v>
      </c>
      <c r="G26" s="808">
        <f t="shared" si="2"/>
        <v>2550.0146008537172</v>
      </c>
      <c r="H26" s="808">
        <f t="shared" si="2"/>
        <v>0</v>
      </c>
      <c r="I26" s="808">
        <f t="shared" si="2"/>
        <v>0</v>
      </c>
      <c r="J26" s="808">
        <f t="shared" si="2"/>
        <v>0</v>
      </c>
      <c r="K26" s="808">
        <f t="shared" si="2"/>
        <v>111.14938082371121</v>
      </c>
      <c r="L26" s="808">
        <f t="shared" si="2"/>
        <v>0</v>
      </c>
      <c r="M26" s="808">
        <f t="shared" si="2"/>
        <v>0</v>
      </c>
      <c r="N26" s="808">
        <f t="shared" si="2"/>
        <v>0</v>
      </c>
      <c r="O26" s="808">
        <f t="shared" si="2"/>
        <v>0</v>
      </c>
      <c r="P26" s="808">
        <f t="shared" si="2"/>
        <v>0</v>
      </c>
      <c r="Q26" s="808">
        <f t="shared" si="2"/>
        <v>0</v>
      </c>
      <c r="R26" s="808">
        <f t="shared" si="2"/>
        <v>18165.706251264488</v>
      </c>
      <c r="S26" s="67"/>
    </row>
    <row r="27" spans="1:19" s="458" customFormat="1" ht="17.25" thickTop="1" thickBot="1">
      <c r="A27" s="699" t="s">
        <v>116</v>
      </c>
      <c r="B27" s="800"/>
      <c r="C27" s="700">
        <f ca="1">C22+C16+C26</f>
        <v>116046.10447754912</v>
      </c>
      <c r="D27" s="700">
        <f t="shared" ref="D27:R27" ca="1" si="3">D22+D16+D26</f>
        <v>62.357142857142847</v>
      </c>
      <c r="E27" s="700">
        <f t="shared" ca="1" si="3"/>
        <v>222999.89937888752</v>
      </c>
      <c r="F27" s="700">
        <f t="shared" si="3"/>
        <v>12842.150845726441</v>
      </c>
      <c r="G27" s="700">
        <f t="shared" ca="1" si="3"/>
        <v>47405.864182604193</v>
      </c>
      <c r="H27" s="700">
        <f t="shared" si="3"/>
        <v>78980.429068079087</v>
      </c>
      <c r="I27" s="700">
        <f t="shared" si="3"/>
        <v>14238.217437597674</v>
      </c>
      <c r="J27" s="700">
        <f t="shared" si="3"/>
        <v>0</v>
      </c>
      <c r="K27" s="700">
        <f t="shared" si="3"/>
        <v>111.24676867370323</v>
      </c>
      <c r="L27" s="700">
        <f t="shared" si="3"/>
        <v>0</v>
      </c>
      <c r="M27" s="700">
        <f t="shared" ca="1" si="3"/>
        <v>0</v>
      </c>
      <c r="N27" s="700">
        <f t="shared" si="3"/>
        <v>4212.6851573895046</v>
      </c>
      <c r="O27" s="700">
        <f t="shared" ca="1" si="3"/>
        <v>35821.934254516811</v>
      </c>
      <c r="P27" s="700">
        <f t="shared" si="3"/>
        <v>254.82333333333335</v>
      </c>
      <c r="Q27" s="700">
        <f t="shared" si="3"/>
        <v>305.06666666666666</v>
      </c>
      <c r="R27" s="700">
        <f t="shared" ca="1" si="3"/>
        <v>533280.77871388115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5197.4657586217636</v>
      </c>
      <c r="D40" s="690">
        <f ca="1">tertiair!C20</f>
        <v>0</v>
      </c>
      <c r="E40" s="690">
        <f ca="1">tertiair!D20</f>
        <v>3831.6243992400005</v>
      </c>
      <c r="F40" s="690">
        <f>tertiair!E20</f>
        <v>53.320482869135752</v>
      </c>
      <c r="G40" s="690">
        <f ca="1">tertiair!F20</f>
        <v>1351.3928242040274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10433.803464934927</v>
      </c>
    </row>
    <row r="41" spans="1:18">
      <c r="A41" s="818" t="s">
        <v>225</v>
      </c>
      <c r="B41" s="825"/>
      <c r="C41" s="690">
        <f ca="1">huishoudens!B12</f>
        <v>5124.5389600889166</v>
      </c>
      <c r="D41" s="690">
        <f ca="1">huishoudens!C12</f>
        <v>0</v>
      </c>
      <c r="E41" s="690">
        <f>huishoudens!D12</f>
        <v>11385.783107820002</v>
      </c>
      <c r="F41" s="690">
        <f>huishoudens!E12</f>
        <v>1482.8423071447976</v>
      </c>
      <c r="G41" s="690">
        <f>huishoudens!F12</f>
        <v>5181.850525862179</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23175.014900915892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11152.897755544096</v>
      </c>
      <c r="D43" s="690">
        <f ca="1">industrie!C22</f>
        <v>0</v>
      </c>
      <c r="E43" s="690">
        <f>industrie!D22</f>
        <v>26990.047240903994</v>
      </c>
      <c r="F43" s="690">
        <f>industrie!E22</f>
        <v>1310.7583130304115</v>
      </c>
      <c r="G43" s="690">
        <f>industrie!F22</f>
        <v>5443.2684882611693</v>
      </c>
      <c r="H43" s="690">
        <f>industrie!G22</f>
        <v>0</v>
      </c>
      <c r="I43" s="690">
        <f>industrie!H22</f>
        <v>0</v>
      </c>
      <c r="J43" s="690">
        <f>industrie!I22</f>
        <v>0</v>
      </c>
      <c r="K43" s="690">
        <f>industrie!J22</f>
        <v>3.4475298897172851E-2</v>
      </c>
      <c r="L43" s="690">
        <f>industrie!K22</f>
        <v>0</v>
      </c>
      <c r="M43" s="690">
        <f>industrie!L22</f>
        <v>0</v>
      </c>
      <c r="N43" s="690">
        <f>industrie!M22</f>
        <v>0</v>
      </c>
      <c r="O43" s="690">
        <f>industrie!N22</f>
        <v>0</v>
      </c>
      <c r="P43" s="690">
        <f>industrie!O22</f>
        <v>0</v>
      </c>
      <c r="Q43" s="767">
        <f>industrie!P22</f>
        <v>0</v>
      </c>
      <c r="R43" s="845">
        <f t="shared" ca="1" si="4"/>
        <v>44897.006273038569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21474.902474254777</v>
      </c>
      <c r="D46" s="725">
        <f t="shared" ref="D46:Q46" ca="1" si="5">SUM(D39:D45)</f>
        <v>0</v>
      </c>
      <c r="E46" s="725">
        <f t="shared" ca="1" si="5"/>
        <v>42207.454747963995</v>
      </c>
      <c r="F46" s="725">
        <f t="shared" si="5"/>
        <v>2846.9211030443448</v>
      </c>
      <c r="G46" s="725">
        <f t="shared" ca="1" si="5"/>
        <v>11976.511838327377</v>
      </c>
      <c r="H46" s="725">
        <f t="shared" si="5"/>
        <v>0</v>
      </c>
      <c r="I46" s="725">
        <f t="shared" si="5"/>
        <v>0</v>
      </c>
      <c r="J46" s="725">
        <f t="shared" si="5"/>
        <v>0</v>
      </c>
      <c r="K46" s="725">
        <f t="shared" si="5"/>
        <v>3.4475298897172851E-2</v>
      </c>
      <c r="L46" s="725">
        <f t="shared" si="5"/>
        <v>0</v>
      </c>
      <c r="M46" s="725">
        <f t="shared" ca="1" si="5"/>
        <v>0</v>
      </c>
      <c r="N46" s="725">
        <f t="shared" si="5"/>
        <v>0</v>
      </c>
      <c r="O46" s="725">
        <f t="shared" ca="1" si="5"/>
        <v>0</v>
      </c>
      <c r="P46" s="725">
        <f t="shared" si="5"/>
        <v>0</v>
      </c>
      <c r="Q46" s="725">
        <f t="shared" si="5"/>
        <v>0</v>
      </c>
      <c r="R46" s="725">
        <f ca="1">SUM(R39:R45)</f>
        <v>78505.824638889389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584.52349066133468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584.52349066133468</v>
      </c>
    </row>
    <row r="50" spans="1:18">
      <c r="A50" s="821" t="s">
        <v>307</v>
      </c>
      <c r="B50" s="831"/>
      <c r="C50" s="696">
        <f ca="1">transport!B18</f>
        <v>1.0842298551545173</v>
      </c>
      <c r="D50" s="696">
        <f>transport!C18</f>
        <v>0</v>
      </c>
      <c r="E50" s="696">
        <f>transport!D18</f>
        <v>1.921594263283106</v>
      </c>
      <c r="F50" s="696">
        <f>transport!E18</f>
        <v>66.133003325866554</v>
      </c>
      <c r="G50" s="696">
        <f>transport!F18</f>
        <v>0</v>
      </c>
      <c r="H50" s="696">
        <f>transport!G18</f>
        <v>20503.251070515784</v>
      </c>
      <c r="I50" s="696">
        <f>transport!H18</f>
        <v>3545.3161419618209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24117.706039921912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1.0842298551545173</v>
      </c>
      <c r="D52" s="725">
        <f t="shared" ref="D52:Q52" ca="1" si="6">SUM(D48:D51)</f>
        <v>0</v>
      </c>
      <c r="E52" s="725">
        <f t="shared" si="6"/>
        <v>1.921594263283106</v>
      </c>
      <c r="F52" s="725">
        <f t="shared" si="6"/>
        <v>66.133003325866554</v>
      </c>
      <c r="G52" s="725">
        <f t="shared" si="6"/>
        <v>0</v>
      </c>
      <c r="H52" s="725">
        <f t="shared" si="6"/>
        <v>21087.774561177117</v>
      </c>
      <c r="I52" s="725">
        <f t="shared" si="6"/>
        <v>3545.3161419618209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24702.229530583245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138.43600131107411</v>
      </c>
      <c r="D54" s="696">
        <f ca="1">+landbouw!C12</f>
        <v>0</v>
      </c>
      <c r="E54" s="696">
        <f>+landbouw!D12</f>
        <v>21.177024308000004</v>
      </c>
      <c r="F54" s="696">
        <f>+landbouw!E12</f>
        <v>2.1141356096908419</v>
      </c>
      <c r="G54" s="696">
        <f>+landbouw!F12</f>
        <v>680.85389842794257</v>
      </c>
      <c r="H54" s="696">
        <f>+landbouw!G12</f>
        <v>0</v>
      </c>
      <c r="I54" s="696">
        <f>+landbouw!H12</f>
        <v>0</v>
      </c>
      <c r="J54" s="696">
        <f>+landbouw!I12</f>
        <v>0</v>
      </c>
      <c r="K54" s="696">
        <f>+landbouw!J12</f>
        <v>39.34688081159377</v>
      </c>
      <c r="L54" s="696">
        <f>+landbouw!K12</f>
        <v>0</v>
      </c>
      <c r="M54" s="696">
        <f>+landbouw!L12</f>
        <v>0</v>
      </c>
      <c r="N54" s="696">
        <f>+landbouw!M12</f>
        <v>0</v>
      </c>
      <c r="O54" s="696">
        <f>+landbouw!N12</f>
        <v>0</v>
      </c>
      <c r="P54" s="696">
        <f>+landbouw!O12</f>
        <v>0</v>
      </c>
      <c r="Q54" s="697">
        <f>+landbouw!P12</f>
        <v>0</v>
      </c>
      <c r="R54" s="724">
        <f ca="1">SUM(C54:Q54)</f>
        <v>881.92794046830136</v>
      </c>
    </row>
    <row r="55" spans="1:18" ht="15" thickBot="1">
      <c r="A55" s="821" t="s">
        <v>872</v>
      </c>
      <c r="B55" s="831"/>
      <c r="C55" s="696">
        <f ca="1">C25*'EF ele_warmte'!B12</f>
        <v>121.97516111734907</v>
      </c>
      <c r="D55" s="696"/>
      <c r="E55" s="696">
        <f>E25*EF_CO2_aardgas</f>
        <v>2815.4263080000005</v>
      </c>
      <c r="F55" s="696"/>
      <c r="G55" s="696"/>
      <c r="H55" s="696"/>
      <c r="I55" s="696"/>
      <c r="J55" s="696"/>
      <c r="K55" s="696"/>
      <c r="L55" s="696"/>
      <c r="M55" s="696"/>
      <c r="N55" s="696"/>
      <c r="O55" s="696"/>
      <c r="P55" s="696"/>
      <c r="Q55" s="697"/>
      <c r="R55" s="724">
        <f ca="1">SUM(C55:Q55)</f>
        <v>2937.4014691173497</v>
      </c>
    </row>
    <row r="56" spans="1:18" ht="15.75" thickBot="1">
      <c r="A56" s="819" t="s">
        <v>873</v>
      </c>
      <c r="B56" s="832"/>
      <c r="C56" s="725">
        <f ca="1">SUM(C54:C55)</f>
        <v>260.41116242842315</v>
      </c>
      <c r="D56" s="725">
        <f t="shared" ref="D56:Q56" ca="1" si="7">SUM(D54:D55)</f>
        <v>0</v>
      </c>
      <c r="E56" s="725">
        <f t="shared" si="7"/>
        <v>2836.6033323080005</v>
      </c>
      <c r="F56" s="725">
        <f t="shared" si="7"/>
        <v>2.1141356096908419</v>
      </c>
      <c r="G56" s="725">
        <f t="shared" si="7"/>
        <v>680.85389842794257</v>
      </c>
      <c r="H56" s="725">
        <f t="shared" si="7"/>
        <v>0</v>
      </c>
      <c r="I56" s="725">
        <f t="shared" si="7"/>
        <v>0</v>
      </c>
      <c r="J56" s="725">
        <f t="shared" si="7"/>
        <v>0</v>
      </c>
      <c r="K56" s="725">
        <f t="shared" si="7"/>
        <v>39.34688081159377</v>
      </c>
      <c r="L56" s="725">
        <f t="shared" si="7"/>
        <v>0</v>
      </c>
      <c r="M56" s="725">
        <f t="shared" si="7"/>
        <v>0</v>
      </c>
      <c r="N56" s="725">
        <f t="shared" si="7"/>
        <v>0</v>
      </c>
      <c r="O56" s="725">
        <f t="shared" si="7"/>
        <v>0</v>
      </c>
      <c r="P56" s="725">
        <f t="shared" si="7"/>
        <v>0</v>
      </c>
      <c r="Q56" s="726">
        <f t="shared" si="7"/>
        <v>0</v>
      </c>
      <c r="R56" s="727">
        <f ca="1">SUM(R54:R55)</f>
        <v>3819.3294095856509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21736.397866538355</v>
      </c>
      <c r="D61" s="733">
        <f t="shared" ref="D61:Q61" ca="1" si="8">D46+D52+D56</f>
        <v>0</v>
      </c>
      <c r="E61" s="733">
        <f t="shared" ca="1" si="8"/>
        <v>45045.979674535272</v>
      </c>
      <c r="F61" s="733">
        <f t="shared" si="8"/>
        <v>2915.1682419799022</v>
      </c>
      <c r="G61" s="733">
        <f t="shared" ca="1" si="8"/>
        <v>12657.365736755319</v>
      </c>
      <c r="H61" s="733">
        <f t="shared" si="8"/>
        <v>21087.774561177117</v>
      </c>
      <c r="I61" s="733">
        <f t="shared" si="8"/>
        <v>3545.3161419618209</v>
      </c>
      <c r="J61" s="733">
        <f t="shared" si="8"/>
        <v>0</v>
      </c>
      <c r="K61" s="733">
        <f t="shared" si="8"/>
        <v>39.381356110490941</v>
      </c>
      <c r="L61" s="733">
        <f t="shared" si="8"/>
        <v>0</v>
      </c>
      <c r="M61" s="733">
        <f t="shared" ca="1" si="8"/>
        <v>0</v>
      </c>
      <c r="N61" s="733">
        <f t="shared" si="8"/>
        <v>0</v>
      </c>
      <c r="O61" s="733">
        <f t="shared" ca="1" si="8"/>
        <v>0</v>
      </c>
      <c r="P61" s="733">
        <f t="shared" si="8"/>
        <v>0</v>
      </c>
      <c r="Q61" s="733">
        <f t="shared" si="8"/>
        <v>0</v>
      </c>
      <c r="R61" s="733">
        <f ca="1">R46+R52+R56</f>
        <v>107027.38357905828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0.18730829409912325</v>
      </c>
      <c r="D63" s="776">
        <f t="shared" ca="1" si="9"/>
        <v>0</v>
      </c>
      <c r="E63" s="1011">
        <f t="shared" ca="1" si="9"/>
        <v>0.20199999999999996</v>
      </c>
      <c r="F63" s="776">
        <f t="shared" si="9"/>
        <v>0.22700000000000001</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17647.713</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43.649999999999991</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51.35294117647058</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17691.363000000001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51.35294117647058</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62.357142857142847</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73.361344537815114</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62.357142857142847</v>
      </c>
      <c r="C90" s="748">
        <f>SUM(C87:C89)</f>
        <v>0</v>
      </c>
      <c r="D90" s="748">
        <f t="shared" ref="D90:H90" si="12">SUM(D87:D89)</f>
        <v>0</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17647.713</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43.649999999999991</v>
      </c>
      <c r="C8" s="560">
        <f>B101</f>
        <v>0</v>
      </c>
      <c r="D8" s="1028"/>
      <c r="E8" s="1028">
        <f>E101</f>
        <v>0</v>
      </c>
      <c r="F8" s="1029"/>
      <c r="G8" s="561"/>
      <c r="H8" s="1028">
        <f>I101</f>
        <v>0</v>
      </c>
      <c r="I8" s="1028">
        <f>G101+F101</f>
        <v>0</v>
      </c>
      <c r="J8" s="1028">
        <f>H101+D101+C101</f>
        <v>51.35294117647058</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17691.363000000001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51.35294117647058</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62.357142857142847</v>
      </c>
      <c r="C17" s="585">
        <f>B102</f>
        <v>0</v>
      </c>
      <c r="D17" s="586"/>
      <c r="E17" s="586">
        <f>E102</f>
        <v>0</v>
      </c>
      <c r="F17" s="1034"/>
      <c r="G17" s="587"/>
      <c r="H17" s="585">
        <f>I102</f>
        <v>0</v>
      </c>
      <c r="I17" s="586">
        <f>G102+F102</f>
        <v>0</v>
      </c>
      <c r="J17" s="586">
        <f>H102+D102+C102</f>
        <v>73.361344537815114</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62.357142857142847</v>
      </c>
      <c r="C20" s="572">
        <f>SUM(C17:C19)</f>
        <v>0</v>
      </c>
      <c r="D20" s="572">
        <f t="shared" ref="D20:L20" si="1">SUM(D17:D19)</f>
        <v>0</v>
      </c>
      <c r="E20" s="572">
        <f t="shared" si="1"/>
        <v>0</v>
      </c>
      <c r="F20" s="572">
        <f t="shared" si="1"/>
        <v>0</v>
      </c>
      <c r="G20" s="572">
        <f t="shared" si="1"/>
        <v>0</v>
      </c>
      <c r="H20" s="572">
        <f t="shared" si="1"/>
        <v>0</v>
      </c>
      <c r="I20" s="572">
        <f t="shared" si="1"/>
        <v>0</v>
      </c>
      <c r="J20" s="572">
        <f t="shared" si="1"/>
        <v>73.361344537815114</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72029</v>
      </c>
      <c r="C28" s="791">
        <v>3900</v>
      </c>
      <c r="D28" s="644" t="s">
        <v>913</v>
      </c>
      <c r="E28" s="643" t="s">
        <v>914</v>
      </c>
      <c r="F28" s="643" t="s">
        <v>915</v>
      </c>
      <c r="G28" s="643" t="s">
        <v>916</v>
      </c>
      <c r="H28" s="643" t="s">
        <v>917</v>
      </c>
      <c r="I28" s="643" t="s">
        <v>914</v>
      </c>
      <c r="J28" s="790">
        <v>41094</v>
      </c>
      <c r="K28" s="790">
        <v>41244</v>
      </c>
      <c r="L28" s="643" t="s">
        <v>918</v>
      </c>
      <c r="M28" s="643">
        <v>9.6999999999999993</v>
      </c>
      <c r="N28" s="643">
        <v>43.649999999999991</v>
      </c>
      <c r="O28" s="643">
        <v>62.357142857142847</v>
      </c>
      <c r="P28" s="643">
        <v>0</v>
      </c>
      <c r="Q28" s="643">
        <v>124.71428571428569</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9.6999999999999993</v>
      </c>
      <c r="N58" s="601">
        <f>SUM(N28:N57)</f>
        <v>43.649999999999991</v>
      </c>
      <c r="O58" s="601">
        <f t="shared" ref="O58:W58" si="2">SUM(O28:O57)</f>
        <v>62.357142857142847</v>
      </c>
      <c r="P58" s="601">
        <f t="shared" si="2"/>
        <v>0</v>
      </c>
      <c r="Q58" s="601">
        <f t="shared" si="2"/>
        <v>124.71428571428569</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9.6999999999999993</v>
      </c>
      <c r="N61" s="606">
        <f t="shared" si="4"/>
        <v>43.649999999999991</v>
      </c>
      <c r="O61" s="606">
        <f t="shared" si="4"/>
        <v>62.357142857142847</v>
      </c>
      <c r="P61" s="606">
        <f t="shared" si="4"/>
        <v>0</v>
      </c>
      <c r="Q61" s="606">
        <f t="shared" si="4"/>
        <v>124.71428571428569</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51.35294117647058</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73.361344537815114</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27358.847000000002</v>
      </c>
      <c r="C4" s="462">
        <f>huishoudens!C8</f>
        <v>0</v>
      </c>
      <c r="D4" s="462">
        <f>huishoudens!D8</f>
        <v>56365.262910000005</v>
      </c>
      <c r="E4" s="462">
        <f>huishoudens!E8</f>
        <v>6532.344965395584</v>
      </c>
      <c r="F4" s="462">
        <f>huishoudens!F8</f>
        <v>19407.679872142991</v>
      </c>
      <c r="G4" s="462">
        <f>huishoudens!G8</f>
        <v>0</v>
      </c>
      <c r="H4" s="462">
        <f>huishoudens!H8</f>
        <v>0</v>
      </c>
      <c r="I4" s="462">
        <f>huishoudens!I8</f>
        <v>0</v>
      </c>
      <c r="J4" s="462">
        <f>huishoudens!J8</f>
        <v>0</v>
      </c>
      <c r="K4" s="462">
        <f>huishoudens!K8</f>
        <v>0</v>
      </c>
      <c r="L4" s="462">
        <f>huishoudens!L8</f>
        <v>0</v>
      </c>
      <c r="M4" s="462">
        <f>huishoudens!M8</f>
        <v>0</v>
      </c>
      <c r="N4" s="462">
        <f>huishoudens!N8</f>
        <v>16954.12166615573</v>
      </c>
      <c r="O4" s="462">
        <f>huishoudens!O8</f>
        <v>254.82333333333335</v>
      </c>
      <c r="P4" s="463">
        <f>huishoudens!P8</f>
        <v>266.93333333333334</v>
      </c>
      <c r="Q4" s="464">
        <f>SUM(B4:P4)</f>
        <v>127140.01308036098</v>
      </c>
    </row>
    <row r="5" spans="1:17">
      <c r="A5" s="461" t="s">
        <v>156</v>
      </c>
      <c r="B5" s="462">
        <f ca="1">tertiair!B16</f>
        <v>26749.317000000003</v>
      </c>
      <c r="C5" s="462">
        <f ca="1">tertiair!C16</f>
        <v>0</v>
      </c>
      <c r="D5" s="462">
        <f ca="1">tertiair!D16</f>
        <v>18968.437620000001</v>
      </c>
      <c r="E5" s="462">
        <f>tertiair!E16</f>
        <v>234.89199501821918</v>
      </c>
      <c r="F5" s="462">
        <f ca="1">tertiair!F16</f>
        <v>5061.3963453334354</v>
      </c>
      <c r="G5" s="462">
        <f>tertiair!G16</f>
        <v>0</v>
      </c>
      <c r="H5" s="462">
        <f>tertiair!H16</f>
        <v>0</v>
      </c>
      <c r="I5" s="462">
        <f>tertiair!I16</f>
        <v>0</v>
      </c>
      <c r="J5" s="462">
        <f>tertiair!J16</f>
        <v>0</v>
      </c>
      <c r="K5" s="462">
        <f>tertiair!K16</f>
        <v>0</v>
      </c>
      <c r="L5" s="462">
        <f ca="1">tertiair!L16</f>
        <v>0</v>
      </c>
      <c r="M5" s="462">
        <f>tertiair!M16</f>
        <v>0</v>
      </c>
      <c r="N5" s="462">
        <f ca="1">tertiair!N16</f>
        <v>2070.3743497591636</v>
      </c>
      <c r="O5" s="462">
        <f>tertiair!O16</f>
        <v>0</v>
      </c>
      <c r="P5" s="463">
        <f>tertiair!P16</f>
        <v>38.133333333333333</v>
      </c>
      <c r="Q5" s="461">
        <f t="shared" ref="Q5:Q14" ca="1" si="0">SUM(B5:P5)</f>
        <v>53122.550643444156</v>
      </c>
    </row>
    <row r="6" spans="1:17">
      <c r="A6" s="461" t="s">
        <v>194</v>
      </c>
      <c r="B6" s="462">
        <f>'openbare verlichting'!B8</f>
        <v>998.87099999999998</v>
      </c>
      <c r="C6" s="462"/>
      <c r="D6" s="462"/>
      <c r="E6" s="462"/>
      <c r="F6" s="462"/>
      <c r="G6" s="462"/>
      <c r="H6" s="462"/>
      <c r="I6" s="462"/>
      <c r="J6" s="462"/>
      <c r="K6" s="462"/>
      <c r="L6" s="462"/>
      <c r="M6" s="462"/>
      <c r="N6" s="462"/>
      <c r="O6" s="462"/>
      <c r="P6" s="463"/>
      <c r="Q6" s="461">
        <f t="shared" si="0"/>
        <v>998.87099999999998</v>
      </c>
    </row>
    <row r="7" spans="1:17">
      <c r="A7" s="461" t="s">
        <v>112</v>
      </c>
      <c r="B7" s="462">
        <f>landbouw!B8</f>
        <v>739.08100000000002</v>
      </c>
      <c r="C7" s="462">
        <f>landbouw!C8</f>
        <v>62.357142857142847</v>
      </c>
      <c r="D7" s="462">
        <f>landbouw!D8</f>
        <v>104.83675400000001</v>
      </c>
      <c r="E7" s="462">
        <f>landbouw!E8</f>
        <v>9.3133727299156028</v>
      </c>
      <c r="F7" s="462">
        <f>landbouw!F8</f>
        <v>2550.0146008537172</v>
      </c>
      <c r="G7" s="462">
        <f>landbouw!G8</f>
        <v>0</v>
      </c>
      <c r="H7" s="462">
        <f>landbouw!H8</f>
        <v>0</v>
      </c>
      <c r="I7" s="462">
        <f>landbouw!I8</f>
        <v>0</v>
      </c>
      <c r="J7" s="462">
        <f>landbouw!J8</f>
        <v>111.14938082371121</v>
      </c>
      <c r="K7" s="462">
        <f>landbouw!K8</f>
        <v>0</v>
      </c>
      <c r="L7" s="462">
        <f>landbouw!L8</f>
        <v>0</v>
      </c>
      <c r="M7" s="462">
        <f>landbouw!M8</f>
        <v>0</v>
      </c>
      <c r="N7" s="462">
        <f>landbouw!N8</f>
        <v>0</v>
      </c>
      <c r="O7" s="462">
        <f>landbouw!O8</f>
        <v>0</v>
      </c>
      <c r="P7" s="463">
        <f>landbouw!P8</f>
        <v>0</v>
      </c>
      <c r="Q7" s="461">
        <f t="shared" si="0"/>
        <v>3576.7522512644869</v>
      </c>
    </row>
    <row r="8" spans="1:17">
      <c r="A8" s="461" t="s">
        <v>657</v>
      </c>
      <c r="B8" s="462">
        <f>industrie!B18</f>
        <v>59543</v>
      </c>
      <c r="C8" s="462">
        <f>industrie!C18</f>
        <v>0</v>
      </c>
      <c r="D8" s="462">
        <f>industrie!D18</f>
        <v>133614.09525199997</v>
      </c>
      <c r="E8" s="462">
        <f>industrie!E18</f>
        <v>5774.2656961692137</v>
      </c>
      <c r="F8" s="462">
        <f>industrie!F18</f>
        <v>20386.773364274042</v>
      </c>
      <c r="G8" s="462">
        <f>industrie!G18</f>
        <v>0</v>
      </c>
      <c r="H8" s="462">
        <f>industrie!H18</f>
        <v>0</v>
      </c>
      <c r="I8" s="462">
        <f>industrie!I18</f>
        <v>0</v>
      </c>
      <c r="J8" s="462">
        <f>industrie!J18</f>
        <v>9.7387849992013706E-2</v>
      </c>
      <c r="K8" s="462">
        <f>industrie!K18</f>
        <v>0</v>
      </c>
      <c r="L8" s="462">
        <f>industrie!L18</f>
        <v>0</v>
      </c>
      <c r="M8" s="462">
        <f>industrie!M18</f>
        <v>0</v>
      </c>
      <c r="N8" s="462">
        <f>industrie!N18</f>
        <v>16797.438238601917</v>
      </c>
      <c r="O8" s="462">
        <f>industrie!O18</f>
        <v>0</v>
      </c>
      <c r="P8" s="463">
        <f>industrie!P18</f>
        <v>0</v>
      </c>
      <c r="Q8" s="461">
        <f t="shared" si="0"/>
        <v>236115.66993889515</v>
      </c>
    </row>
    <row r="9" spans="1:17" s="467" customFormat="1">
      <c r="A9" s="465" t="s">
        <v>574</v>
      </c>
      <c r="B9" s="466">
        <f>transport!B14</f>
        <v>5.7884775491081273</v>
      </c>
      <c r="C9" s="466">
        <f>transport!C14</f>
        <v>0</v>
      </c>
      <c r="D9" s="466">
        <f>transport!D14</f>
        <v>9.5128428875401276</v>
      </c>
      <c r="E9" s="466">
        <f>transport!E14</f>
        <v>291.33481641350903</v>
      </c>
      <c r="F9" s="466">
        <f>transport!F14</f>
        <v>0</v>
      </c>
      <c r="G9" s="466">
        <f>transport!G14</f>
        <v>76791.202511295065</v>
      </c>
      <c r="H9" s="466">
        <f>transport!H14</f>
        <v>14238.217437597674</v>
      </c>
      <c r="I9" s="466">
        <f>transport!I14</f>
        <v>0</v>
      </c>
      <c r="J9" s="466">
        <f>transport!J14</f>
        <v>0</v>
      </c>
      <c r="K9" s="466">
        <f>transport!K14</f>
        <v>0</v>
      </c>
      <c r="L9" s="466">
        <f>transport!L14</f>
        <v>0</v>
      </c>
      <c r="M9" s="466">
        <f>transport!M14</f>
        <v>4115.3248977442281</v>
      </c>
      <c r="N9" s="466">
        <f>transport!N14</f>
        <v>0</v>
      </c>
      <c r="O9" s="466">
        <f>transport!O14</f>
        <v>0</v>
      </c>
      <c r="P9" s="466">
        <f>transport!P14</f>
        <v>0</v>
      </c>
      <c r="Q9" s="465">
        <f>SUM(B9:P9)</f>
        <v>95451.380983487121</v>
      </c>
    </row>
    <row r="10" spans="1:17">
      <c r="A10" s="461" t="s">
        <v>564</v>
      </c>
      <c r="B10" s="462">
        <f>transport!B54</f>
        <v>0</v>
      </c>
      <c r="C10" s="462">
        <f>transport!C54</f>
        <v>0</v>
      </c>
      <c r="D10" s="462">
        <f>transport!D54</f>
        <v>0</v>
      </c>
      <c r="E10" s="462">
        <f>transport!E54</f>
        <v>0</v>
      </c>
      <c r="F10" s="462">
        <f>transport!F54</f>
        <v>0</v>
      </c>
      <c r="G10" s="462">
        <f>transport!G54</f>
        <v>2189.226556784025</v>
      </c>
      <c r="H10" s="462">
        <f>transport!H54</f>
        <v>0</v>
      </c>
      <c r="I10" s="462">
        <f>transport!I54</f>
        <v>0</v>
      </c>
      <c r="J10" s="462">
        <f>transport!J54</f>
        <v>0</v>
      </c>
      <c r="K10" s="462">
        <f>transport!K54</f>
        <v>0</v>
      </c>
      <c r="L10" s="462">
        <f>transport!L54</f>
        <v>0</v>
      </c>
      <c r="M10" s="462">
        <f>transport!M54</f>
        <v>97.360259645276813</v>
      </c>
      <c r="N10" s="462">
        <f>transport!N54</f>
        <v>0</v>
      </c>
      <c r="O10" s="462">
        <f>transport!O54</f>
        <v>0</v>
      </c>
      <c r="P10" s="463">
        <f>transport!P54</f>
        <v>0</v>
      </c>
      <c r="Q10" s="461">
        <f t="shared" si="0"/>
        <v>2286.586816429302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651.20000000000005</v>
      </c>
      <c r="C14" s="469"/>
      <c r="D14" s="469">
        <f>'SEAP template'!E25</f>
        <v>13937.754000000001</v>
      </c>
      <c r="E14" s="469"/>
      <c r="F14" s="469"/>
      <c r="G14" s="469"/>
      <c r="H14" s="469"/>
      <c r="I14" s="469"/>
      <c r="J14" s="469"/>
      <c r="K14" s="469"/>
      <c r="L14" s="469"/>
      <c r="M14" s="469"/>
      <c r="N14" s="469"/>
      <c r="O14" s="469"/>
      <c r="P14" s="470"/>
      <c r="Q14" s="461">
        <f t="shared" si="0"/>
        <v>14588.954000000002</v>
      </c>
    </row>
    <row r="15" spans="1:17" s="474" customFormat="1">
      <c r="A15" s="471" t="s">
        <v>568</v>
      </c>
      <c r="B15" s="472">
        <f ca="1">SUM(B4:B14)</f>
        <v>116046.10447754912</v>
      </c>
      <c r="C15" s="472">
        <f t="shared" ref="C15:Q15" ca="1" si="1">SUM(C4:C14)</f>
        <v>62.357142857142847</v>
      </c>
      <c r="D15" s="472">
        <f t="shared" ca="1" si="1"/>
        <v>222999.89937888755</v>
      </c>
      <c r="E15" s="472">
        <f t="shared" si="1"/>
        <v>12842.150845726443</v>
      </c>
      <c r="F15" s="472">
        <f t="shared" ca="1" si="1"/>
        <v>47405.864182604186</v>
      </c>
      <c r="G15" s="472">
        <f t="shared" si="1"/>
        <v>78980.429068079087</v>
      </c>
      <c r="H15" s="472">
        <f t="shared" si="1"/>
        <v>14238.217437597674</v>
      </c>
      <c r="I15" s="472">
        <f t="shared" si="1"/>
        <v>0</v>
      </c>
      <c r="J15" s="472">
        <f t="shared" si="1"/>
        <v>111.24676867370323</v>
      </c>
      <c r="K15" s="472">
        <f t="shared" si="1"/>
        <v>0</v>
      </c>
      <c r="L15" s="472">
        <f t="shared" ca="1" si="1"/>
        <v>0</v>
      </c>
      <c r="M15" s="472">
        <f t="shared" si="1"/>
        <v>4212.6851573895046</v>
      </c>
      <c r="N15" s="472">
        <f t="shared" ca="1" si="1"/>
        <v>35821.934254516811</v>
      </c>
      <c r="O15" s="472">
        <f t="shared" si="1"/>
        <v>254.82333333333335</v>
      </c>
      <c r="P15" s="472">
        <f t="shared" si="1"/>
        <v>305.06666666666666</v>
      </c>
      <c r="Q15" s="472">
        <f t="shared" ca="1" si="1"/>
        <v>533280.77871388115</v>
      </c>
    </row>
    <row r="17" spans="1:17">
      <c r="A17" s="475" t="s">
        <v>569</v>
      </c>
      <c r="B17" s="781">
        <f ca="1">huishoudens!B10</f>
        <v>0.18730829409912325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5124.5389600889166</v>
      </c>
      <c r="C22" s="462">
        <f t="shared" ref="C22:C32" ca="1" si="3">C4*$C$17</f>
        <v>0</v>
      </c>
      <c r="D22" s="462">
        <f t="shared" ref="D22:D32" si="4">D4*$D$17</f>
        <v>11385.783107820002</v>
      </c>
      <c r="E22" s="462">
        <f t="shared" ref="E22:E32" si="5">E4*$E$17</f>
        <v>1482.8423071447976</v>
      </c>
      <c r="F22" s="462">
        <f t="shared" ref="F22:F32" si="6">F4*$F$17</f>
        <v>5181.850525862179</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23175.014900915892</v>
      </c>
    </row>
    <row r="23" spans="1:17">
      <c r="A23" s="461" t="s">
        <v>156</v>
      </c>
      <c r="B23" s="462">
        <f t="shared" ca="1" si="2"/>
        <v>5010.3689355866782</v>
      </c>
      <c r="C23" s="462">
        <f t="shared" ca="1" si="3"/>
        <v>0</v>
      </c>
      <c r="D23" s="462">
        <f t="shared" ca="1" si="4"/>
        <v>3831.6243992400005</v>
      </c>
      <c r="E23" s="462">
        <f t="shared" si="5"/>
        <v>53.320482869135752</v>
      </c>
      <c r="F23" s="462">
        <f t="shared" ca="1" si="6"/>
        <v>1351.3928242040274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10246.706641899842</v>
      </c>
    </row>
    <row r="24" spans="1:17">
      <c r="A24" s="461" t="s">
        <v>194</v>
      </c>
      <c r="B24" s="462">
        <f t="shared" ca="1" si="2"/>
        <v>187.09682303508535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187.09682303508535</v>
      </c>
    </row>
    <row r="25" spans="1:17">
      <c r="A25" s="461" t="s">
        <v>112</v>
      </c>
      <c r="B25" s="462">
        <f t="shared" ca="1" si="2"/>
        <v>138.43600131107411</v>
      </c>
      <c r="C25" s="462">
        <f t="shared" ca="1" si="3"/>
        <v>0</v>
      </c>
      <c r="D25" s="462">
        <f t="shared" si="4"/>
        <v>21.177024308000004</v>
      </c>
      <c r="E25" s="462">
        <f t="shared" si="5"/>
        <v>2.1141356096908419</v>
      </c>
      <c r="F25" s="462">
        <f t="shared" si="6"/>
        <v>680.85389842794257</v>
      </c>
      <c r="G25" s="462">
        <f t="shared" si="7"/>
        <v>0</v>
      </c>
      <c r="H25" s="462">
        <f t="shared" si="8"/>
        <v>0</v>
      </c>
      <c r="I25" s="462">
        <f t="shared" si="9"/>
        <v>0</v>
      </c>
      <c r="J25" s="462">
        <f t="shared" si="10"/>
        <v>39.34688081159377</v>
      </c>
      <c r="K25" s="462">
        <f t="shared" si="11"/>
        <v>0</v>
      </c>
      <c r="L25" s="462">
        <f t="shared" si="12"/>
        <v>0</v>
      </c>
      <c r="M25" s="462">
        <f t="shared" si="13"/>
        <v>0</v>
      </c>
      <c r="N25" s="462">
        <f t="shared" si="14"/>
        <v>0</v>
      </c>
      <c r="O25" s="462">
        <f t="shared" si="15"/>
        <v>0</v>
      </c>
      <c r="P25" s="463">
        <f t="shared" si="16"/>
        <v>0</v>
      </c>
      <c r="Q25" s="461">
        <f t="shared" ca="1" si="17"/>
        <v>881.92794046830136</v>
      </c>
    </row>
    <row r="26" spans="1:17">
      <c r="A26" s="461" t="s">
        <v>657</v>
      </c>
      <c r="B26" s="462">
        <f t="shared" ca="1" si="2"/>
        <v>11152.897755544096</v>
      </c>
      <c r="C26" s="462">
        <f t="shared" ca="1" si="3"/>
        <v>0</v>
      </c>
      <c r="D26" s="462">
        <f t="shared" si="4"/>
        <v>26990.047240903994</v>
      </c>
      <c r="E26" s="462">
        <f t="shared" si="5"/>
        <v>1310.7583130304115</v>
      </c>
      <c r="F26" s="462">
        <f t="shared" si="6"/>
        <v>5443.2684882611693</v>
      </c>
      <c r="G26" s="462">
        <f t="shared" si="7"/>
        <v>0</v>
      </c>
      <c r="H26" s="462">
        <f t="shared" si="8"/>
        <v>0</v>
      </c>
      <c r="I26" s="462">
        <f t="shared" si="9"/>
        <v>0</v>
      </c>
      <c r="J26" s="462">
        <f t="shared" si="10"/>
        <v>3.4475298897172851E-2</v>
      </c>
      <c r="K26" s="462">
        <f t="shared" si="11"/>
        <v>0</v>
      </c>
      <c r="L26" s="462">
        <f t="shared" si="12"/>
        <v>0</v>
      </c>
      <c r="M26" s="462">
        <f t="shared" si="13"/>
        <v>0</v>
      </c>
      <c r="N26" s="462">
        <f t="shared" si="14"/>
        <v>0</v>
      </c>
      <c r="O26" s="462">
        <f t="shared" si="15"/>
        <v>0</v>
      </c>
      <c r="P26" s="463">
        <f t="shared" si="16"/>
        <v>0</v>
      </c>
      <c r="Q26" s="461">
        <f t="shared" ca="1" si="17"/>
        <v>44897.006273038569</v>
      </c>
    </row>
    <row r="27" spans="1:17" s="467" customFormat="1">
      <c r="A27" s="465" t="s">
        <v>574</v>
      </c>
      <c r="B27" s="775">
        <f t="shared" ca="1" si="2"/>
        <v>1.0842298551545173</v>
      </c>
      <c r="C27" s="466">
        <f t="shared" ca="1" si="3"/>
        <v>0</v>
      </c>
      <c r="D27" s="466">
        <f t="shared" si="4"/>
        <v>1.921594263283106</v>
      </c>
      <c r="E27" s="466">
        <f t="shared" si="5"/>
        <v>66.133003325866554</v>
      </c>
      <c r="F27" s="466">
        <f t="shared" si="6"/>
        <v>0</v>
      </c>
      <c r="G27" s="466">
        <f t="shared" si="7"/>
        <v>20503.251070515784</v>
      </c>
      <c r="H27" s="466">
        <f t="shared" si="8"/>
        <v>3545.3161419618209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24117.706039921912</v>
      </c>
    </row>
    <row r="28" spans="1:17">
      <c r="A28" s="461" t="s">
        <v>564</v>
      </c>
      <c r="B28" s="462">
        <f t="shared" ca="1" si="2"/>
        <v>0</v>
      </c>
      <c r="C28" s="462">
        <f t="shared" ca="1" si="3"/>
        <v>0</v>
      </c>
      <c r="D28" s="462">
        <f t="shared" si="4"/>
        <v>0</v>
      </c>
      <c r="E28" s="462">
        <f t="shared" si="5"/>
        <v>0</v>
      </c>
      <c r="F28" s="462">
        <f t="shared" si="6"/>
        <v>0</v>
      </c>
      <c r="G28" s="462">
        <f t="shared" si="7"/>
        <v>584.52349066133468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584.52349066133468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121.97516111734907</v>
      </c>
      <c r="C32" s="462">
        <f t="shared" ca="1" si="3"/>
        <v>0</v>
      </c>
      <c r="D32" s="462">
        <f t="shared" si="4"/>
        <v>2815.4263080000005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2937.4014691173497</v>
      </c>
    </row>
    <row r="33" spans="1:17" s="474" customFormat="1">
      <c r="A33" s="471" t="s">
        <v>568</v>
      </c>
      <c r="B33" s="472">
        <f ca="1">SUM(B22:B32)</f>
        <v>21736.397866538351</v>
      </c>
      <c r="C33" s="472">
        <f t="shared" ref="C33:Q33" ca="1" si="18">SUM(C22:C32)</f>
        <v>0</v>
      </c>
      <c r="D33" s="472">
        <f t="shared" ca="1" si="18"/>
        <v>45045.97967453528</v>
      </c>
      <c r="E33" s="472">
        <f t="shared" si="18"/>
        <v>2915.1682419799022</v>
      </c>
      <c r="F33" s="472">
        <f t="shared" ca="1" si="18"/>
        <v>12657.365736755317</v>
      </c>
      <c r="G33" s="472">
        <f t="shared" si="18"/>
        <v>21087.774561177117</v>
      </c>
      <c r="H33" s="472">
        <f t="shared" si="18"/>
        <v>3545.3161419618209</v>
      </c>
      <c r="I33" s="472">
        <f t="shared" si="18"/>
        <v>0</v>
      </c>
      <c r="J33" s="472">
        <f t="shared" si="18"/>
        <v>39.381356110490941</v>
      </c>
      <c r="K33" s="472">
        <f t="shared" si="18"/>
        <v>0</v>
      </c>
      <c r="L33" s="472">
        <f t="shared" ca="1" si="18"/>
        <v>0</v>
      </c>
      <c r="M33" s="472">
        <f t="shared" si="18"/>
        <v>0</v>
      </c>
      <c r="N33" s="472">
        <f t="shared" ca="1" si="18"/>
        <v>0</v>
      </c>
      <c r="O33" s="472">
        <f t="shared" si="18"/>
        <v>0</v>
      </c>
      <c r="P33" s="472">
        <f t="shared" si="18"/>
        <v>0</v>
      </c>
      <c r="Q33" s="472">
        <f t="shared" ca="1" si="18"/>
        <v>107027.3835790583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17647.713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43.649999999999991</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51.35294117647058</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17691.363000000001</v>
      </c>
      <c r="C10" s="1051">
        <f>SUM(C4:C9)</f>
        <v>0</v>
      </c>
      <c r="D10" s="1051">
        <f t="shared" ref="D10:H10" si="0">SUM(D8:D9)</f>
        <v>0</v>
      </c>
      <c r="E10" s="1051">
        <f t="shared" si="0"/>
        <v>0</v>
      </c>
      <c r="F10" s="1051">
        <f t="shared" si="0"/>
        <v>0</v>
      </c>
      <c r="G10" s="1051">
        <f t="shared" si="0"/>
        <v>0</v>
      </c>
      <c r="H10" s="1051">
        <f t="shared" si="0"/>
        <v>0</v>
      </c>
      <c r="I10" s="1051">
        <f>SUM(I8:I9)</f>
        <v>0</v>
      </c>
      <c r="J10" s="1051">
        <f>SUM(J8:J9)</f>
        <v>51.35294117647058</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0.18730829409912325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62.357142857142847</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73.361344537815114</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62.357142857142847</v>
      </c>
      <c r="C20" s="1051">
        <f>SUM(C17:C19)</f>
        <v>0</v>
      </c>
      <c r="D20" s="1051">
        <f t="shared" ref="D20:H20" si="2">SUM(D17:D19)</f>
        <v>0</v>
      </c>
      <c r="E20" s="1051">
        <f t="shared" si="2"/>
        <v>0</v>
      </c>
      <c r="F20" s="1051">
        <f t="shared" si="2"/>
        <v>0</v>
      </c>
      <c r="G20" s="1051">
        <f t="shared" si="2"/>
        <v>0</v>
      </c>
      <c r="H20" s="1051">
        <f t="shared" si="2"/>
        <v>0</v>
      </c>
      <c r="I20" s="1051">
        <f>SUM(I17:I19)</f>
        <v>0</v>
      </c>
      <c r="J20" s="1051">
        <f>SUM(J17:J19)</f>
        <v>73.361344537815114</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0.18730829409912325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2019-08-12T08:04:58Z</dcterms:modified>
</cp:coreProperties>
</file>