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B101"/>
  <c r="C8" s="1"/>
  <c r="F101"/>
  <c r="G101"/>
  <c r="H101"/>
  <c r="J8" s="1"/>
  <c r="J10" s="1"/>
  <c r="C101"/>
  <c r="D101"/>
  <c r="B10"/>
  <c r="O9"/>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P28" i="48"/>
  <c r="Q11"/>
  <c r="D22" i="14"/>
  <c r="K20" i="59"/>
  <c r="L20"/>
  <c r="E20"/>
  <c r="E10"/>
  <c r="K78" i="14"/>
  <c r="K8" i="59"/>
  <c r="K10" s="1"/>
  <c r="E90" i="14"/>
  <c r="E18" i="59"/>
  <c r="O28" i="48"/>
  <c r="K22" i="14"/>
  <c r="L22"/>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24"/>
  <c r="E31"/>
  <c r="E30"/>
  <c r="M32"/>
  <c r="M29"/>
  <c r="M25"/>
  <c r="M26"/>
  <c r="M30"/>
  <c r="M24"/>
  <c r="M22"/>
  <c r="M23"/>
  <c r="L10" i="14"/>
  <c r="L16" s="1"/>
  <c r="L27" s="1"/>
  <c r="K5" i="48"/>
  <c r="C24" i="14"/>
  <c r="C26" s="1"/>
  <c r="B7" i="48"/>
  <c r="P4"/>
  <c r="Q11" i="14"/>
  <c r="I26" i="48"/>
  <c r="I32"/>
  <c r="I27"/>
  <c r="I29"/>
  <c r="I31"/>
  <c r="I25"/>
  <c r="I28"/>
  <c r="I22"/>
  <c r="I30"/>
  <c r="I24"/>
  <c r="H29"/>
  <c r="H32"/>
  <c r="H26"/>
  <c r="H25"/>
  <c r="H30"/>
  <c r="H28"/>
  <c r="H24"/>
  <c r="H22"/>
  <c r="H23"/>
  <c r="D11" i="14"/>
  <c r="C4" i="48"/>
  <c r="G32"/>
  <c r="G26"/>
  <c r="G25"/>
  <c r="G24"/>
  <c r="G22"/>
  <c r="G30"/>
  <c r="G29"/>
  <c r="G23"/>
  <c r="N46" i="14"/>
  <c r="D30" i="48"/>
  <c r="D28"/>
  <c r="D29"/>
  <c r="D24"/>
  <c r="D31"/>
  <c r="D32"/>
  <c r="L28"/>
  <c r="L29"/>
  <c r="L32"/>
  <c r="L24"/>
  <c r="L31"/>
  <c r="L27"/>
  <c r="L22"/>
  <c r="L30"/>
  <c r="P5"/>
  <c r="P23" s="1"/>
  <c r="Q10" i="14"/>
  <c r="K32" i="48"/>
  <c r="K28"/>
  <c r="K26"/>
  <c r="K22"/>
  <c r="K25"/>
  <c r="K24"/>
  <c r="K27"/>
  <c r="K31"/>
  <c r="K30"/>
  <c r="K29"/>
  <c r="J29"/>
  <c r="J32"/>
  <c r="J31"/>
  <c r="J27"/>
  <c r="J30"/>
  <c r="J28"/>
  <c r="J24"/>
  <c r="P11" i="14"/>
  <c r="O4" i="48"/>
  <c r="E11" i="14"/>
  <c r="D4" i="48"/>
  <c r="D22" s="1"/>
  <c r="C11" i="14"/>
  <c r="B4" i="48"/>
  <c r="F32"/>
  <c r="F31"/>
  <c r="F29"/>
  <c r="F24"/>
  <c r="F27"/>
  <c r="F30"/>
  <c r="F28"/>
  <c r="N31"/>
  <c r="N32"/>
  <c r="N29"/>
  <c r="N30"/>
  <c r="N28"/>
  <c r="N24"/>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K15" i="48"/>
  <c r="K23"/>
  <c r="K33" s="1"/>
  <c r="H18" i="14"/>
  <c r="G13" i="48"/>
  <c r="H13"/>
  <c r="H31" s="1"/>
  <c r="I18" i="14"/>
  <c r="C22"/>
  <c r="F20"/>
  <c r="F22" s="1"/>
  <c r="E9" i="48"/>
  <c r="P22" i="16"/>
  <c r="Q43" i="14" s="1"/>
  <c r="Q13"/>
  <c r="P8" i="48"/>
  <c r="P26" s="1"/>
  <c r="P22"/>
  <c r="E20" i="14"/>
  <c r="E22" s="1"/>
  <c r="D9" i="48"/>
  <c r="D27" s="1"/>
  <c r="C20" i="14"/>
  <c r="B9" i="48"/>
  <c r="O5"/>
  <c r="O23" s="1"/>
  <c r="P10" i="14"/>
  <c r="F4" i="48"/>
  <c r="F22" s="1"/>
  <c r="G11" i="14"/>
  <c r="K24"/>
  <c r="K26" s="1"/>
  <c r="J7" i="48"/>
  <c r="J25" s="1"/>
  <c r="O22"/>
  <c r="I5"/>
  <c r="J10" i="14"/>
  <c r="J16" s="1"/>
  <c r="J27" s="1"/>
  <c r="Q16"/>
  <c r="Q27" s="1"/>
  <c r="L46"/>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10"/>
  <c r="M28" s="1"/>
  <c r="N19" i="14"/>
  <c r="E7" i="48"/>
  <c r="E25" s="1"/>
  <c r="F24" i="14"/>
  <c r="F26" s="1"/>
  <c r="K11"/>
  <c r="J4" i="48"/>
  <c r="E27"/>
  <c r="P15"/>
  <c r="J63" i="14"/>
  <c r="M9" i="48"/>
  <c r="N20" i="14"/>
  <c r="H20"/>
  <c r="H22" s="1"/>
  <c r="H27" s="1"/>
  <c r="G9" i="48"/>
  <c r="O8"/>
  <c r="O26" s="1"/>
  <c r="O33" s="1"/>
  <c r="P13" i="14"/>
  <c r="P16" s="1"/>
  <c r="P27" s="1"/>
  <c r="I23" i="48"/>
  <c r="I33" s="1"/>
  <c r="I15"/>
  <c r="H19" i="14"/>
  <c r="R19" s="1"/>
  <c r="G10" i="48"/>
  <c r="G31"/>
  <c r="Q13"/>
  <c r="N22" i="14"/>
  <c r="N27" s="1"/>
  <c r="P33" i="48"/>
  <c r="R18" i="14"/>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G27" i="48" l="1"/>
  <c r="G15"/>
  <c r="J22"/>
  <c r="M27"/>
  <c r="M33" s="1"/>
  <c r="M15"/>
  <c r="K10" i="14"/>
  <c r="J5" i="48"/>
  <c r="J23" s="1"/>
  <c r="G28"/>
  <c r="Q10"/>
  <c r="I20" i="14"/>
  <c r="I22" s="1"/>
  <c r="I27" s="1"/>
  <c r="H9" i="48"/>
  <c r="Q9" s="1"/>
  <c r="E22"/>
  <c r="Q4"/>
  <c r="E20" i="15"/>
  <c r="F40" i="14" s="1"/>
  <c r="E5" i="48"/>
  <c r="E23" s="1"/>
  <c r="F10" i="14"/>
  <c r="E61"/>
  <c r="N63"/>
  <c r="O15" i="48"/>
  <c r="R11" i="14"/>
  <c r="R20"/>
  <c r="R22" s="1"/>
  <c r="J20" i="15"/>
  <c r="K40" i="14" s="1"/>
  <c r="M61"/>
  <c r="M27"/>
  <c r="E16"/>
  <c r="E27" s="1"/>
  <c r="L15" i="48"/>
  <c r="R24" i="14"/>
  <c r="R26" s="1"/>
  <c r="L33" i="48"/>
  <c r="Q7"/>
  <c r="R10" i="14"/>
  <c r="D23" i="48"/>
  <c r="D33" s="1"/>
  <c r="D15"/>
  <c r="C16" i="14"/>
  <c r="C27" s="1"/>
  <c r="B3" i="6" s="1"/>
  <c r="B12" s="1"/>
  <c r="F23" i="48"/>
  <c r="N23"/>
  <c r="Q5"/>
  <c r="B15"/>
  <c r="F18" i="16"/>
  <c r="E18"/>
  <c r="N18"/>
  <c r="J18"/>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F63" s="1"/>
  <c r="G33" i="48"/>
  <c r="E22" i="16"/>
  <c r="F43" i="14" s="1"/>
  <c r="H27" i="48"/>
  <c r="H33" s="1"/>
  <c r="H15"/>
  <c r="J22" i="16"/>
  <c r="K43" i="14" s="1"/>
  <c r="K46" s="1"/>
  <c r="K61" s="1"/>
  <c r="J8" i="48"/>
  <c r="K13" i="14"/>
  <c r="K16" s="1"/>
  <c r="K27" s="1"/>
  <c r="F46"/>
  <c r="F61" s="1"/>
  <c r="E63"/>
  <c r="E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<sst xmlns="http://schemas.openxmlformats.org/spreadsheetml/2006/main" count="2441" uniqueCount="918">
  <si>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</si>
  <si>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</si>
  <si>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</si>
  <si>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</si>
  <si>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</si>
  <si>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</si>
  <si>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</si>
  <si>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</si>
  <si>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</si>
  <si>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</si>
  <si>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</si>
  <si>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</si>
  <si>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</si>
  <si>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</si>
  <si>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</si>
  <si>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</si>
  <si>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</si>
  <si>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</si>
  <si>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</si>
  <si>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</si>
  <si>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</si>
  <si>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</si>
  <si>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</si>
  <si>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</si>
  <si>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</si>
  <si>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</si>
  <si>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</si>
  <si>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</si>
  <si>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</si>
  <si>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</si>
  <si>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</si>
  <si>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</si>
  <si>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</si>
  <si>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</si>
  <si>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</si>
  <si>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</si>
  <si>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</si>
  <si>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</si>
  <si>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</si>
  <si>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</si>
  <si>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</si>
  <si>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</si>
  <si>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</si>
  <si>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</si>
  <si>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</si>
  <si>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</si>
  <si>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</si>
  <si>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</si>
  <si>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</si>
  <si>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</si>
  <si>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</si>
  <si>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</si>
  <si>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</si>
  <si>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</si>
  <si>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</si>
  <si>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</si>
  <si>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</si>
  <si>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</si>
  <si>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</si>
  <si>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</si>
  <si>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</si>
  <si>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</si>
  <si>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</si>
  <si>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</si>
  <si>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</si>
  <si>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</si>
  <si>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</si>
  <si>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</si>
  <si>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</si>
  <si>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</si>
  <si>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</si>
  <si>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</si>
  <si>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</si>
  <si>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</si>
  <si>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</si>
  <si>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</si>
  <si>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</si>
  <si>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</si>
  <si>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</si>
  <si>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</si>
  <si>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</si>
  <si>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</si>
  <si>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</si>
  <si>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</si>
  <si>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</si>
  <si>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</si>
  <si>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</si>
  <si>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</si>
  <si>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</si>
  <si>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</si>
  <si>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</si>
  <si>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</si>
  <si>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</si>
  <si>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</si>
  <si>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</si>
  <si>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</si>
  <si>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</si>
  <si>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</si>
  <si>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</si>
  <si>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</si>
  <si>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</si>
  <si>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</si>
  <si>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</si>
  <si>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</si>
  <si>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</si>
  <si>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</si>
  <si>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</si>
  <si>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</si>
  <si>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</si>
  <si>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</si>
  <si>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</si>
  <si>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</si>
  <si>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</si>
  <si>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</si>
  <si>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</si>
  <si>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</si>
  <si>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</si>
  <si>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</si>
  <si>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</si>
  <si>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</si>
  <si>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</si>
  <si>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</si>
  <si>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</si>
  <si>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</si>
  <si>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</si>
  <si>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</si>
  <si>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</si>
  <si>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</si>
  <si>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</si>
  <si>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</si>
  <si>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</si>
  <si>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</si>
  <si>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</si>
  <si>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</si>
  <si>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</si>
  <si>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</si>
  <si>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</si>
  <si>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</si>
  <si>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</si>
  <si>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</si>
  <si>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</si>
  <si>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</si>
  <si>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</si>
  <si>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</si>
  <si>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</si>
  <si>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</si>
  <si>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</si>
  <si>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</si>
  <si>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</si>
  <si>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</si>
  <si>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</si>
  <si>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</si>
  <si>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</si>
  <si>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</si>
  <si>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</si>
  <si>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</si>
  <si>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</si>
  <si>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</si>
  <si>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</si>
  <si>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</si>
  <si>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</si>
  <si>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</si>
  <si>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</si>
  <si>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</si>
  <si>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</si>
  <si>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</si>
  <si>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</si>
  <si>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</si>
  <si>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</si>
  <si>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</si>
  <si>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</si>
  <si>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</si>
  <si>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</si>
  <si>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</si>
  <si>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</si>
  <si>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</si>
  <si>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</si>
  <si>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</si>
  <si>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</si>
  <si>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</si>
  <si>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</si>
  <si>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</si>
  <si>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</si>
  <si>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</si>
  <si>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</si>
  <si>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</si>
  <si>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</si>
  <si>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</si>
  <si>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</si>
  <si>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</si>
  <si>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</si>
  <si>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</si>
  <si>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</si>
  <si>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</si>
  <si>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</si>
  <si>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</si>
  <si>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</si>
  <si>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</si>
  <si>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</si>
  <si>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</si>
  <si>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</si>
  <si>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</si>
  <si>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</si>
  <si>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</si>
  <si>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</si>
  <si>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</si>
  <si>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</si>
  <si>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</si>
  <si>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</si>
  <si>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</si>
  <si>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</si>
  <si>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</si>
  <si>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</si>
  <si>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</si>
  <si>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</si>
  <si>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</si>
  <si>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</si>
  <si>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</si>
  <si>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</si>
  <si>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</si>
  <si>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</si>
  <si>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</si>
  <si>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</si>
  <si>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</si>
  <si>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</si>
  <si>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</si>
  <si>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</si>
  <si>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</si>
  <si>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</si>
  <si>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</si>
  <si>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</si>
  <si>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</si>
  <si>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</si>
  <si>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</si>
  <si>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</si>
  <si>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</si>
  <si>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</si>
  <si>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</si>
  <si>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</si>
  <si>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</si>
  <si>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</si>
  <si>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</si>
  <si>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</si>
  <si>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</si>
  <si>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</si>
  <si>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</si>
  <si>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</si>
  <si>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</si>
  <si>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</si>
  <si>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</si>
  <si>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</si>
  <si>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</si>
  <si>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</si>
  <si>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</si>
  <si>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</si>
  <si>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</si>
  <si>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</si>
  <si>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</si>
  <si>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</si>
  <si>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</si>
  <si>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</si>
  <si>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</si>
  <si>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</si>
  <si>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</si>
  <si>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</si>
  <si>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</si>
  <si>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</si>
  <si>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</si>
  <si>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</si>
  <si>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</si>
  <si>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</si>
  <si>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</si>
  <si>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</si>
  <si>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</si>
  <si>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</si>
  <si>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</si>
  <si>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</si>
  <si>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</si>
  <si>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</si>
  <si>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</si>
  <si>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</si>
  <si>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</si>
  <si>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</si>
  <si>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</si>
  <si>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</si>
  <si>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</si>
  <si>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</si>
  <si>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</si>
  <si>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</si>
  <si>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</si>
  <si>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</si>
  <si>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</si>
  <si>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</si>
  <si>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</si>
  <si>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</si>
  <si>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</si>
  <si>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</si>
  <si>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</si>
  <si>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</si>
  <si>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</si>
  <si>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</si>
  <si>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</si>
  <si>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</si>
  <si>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</si>
  <si>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</si>
  <si>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</si>
  <si>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</si>
  <si>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</si>
  <si>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</si>
  <si>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</si>
  <si>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</si>
  <si>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</si>
  <si>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</si>
  <si>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</si>
  <si>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</si>
  <si>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</si>
  <si>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</si>
  <si>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</si>
  <si>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</si>
  <si>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</si>
  <si>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</si>
  <si>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</si>
  <si>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</si>
  <si>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</si>
  <si>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</si>
  <si>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</si>
  <si>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</si>
  <si>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</si>
  <si>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</si>
  <si>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</si>
  <si>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</si>
  <si>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</si>
  <si>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</si>
  <si>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</si>
  <si>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</si>
  <si>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</si>
  <si>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</si>
  <si>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</si>
  <si>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</si>
  <si>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</si>
  <si>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</si>
  <si>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</si>
  <si>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</si>
  <si>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</si>
  <si>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</si>
  <si>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</si>
  <si>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</si>
  <si>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</si>
  <si>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</si>
  <si>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</si>
  <si>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</si>
  <si>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</si>
  <si>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</si>
  <si>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</si>
  <si>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</si>
  <si>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</si>
  <si>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</si>
  <si>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</si>
  <si>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</si>
  <si>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</si>
  <si>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</si>
  <si>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</si>
  <si>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</si>
  <si>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</si>
  <si>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</si>
  <si>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</si>
  <si>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</si>
  <si>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</si>
  <si>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</si>
  <si>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</si>
  <si>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</si>
  <si>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</si>
  <si>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</si>
  <si>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</si>
  <si>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</si>
  <si>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</si>
  <si>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</si>
  <si>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</si>
  <si>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</si>
  <si>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</si>
  <si>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</si>
  <si>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</si>
  <si>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</si>
  <si>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</si>
  <si>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</si>
  <si>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</si>
  <si>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</si>
  <si>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</si>
  <si>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</si>
  <si>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</si>
  <si>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</si>
  <si>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</si>
  <si>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</si>
  <si>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</si>
  <si>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</si>
  <si>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</si>
  <si>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</si>
  <si>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</si>
  <si>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</si>
  <si>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</si>
  <si>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</si>
  <si>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</si>
  <si>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</si>
  <si>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</si>
  <si>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</si>
  <si>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</si>
  <si>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</si>
  <si>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</si>
  <si>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</si>
  <si>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</si>
  <si>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</si>
  <si>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</si>
  <si>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</si>
  <si>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</si>
  <si>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</si>
  <si>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</si>
  <si>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</si>
  <si>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</si>
  <si>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</si>
  <si>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</si>
  <si>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</si>
  <si>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</si>
  <si>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</si>
  <si>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</si>
  <si>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</si>
  <si>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</si>
  <si>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</si>
  <si>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</si>
  <si>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</si>
  <si>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</si>
  <si>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</si>
  <si>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</si>
  <si>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</si>
  <si>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</si>
  <si>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</si>
  <si>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</si>
  <si>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</si>
  <si>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</si>
  <si>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</si>
  <si>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</si>
  <si>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</si>
  <si>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</si>
  <si>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</si>
  <si>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</si>
  <si>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</si>
  <si>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</si>
  <si>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</si>
  <si>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</si>
  <si>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</si>
  <si>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</si>
  <si>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</si>
  <si>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</si>
  <si>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</si>
  <si>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</si>
  <si>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</si>
  <si>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</si>
  <si>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</si>
  <si>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</si>
  <si>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</si>
  <si>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</si>
  <si>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</si>
  <si>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</si>
  <si>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</si>
  <si>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</si>
  <si>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</si>
  <si>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</si>
  <si>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</si>
  <si>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</si>
  <si>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</si>
  <si>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</si>
  <si>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</si>
  <si>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</si>
  <si>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</si>
  <si>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</si>
  <si>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</si>
  <si>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</si>
  <si>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</si>
  <si>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</si>
  <si>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</si>
  <si>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</si>
  <si>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</si>
  <si>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</si>
  <si>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</si>
  <si>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</si>
  <si>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</si>
  <si>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</si>
  <si>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</si>
  <si>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</si>
  <si>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</si>
  <si>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</si>
  <si>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</si>
  <si>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</si>
  <si>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</si>
  <si>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</si>
  <si>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</si>
  <si>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</si>
  <si>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</si>
  <si>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</si>
  <si>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</si>
  <si>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</si>
  <si>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</si>
  <si>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</si>
  <si>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</si>
  <si>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</si>
  <si>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</si>
  <si>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</si>
  <si>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</si>
  <si>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</si>
  <si>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</si>
  <si>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</si>
  <si>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</si>
  <si>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</si>
  <si>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</si>
  <si>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</si>
  <si>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</si>
  <si>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</si>
  <si>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</si>
  <si>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</si>
  <si>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</si>
  <si>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</si>
  <si>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</si>
  <si>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</si>
  <si>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</si>
  <si>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</si>
  <si>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</si>
  <si>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</si>
  <si>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</si>
  <si>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</si>
  <si>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</si>
  <si>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</si>
  <si>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</si>
  <si>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</si>
  <si>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</si>
  <si>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</si>
  <si>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</si>
  <si>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</si>
  <si>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</si>
  <si>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</si>
  <si>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</si>
  <si>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</si>
  <si>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</si>
  <si>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</si>
  <si>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</si>
  <si>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</si>
  <si>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</si>
  <si>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</si>
  <si>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</si>
  <si>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</si>
  <si>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</si>
  <si>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</si>
  <si>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</si>
  <si>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</si>
  <si>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</si>
  <si>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</si>
  <si>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</si>
  <si>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</si>
  <si>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</si>
  <si>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</si>
  <si>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</si>
  <si>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</si>
  <si>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</si>
  <si>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</si>
  <si>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</si>
  <si>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</si>
  <si>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</si>
  <si>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</si>
  <si>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</si>
  <si>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</si>
  <si>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</si>
  <si>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</si>
  <si>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</si>
  <si>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</si>
  <si>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</si>
  <si>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</si>
  <si>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</si>
  <si>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</si>
  <si>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</si>
  <si>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</si>
  <si>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</si>
  <si>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</si>
  <si>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</si>
  <si>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</si>
  <si>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</si>
  <si>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</si>
  <si>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</si>
  <si>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</si>
  <si>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</si>
  <si>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</si>
  <si>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</si>
  <si>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</si>
  <si>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</si>
  <si>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</si>
  <si>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</si>
  <si>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</si>
  <si>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</si>
  <si>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</si>
  <si>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</si>
  <si>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</si>
  <si>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</si>
  <si>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</si>
  <si>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</si>
  <si>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</si>
  <si>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</si>
  <si>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</si>
  <si>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</si>
  <si>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</si>
  <si>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</si>
  <si>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</si>
  <si>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</si>
  <si>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</si>
  <si>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</si>
  <si>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</si>
  <si>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</si>
  <si>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</si>
  <si>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</si>
  <si>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</si>
  <si>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</si>
  <si>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</si>
  <si>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</si>
  <si>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</si>
  <si>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</si>
  <si>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</si>
  <si>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</si>
  <si>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</si>
  <si>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</si>
  <si>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</si>
  <si>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</si>
  <si>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</si>
  <si>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</si>
  <si>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</si>
  <si>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</si>
  <si>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</si>
  <si>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</si>
  <si>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</si>
  <si>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</si>
  <si>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</si>
  <si>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</si>
  <si>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</si>
  <si>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</si>
  <si>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</si>
  <si>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</si>
  <si>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</si>
  <si>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</si>
  <si>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</si>
  <si>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</si>
  <si>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</si>
  <si>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</si>
  <si>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</si>
  <si>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</si>
  <si>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</si>
  <si>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</si>
  <si>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</si>
  <si>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</si>
  <si>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</si>
  <si>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</si>
  <si>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</si>
  <si>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</si>
  <si>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</si>
  <si>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</si>
  <si>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</si>
  <si>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</si>
  <si>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</si>
  <si>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</si>
  <si>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</si>
  <si>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</si>
  <si>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</si>
  <si>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</si>
  <si>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</si>
  <si>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</si>
  <si>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</si>
  <si>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</si>
  <si>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</si>
  <si>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</si>
  <si>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</si>
  <si>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</si>
  <si>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</si>
  <si>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</si>
  <si>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</si>
  <si>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</si>
  <si>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</si>
  <si>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</si>
  <si>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</si>
  <si>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</si>
  <si>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</si>
  <si>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</si>
  <si>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</si>
  <si>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</si>
  <si>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</si>
  <si>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</si>
  <si>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</si>
  <si>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</si>
  <si>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</si>
  <si>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</si>
  <si>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</si>
  <si>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</si>
  <si>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</si>
  <si>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</si>
  <si>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</si>
  <si>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</si>
  <si>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</si>
  <si>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</si>
  <si>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</si>
  <si>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</si>
  <si>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</si>
  <si>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</si>
  <si>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</si>
  <si>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</si>
  <si>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</si>
  <si>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</si>
  <si>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</si>
  <si>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</si>
  <si>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</si>
  <si>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</si>
  <si>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</si>
  <si>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</si>
  <si>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</si>
  <si>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</si>
  <si>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</si>
  <si>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</si>
  <si>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</si>
  <si>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</si>
  <si>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</si>
  <si>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</si>
  <si>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</si>
  <si>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</si>
  <si>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</si>
  <si>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</si>
  <si>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</si>
  <si>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</si>
  <si>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</si>
  <si>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</si>
  <si>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</si>
  <si>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</si>
  <si>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</si>
  <si>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</si>
  <si>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</si>
  <si>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</si>
  <si>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</si>
  <si>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</si>
  <si>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</si>
  <si>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</si>
  <si>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</si>
  <si>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</si>
  <si>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</si>
  <si>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</si>
  <si>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</si>
  <si>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</si>
  <si>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</si>
  <si>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</si>
  <si>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</si>
  <si>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</si>
  <si>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</si>
  <si>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</si>
  <si>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</si>
  <si>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</si>
  <si>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</si>
  <si>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</si>
  <si>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</si>
  <si>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</si>
  <si>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</si>
  <si>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</si>
  <si>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</si>
  <si>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</si>
  <si>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</si>
  <si>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</si>
  <si>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</si>
  <si>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</si>
  <si>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</si>
  <si>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</si>
  <si>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</si>
  <si>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</si>
  <si>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</si>
  <si>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</si>
  <si>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</si>
  <si>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</si>
  <si>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</si>
  <si>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</si>
  <si>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</si>
  <si>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</si>
  <si>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</si>
  <si>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</si>
  <si>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</si>
  <si>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</si>
  <si>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</si>
  <si>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</si>
  <si>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</si>
  <si>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</si>
  <si>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</si>
  <si>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</si>
  <si>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</si>
  <si>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</si>
  <si>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</si>
  <si>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</si>
  <si>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</si>
  <si>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</si>
  <si>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</si>
  <si>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</si>
  <si>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</si>
  <si>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</si>
  <si>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</si>
  <si>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</si>
  <si>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</si>
  <si>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</si>
  <si>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</si>
  <si>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</si>
  <si>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</si>
  <si>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</si>
  <si>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</si>
  <si>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</si>
  <si>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</si>
  <si>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</si>
  <si>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</si>
  <si>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</si>
  <si>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</si>
  <si>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</si>
  <si>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</si>
  <si>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</si>
  <si>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</si>
  <si>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</si>
  <si>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</si>
  <si>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</si>
  <si>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</si>
  <si>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</si>
  <si>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</si>
  <si>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</si>
  <si>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</si>
  <si>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</si>
  <si>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</si>
  <si>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</si>
  <si>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</si>
  <si>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</si>
  <si>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</si>
  <si>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</si>
  <si>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</si>
  <si>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</si>
  <si>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</si>
  <si>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</si>
  <si>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</si>
  <si>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</si>
  <si>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</si>
  <si>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</si>
  <si>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</si>
  <si>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</si>
  <si>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</si>
  <si>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</si>
  <si>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</si>
  <si>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</si>
  <si>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</si>
  <si>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</si>
  <si>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</si>
  <si>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</si>
  <si>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</si>
  <si>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</si>
  <si>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</si>
  <si>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</si>
  <si>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</si>
  <si>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</si>
  <si>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</si>
  <si>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</si>
  <si>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</si>
  <si>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</si>
  <si>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</si>
  <si>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</si>
  <si>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</si>
  <si>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</si>
  <si>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</si>
  <si>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</si>
  <si>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</si>
  <si>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</si>
  <si>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</si>
  <si>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</si>
  <si>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</si>
  <si>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</si>
  <si>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</si>
  <si>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</si>
  <si>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</si>
  <si>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</si>
  <si>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</si>
  <si>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</si>
  <si>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</si>
  <si>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</si>
  <si>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</si>
  <si>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</si>
  <si>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</si>
  <si>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</si>
  <si>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</si>
  <si>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</si>
  <si>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</si>
  <si>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</si>
  <si>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</si>
  <si>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</si>
  <si>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</si>
  <si>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</si>
  <si>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</si>
  <si>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</si>
  <si>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</si>
  <si>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</si>
  <si>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</si>
  <si>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</si>
  <si>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</si>
  <si>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</si>
  <si>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</si>
  <si>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</si>
  <si>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</si>
  <si>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</si>
  <si>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</si>
  <si>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72021</t>
  </si>
  <si>
    <t>MAASEIK</t>
  </si>
  <si>
    <t>Cultuurgrond (ha)</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</si>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</sst>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239158.25357166887</c:v>
                </c:pt>
                <c:pt idx="1">
                  <c:v>57730.817020980576</c:v>
                </c:pt>
                <c:pt idx="2">
                  <c:v>1435.8920000000001</c:v>
                </c:pt>
                <c:pt idx="3">
                  <c:v>22605.346282908471</c:v>
                </c:pt>
                <c:pt idx="4">
                  <c:v>27862.843176897666</c:v>
                </c:pt>
                <c:pt idx="5">
                  <c:v>95256.769229201018</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239158.25357166887</c:v>
                </c:pt>
                <c:pt idx="1">
                  <c:v>57730.817020980576</c:v>
                </c:pt>
                <c:pt idx="2">
                  <c:v>1435.8920000000001</c:v>
                </c:pt>
                <c:pt idx="3">
                  <c:v>22605.346282908471</c:v>
                </c:pt>
                <c:pt idx="4">
                  <c:v>27862.843176897666</c:v>
                </c:pt>
                <c:pt idx="5">
                  <c:v>95256.769229201018</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46954.613121604052</c:v>
                </c:pt>
                <c:pt idx="2">
                  <c:v>10431.440787314054</c:v>
                </c:pt>
                <c:pt idx="3">
                  <c:v>243.82212619653836</c:v>
                </c:pt>
                <c:pt idx="4">
                  <c:v>5395.7009741037682</c:v>
                </c:pt>
                <c:pt idx="5">
                  <c:v>5224.0959029850974</c:v>
                </c:pt>
                <c:pt idx="6">
                  <c:v>24026.306082558312</c:v>
                </c:pt>
                <c:pt idx="7">
                  <c:v>655.63852450109357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46954.613121604052</c:v>
                </c:pt>
                <c:pt idx="2">
                  <c:v>10431.440787314054</c:v>
                </c:pt>
                <c:pt idx="3">
                  <c:v>243.82212619653836</c:v>
                </c:pt>
                <c:pt idx="4">
                  <c:v>5395.7009741037682</c:v>
                </c:pt>
                <c:pt idx="5">
                  <c:v>5224.0959029850974</c:v>
                </c:pt>
                <c:pt idx="6">
                  <c:v>24026.306082558312</c:v>
                </c:pt>
                <c:pt idx="7">
                  <c:v>655.63852450109357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72021</v>
      </c>
      <c r="B6" s="398"/>
      <c r="C6" s="399"/>
    </row>
    <row r="7" spans="1:7" s="396" customFormat="1" ht="15.75" customHeight="1">
      <c r="A7" s="400" t="str">
        <f>txtMunicipality</f>
        <v>MAASEIK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0.16980533786422541</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0.16980533786422541</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10266</v>
      </c>
      <c r="C9" s="338">
        <v>10742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3598</v>
      </c>
    </row>
    <row r="15" spans="1:6">
      <c r="A15" s="1295" t="s">
        <v>184</v>
      </c>
      <c r="B15" s="335">
        <v>698</v>
      </c>
    </row>
    <row r="16" spans="1:6">
      <c r="A16" s="1295" t="s">
        <v>6</v>
      </c>
      <c r="B16" s="335">
        <v>1634</v>
      </c>
    </row>
    <row r="17" spans="1:6">
      <c r="A17" s="1295" t="s">
        <v>7</v>
      </c>
      <c r="B17" s="335">
        <v>402</v>
      </c>
    </row>
    <row r="18" spans="1:6">
      <c r="A18" s="1295" t="s">
        <v>8</v>
      </c>
      <c r="B18" s="335">
        <v>1087</v>
      </c>
    </row>
    <row r="19" spans="1:6">
      <c r="A19" s="1295" t="s">
        <v>9</v>
      </c>
      <c r="B19" s="335">
        <v>862</v>
      </c>
    </row>
    <row r="20" spans="1:6">
      <c r="A20" s="1295" t="s">
        <v>10</v>
      </c>
      <c r="B20" s="335">
        <v>572</v>
      </c>
    </row>
    <row r="21" spans="1:6">
      <c r="A21" s="1295" t="s">
        <v>11</v>
      </c>
      <c r="B21" s="335">
        <v>5753</v>
      </c>
    </row>
    <row r="22" spans="1:6">
      <c r="A22" s="1295" t="s">
        <v>12</v>
      </c>
      <c r="B22" s="335">
        <v>12581</v>
      </c>
    </row>
    <row r="23" spans="1:6">
      <c r="A23" s="1295" t="s">
        <v>13</v>
      </c>
      <c r="B23" s="335">
        <v>294</v>
      </c>
    </row>
    <row r="24" spans="1:6">
      <c r="A24" s="1295" t="s">
        <v>14</v>
      </c>
      <c r="B24" s="335">
        <v>12</v>
      </c>
    </row>
    <row r="25" spans="1:6">
      <c r="A25" s="1295" t="s">
        <v>15</v>
      </c>
      <c r="B25" s="335">
        <v>1406</v>
      </c>
    </row>
    <row r="26" spans="1:6">
      <c r="A26" s="1295" t="s">
        <v>16</v>
      </c>
      <c r="B26" s="335">
        <v>191</v>
      </c>
    </row>
    <row r="27" spans="1:6">
      <c r="A27" s="1295" t="s">
        <v>17</v>
      </c>
      <c r="B27" s="335">
        <v>0</v>
      </c>
    </row>
    <row r="28" spans="1:6" s="341" customFormat="1">
      <c r="A28" s="1296" t="s">
        <v>18</v>
      </c>
      <c r="B28" s="1296">
        <v>352547</v>
      </c>
    </row>
    <row r="29" spans="1:6">
      <c r="A29" s="1296" t="s">
        <v>909</v>
      </c>
      <c r="B29" s="1296">
        <v>294</v>
      </c>
      <c r="C29" s="341"/>
      <c r="D29" s="341"/>
      <c r="E29" s="341"/>
      <c r="F29" s="341"/>
    </row>
    <row r="30" spans="1:6">
      <c r="A30" s="1291" t="s">
        <v>910</v>
      </c>
      <c r="B30" s="1291">
        <v>48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17</v>
      </c>
      <c r="F36" s="335">
        <v>75109</v>
      </c>
    </row>
    <row r="37" spans="1:6">
      <c r="A37" s="1295" t="s">
        <v>25</v>
      </c>
      <c r="B37" s="1295" t="s">
        <v>28</v>
      </c>
      <c r="C37" s="335">
        <v>0</v>
      </c>
      <c r="D37" s="335">
        <v>0</v>
      </c>
      <c r="E37" s="335">
        <v>0</v>
      </c>
      <c r="F37" s="335">
        <v>0</v>
      </c>
    </row>
    <row r="38" spans="1:6">
      <c r="A38" s="1295" t="s">
        <v>25</v>
      </c>
      <c r="B38" s="1295" t="s">
        <v>29</v>
      </c>
      <c r="C38" s="335">
        <v>1</v>
      </c>
      <c r="D38" s="335">
        <v>468022</v>
      </c>
      <c r="E38" s="335">
        <v>1</v>
      </c>
      <c r="F38" s="335">
        <v>2055</v>
      </c>
    </row>
    <row r="39" spans="1:6">
      <c r="A39" s="1295" t="s">
        <v>30</v>
      </c>
      <c r="B39" s="1295" t="s">
        <v>31</v>
      </c>
      <c r="C39" s="335">
        <v>5184</v>
      </c>
      <c r="D39" s="335">
        <v>89652321</v>
      </c>
      <c r="E39" s="335">
        <v>10352</v>
      </c>
      <c r="F39" s="335">
        <v>38227742</v>
      </c>
    </row>
    <row r="40" spans="1:6">
      <c r="A40" s="1295" t="s">
        <v>30</v>
      </c>
      <c r="B40" s="1295" t="s">
        <v>29</v>
      </c>
      <c r="C40" s="335">
        <v>0</v>
      </c>
      <c r="D40" s="335">
        <v>0</v>
      </c>
      <c r="E40" s="335">
        <v>0</v>
      </c>
      <c r="F40" s="335">
        <v>0</v>
      </c>
    </row>
    <row r="41" spans="1:6">
      <c r="A41" s="1295" t="s">
        <v>32</v>
      </c>
      <c r="B41" s="1295" t="s">
        <v>33</v>
      </c>
      <c r="C41" s="335">
        <v>44</v>
      </c>
      <c r="D41" s="335">
        <v>2043342</v>
      </c>
      <c r="E41" s="335">
        <v>153</v>
      </c>
      <c r="F41" s="335">
        <v>2022052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9</v>
      </c>
      <c r="D44" s="335">
        <v>475480</v>
      </c>
      <c r="E44" s="335">
        <v>32</v>
      </c>
      <c r="F44" s="335">
        <v>1156147</v>
      </c>
    </row>
    <row r="45" spans="1:6">
      <c r="A45" s="1295" t="s">
        <v>32</v>
      </c>
      <c r="B45" s="1295" t="s">
        <v>37</v>
      </c>
      <c r="C45" s="335">
        <v>5</v>
      </c>
      <c r="D45" s="335">
        <v>6720536</v>
      </c>
      <c r="E45" s="335">
        <v>9</v>
      </c>
      <c r="F45" s="335">
        <v>2359054</v>
      </c>
    </row>
    <row r="46" spans="1:6">
      <c r="A46" s="1295" t="s">
        <v>32</v>
      </c>
      <c r="B46" s="1295" t="s">
        <v>38</v>
      </c>
      <c r="C46" s="335">
        <v>0</v>
      </c>
      <c r="D46" s="335">
        <v>0</v>
      </c>
      <c r="E46" s="335">
        <v>0</v>
      </c>
      <c r="F46" s="335">
        <v>0</v>
      </c>
    </row>
    <row r="47" spans="1:6">
      <c r="A47" s="1295" t="s">
        <v>32</v>
      </c>
      <c r="B47" s="1295" t="s">
        <v>39</v>
      </c>
      <c r="C47" s="335">
        <v>0</v>
      </c>
      <c r="D47" s="335">
        <v>0</v>
      </c>
      <c r="E47" s="335">
        <v>5</v>
      </c>
      <c r="F47" s="335">
        <v>96522</v>
      </c>
    </row>
    <row r="48" spans="1:6">
      <c r="A48" s="1295" t="s">
        <v>32</v>
      </c>
      <c r="B48" s="1295" t="s">
        <v>29</v>
      </c>
      <c r="C48" s="335">
        <v>4</v>
      </c>
      <c r="D48" s="335">
        <v>669938</v>
      </c>
      <c r="E48" s="335">
        <v>2</v>
      </c>
      <c r="F48" s="335">
        <v>3370615</v>
      </c>
    </row>
    <row r="49" spans="1:6">
      <c r="A49" s="1295" t="s">
        <v>32</v>
      </c>
      <c r="B49" s="1295" t="s">
        <v>40</v>
      </c>
      <c r="C49" s="335">
        <v>0</v>
      </c>
      <c r="D49" s="335">
        <v>0</v>
      </c>
      <c r="E49" s="335">
        <v>4</v>
      </c>
      <c r="F49" s="335">
        <v>1452586</v>
      </c>
    </row>
    <row r="50" spans="1:6">
      <c r="A50" s="1295" t="s">
        <v>32</v>
      </c>
      <c r="B50" s="1295" t="s">
        <v>41</v>
      </c>
      <c r="C50" s="335">
        <v>6</v>
      </c>
      <c r="D50" s="335">
        <v>551323</v>
      </c>
      <c r="E50" s="335">
        <v>19</v>
      </c>
      <c r="F50" s="335">
        <v>770377</v>
      </c>
    </row>
    <row r="51" spans="1:6">
      <c r="A51" s="1295" t="s">
        <v>42</v>
      </c>
      <c r="B51" s="1295" t="s">
        <v>43</v>
      </c>
      <c r="C51" s="335">
        <v>11</v>
      </c>
      <c r="D51" s="335">
        <v>5373787</v>
      </c>
      <c r="E51" s="335">
        <v>99</v>
      </c>
      <c r="F51" s="335">
        <v>3851022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120</v>
      </c>
      <c r="F54" s="335">
        <v>1435892</v>
      </c>
    </row>
    <row r="55" spans="1:6">
      <c r="A55" s="1295" t="s">
        <v>46</v>
      </c>
      <c r="B55" s="1295" t="s">
        <v>29</v>
      </c>
      <c r="C55" s="335">
        <v>0</v>
      </c>
      <c r="D55" s="335">
        <v>0</v>
      </c>
      <c r="E55" s="335">
        <v>0</v>
      </c>
      <c r="F55" s="335">
        <v>0</v>
      </c>
    </row>
    <row r="56" spans="1:6">
      <c r="A56" s="1295" t="s">
        <v>48</v>
      </c>
      <c r="B56" s="1295" t="s">
        <v>29</v>
      </c>
      <c r="C56" s="335">
        <v>178</v>
      </c>
      <c r="D56" s="335">
        <v>18916872</v>
      </c>
      <c r="E56" s="335">
        <v>197</v>
      </c>
      <c r="F56" s="335">
        <v>1455216</v>
      </c>
    </row>
    <row r="57" spans="1:6">
      <c r="A57" s="1295" t="s">
        <v>49</v>
      </c>
      <c r="B57" s="1295" t="s">
        <v>50</v>
      </c>
      <c r="C57" s="335">
        <v>55</v>
      </c>
      <c r="D57" s="335">
        <v>2849015</v>
      </c>
      <c r="E57" s="335">
        <v>163</v>
      </c>
      <c r="F57" s="335">
        <v>5016960</v>
      </c>
    </row>
    <row r="58" spans="1:6">
      <c r="A58" s="1295" t="s">
        <v>49</v>
      </c>
      <c r="B58" s="1295" t="s">
        <v>51</v>
      </c>
      <c r="C58" s="335">
        <v>15</v>
      </c>
      <c r="D58" s="335">
        <v>1191080</v>
      </c>
      <c r="E58" s="335">
        <v>44</v>
      </c>
      <c r="F58" s="335">
        <v>2898682</v>
      </c>
    </row>
    <row r="59" spans="1:6">
      <c r="A59" s="1295" t="s">
        <v>49</v>
      </c>
      <c r="B59" s="1295" t="s">
        <v>52</v>
      </c>
      <c r="C59" s="335">
        <v>114</v>
      </c>
      <c r="D59" s="335">
        <v>5044208</v>
      </c>
      <c r="E59" s="335">
        <v>320</v>
      </c>
      <c r="F59" s="335">
        <v>9527746</v>
      </c>
    </row>
    <row r="60" spans="1:6">
      <c r="A60" s="1295" t="s">
        <v>49</v>
      </c>
      <c r="B60" s="1295" t="s">
        <v>53</v>
      </c>
      <c r="C60" s="335">
        <v>60</v>
      </c>
      <c r="D60" s="335">
        <v>3605218</v>
      </c>
      <c r="E60" s="335">
        <v>175</v>
      </c>
      <c r="F60" s="335">
        <v>4234995</v>
      </c>
    </row>
    <row r="61" spans="1:6">
      <c r="A61" s="1295" t="s">
        <v>49</v>
      </c>
      <c r="B61" s="1295" t="s">
        <v>54</v>
      </c>
      <c r="C61" s="335">
        <v>121</v>
      </c>
      <c r="D61" s="335">
        <v>4095657</v>
      </c>
      <c r="E61" s="335">
        <v>428</v>
      </c>
      <c r="F61" s="335">
        <v>5012432</v>
      </c>
    </row>
    <row r="62" spans="1:6">
      <c r="A62" s="1295" t="s">
        <v>49</v>
      </c>
      <c r="B62" s="1295" t="s">
        <v>55</v>
      </c>
      <c r="C62" s="335">
        <v>13</v>
      </c>
      <c r="D62" s="335">
        <v>3724965</v>
      </c>
      <c r="E62" s="335">
        <v>35</v>
      </c>
      <c r="F62" s="335">
        <v>2150082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3</v>
      </c>
      <c r="D65" s="335">
        <v>57888</v>
      </c>
      <c r="E65" s="335">
        <v>0</v>
      </c>
      <c r="F65" s="335">
        <v>0</v>
      </c>
    </row>
    <row r="66" spans="1:6">
      <c r="A66" s="1295" t="s">
        <v>56</v>
      </c>
      <c r="B66" s="1295" t="s">
        <v>58</v>
      </c>
      <c r="C66" s="335">
        <v>0</v>
      </c>
      <c r="D66" s="335">
        <v>0</v>
      </c>
      <c r="E66" s="335">
        <v>4</v>
      </c>
      <c r="F66" s="335">
        <v>330721</v>
      </c>
    </row>
    <row r="67" spans="1:6">
      <c r="A67" s="1296" t="s">
        <v>56</v>
      </c>
      <c r="B67" s="1296" t="s">
        <v>59</v>
      </c>
      <c r="C67" s="335">
        <v>0</v>
      </c>
      <c r="D67" s="335">
        <v>0</v>
      </c>
      <c r="E67" s="335">
        <v>0</v>
      </c>
      <c r="F67" s="335">
        <v>0</v>
      </c>
    </row>
    <row r="68" spans="1:6">
      <c r="A68" s="1291" t="s">
        <v>56</v>
      </c>
      <c r="B68" s="1291" t="s">
        <v>60</v>
      </c>
      <c r="C68" s="335">
        <v>0</v>
      </c>
      <c r="D68" s="335">
        <v>0</v>
      </c>
      <c r="E68" s="335">
        <v>4</v>
      </c>
      <c r="F68" s="335">
        <v>35268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96374578</v>
      </c>
      <c r="E73" s="335">
        <v>99981299.946342066</v>
      </c>
    </row>
    <row r="74" spans="1:6">
      <c r="A74" s="1295" t="s">
        <v>64</v>
      </c>
      <c r="B74" s="1295" t="s">
        <v>727</v>
      </c>
      <c r="C74" s="1295" t="s">
        <v>728</v>
      </c>
      <c r="D74" s="335">
        <v>5143382.7982832836</v>
      </c>
      <c r="E74" s="335">
        <v>5379814.8367400002</v>
      </c>
    </row>
    <row r="75" spans="1:6">
      <c r="A75" s="1295" t="s">
        <v>65</v>
      </c>
      <c r="B75" s="1295" t="s">
        <v>725</v>
      </c>
      <c r="C75" s="1295" t="s">
        <v>729</v>
      </c>
      <c r="D75" s="335">
        <v>25717972</v>
      </c>
      <c r="E75" s="335">
        <v>26756782.398904629</v>
      </c>
    </row>
    <row r="76" spans="1:6">
      <c r="A76" s="1295" t="s">
        <v>65</v>
      </c>
      <c r="B76" s="1295" t="s">
        <v>727</v>
      </c>
      <c r="C76" s="1295" t="s">
        <v>730</v>
      </c>
      <c r="D76" s="335">
        <v>424643.79828328331</v>
      </c>
      <c r="E76" s="335">
        <v>475188.97963412403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677584.40343343338</v>
      </c>
      <c r="C83" s="335">
        <v>650573.32750793139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11040.927320000001</v>
      </c>
    </row>
    <row r="91" spans="1:6">
      <c r="A91" s="1295" t="s">
        <v>68</v>
      </c>
      <c r="B91" s="335">
        <v>6812.1210000000001</v>
      </c>
    </row>
    <row r="92" spans="1:6">
      <c r="A92" s="1291" t="s">
        <v>69</v>
      </c>
      <c r="B92" s="338">
        <v>3425.68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2004</v>
      </c>
    </row>
    <row r="98" spans="1:6">
      <c r="A98" s="1295" t="s">
        <v>72</v>
      </c>
      <c r="B98" s="335">
        <v>3</v>
      </c>
    </row>
    <row r="99" spans="1:6">
      <c r="A99" s="1295" t="s">
        <v>73</v>
      </c>
      <c r="B99" s="335">
        <v>78</v>
      </c>
    </row>
    <row r="100" spans="1:6">
      <c r="A100" s="1295" t="s">
        <v>74</v>
      </c>
      <c r="B100" s="335">
        <v>269</v>
      </c>
    </row>
    <row r="101" spans="1:6">
      <c r="A101" s="1295" t="s">
        <v>75</v>
      </c>
      <c r="B101" s="335">
        <v>71</v>
      </c>
    </row>
    <row r="102" spans="1:6">
      <c r="A102" s="1295" t="s">
        <v>76</v>
      </c>
      <c r="B102" s="335">
        <v>125</v>
      </c>
    </row>
    <row r="103" spans="1:6">
      <c r="A103" s="1295" t="s">
        <v>77</v>
      </c>
      <c r="B103" s="335">
        <v>108</v>
      </c>
    </row>
    <row r="104" spans="1:6">
      <c r="A104" s="1295" t="s">
        <v>78</v>
      </c>
      <c r="B104" s="335">
        <v>6016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220</v>
      </c>
    </row>
    <row r="130" spans="1:6">
      <c r="A130" s="1295" t="s">
        <v>295</v>
      </c>
      <c r="B130" s="335">
        <v>2</v>
      </c>
    </row>
    <row r="131" spans="1:6">
      <c r="A131" s="1295" t="s">
        <v>296</v>
      </c>
      <c r="B131" s="335">
        <v>2</v>
      </c>
    </row>
    <row r="132" spans="1:6">
      <c r="A132" s="1291" t="s">
        <v>297</v>
      </c>
      <c r="B132" s="338">
        <v>21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91856.909735006426</v>
      </c>
      <c r="C3" s="43" t="s">
        <v>170</v>
      </c>
      <c r="D3" s="43"/>
      <c r="E3" s="156"/>
      <c r="F3" s="43"/>
      <c r="G3" s="43"/>
      <c r="H3" s="43"/>
      <c r="I3" s="43"/>
      <c r="J3" s="43"/>
      <c r="K3" s="96"/>
    </row>
    <row r="4" spans="1:11">
      <c r="A4" s="366" t="s">
        <v>171</v>
      </c>
      <c r="B4" s="49">
        <f>IF(ISERROR('SEAP template'!B78+'SEAP template'!C78),0,'SEAP template'!B78+'SEAP template'!C78)</f>
        <v>21283.228320000002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0.16980533786422541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1435.8920000000001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1435.8920000000001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0.16980533786422541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243.82212619653836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38227.741999999998</v>
      </c>
      <c r="C5" s="17">
        <f>IF(ISERROR('Eigen informatie GS &amp; warmtenet'!B57),0,'Eigen informatie GS &amp; warmtenet'!B57)</f>
        <v>0</v>
      </c>
      <c r="D5" s="30">
        <f>(SUM(HH_hh_gas_kWh,HH_rest_gas_kWh)/1000)*0.902</f>
        <v>80866.393542000005</v>
      </c>
      <c r="E5" s="17">
        <f>B46*B57</f>
        <v>7387.9129488239023</v>
      </c>
      <c r="F5" s="17">
        <f>B51*B62</f>
        <v>79754.817350799989</v>
      </c>
      <c r="G5" s="18"/>
      <c r="H5" s="17"/>
      <c r="I5" s="17"/>
      <c r="J5" s="17">
        <f>B50*B61+C50*C61</f>
        <v>0</v>
      </c>
      <c r="K5" s="17"/>
      <c r="L5" s="17"/>
      <c r="M5" s="17"/>
      <c r="N5" s="17">
        <f>B48*B59+C48*C59</f>
        <v>25211.143396711639</v>
      </c>
      <c r="O5" s="17">
        <f>B69*B70*B71</f>
        <v>364.25666666666666</v>
      </c>
      <c r="P5" s="17">
        <f>B77*B78*B79/1000-B77*B78*B79/1000/B80</f>
        <v>533.86666666666667</v>
      </c>
    </row>
    <row r="6" spans="1:16">
      <c r="A6" s="16" t="s">
        <v>634</v>
      </c>
      <c r="B6" s="783">
        <f>kWh_PV_kleiner_dan_10kW</f>
        <v>6812.1210000000001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45039.862999999998</v>
      </c>
      <c r="C8" s="21">
        <f>C5</f>
        <v>0</v>
      </c>
      <c r="D8" s="21">
        <f>D5</f>
        <v>80866.393542000005</v>
      </c>
      <c r="E8" s="21">
        <f>E5</f>
        <v>7387.9129488239023</v>
      </c>
      <c r="F8" s="21">
        <f>F5</f>
        <v>79754.817350799989</v>
      </c>
      <c r="G8" s="21"/>
      <c r="H8" s="21"/>
      <c r="I8" s="21"/>
      <c r="J8" s="21">
        <f>J5</f>
        <v>0</v>
      </c>
      <c r="K8" s="21"/>
      <c r="L8" s="21">
        <f>L5</f>
        <v>0</v>
      </c>
      <c r="M8" s="21">
        <f>M5</f>
        <v>0</v>
      </c>
      <c r="N8" s="21">
        <f>N5</f>
        <v>25211.143396711639</v>
      </c>
      <c r="O8" s="21">
        <f>O5</f>
        <v>364.25666666666666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0.16980533786422541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7648.0091540734247</v>
      </c>
      <c r="C12" s="23">
        <f ca="1">C10*C8</f>
        <v>0</v>
      </c>
      <c r="D12" s="23">
        <f>D8*D10</f>
        <v>16335.011495484003</v>
      </c>
      <c r="E12" s="23">
        <f>E10*E8</f>
        <v>1677.056239383026</v>
      </c>
      <c r="F12" s="23">
        <f>F10*F8</f>
        <v>21294.536232663599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2004</v>
      </c>
      <c r="C18" s="168" t="s">
        <v>111</v>
      </c>
      <c r="D18" s="230"/>
      <c r="E18" s="15"/>
    </row>
    <row r="19" spans="1:7">
      <c r="A19" s="173" t="s">
        <v>72</v>
      </c>
      <c r="B19" s="37">
        <f>aantalw2001_ander</f>
        <v>3</v>
      </c>
      <c r="C19" s="168" t="s">
        <v>111</v>
      </c>
      <c r="D19" s="231"/>
      <c r="E19" s="15"/>
    </row>
    <row r="20" spans="1:7">
      <c r="A20" s="173" t="s">
        <v>73</v>
      </c>
      <c r="B20" s="37">
        <f>aantalw2001_propaan</f>
        <v>78</v>
      </c>
      <c r="C20" s="169">
        <f>IF(ISERROR(B20/SUM($B$20,$B$21,$B$22)*100),0,B20/SUM($B$20,$B$21,$B$22)*100)</f>
        <v>18.660287081339714</v>
      </c>
      <c r="D20" s="231"/>
      <c r="E20" s="15"/>
    </row>
    <row r="21" spans="1:7">
      <c r="A21" s="173" t="s">
        <v>74</v>
      </c>
      <c r="B21" s="37">
        <f>aantalw2001_elektriciteit</f>
        <v>269</v>
      </c>
      <c r="C21" s="169">
        <f>IF(ISERROR(B21/SUM($B$20,$B$21,$B$22)*100),0,B21/SUM($B$20,$B$21,$B$22)*100)</f>
        <v>64.354066985645929</v>
      </c>
      <c r="D21" s="231"/>
      <c r="E21" s="15"/>
    </row>
    <row r="22" spans="1:7">
      <c r="A22" s="173" t="s">
        <v>75</v>
      </c>
      <c r="B22" s="37">
        <f>aantalw2001_hout</f>
        <v>71</v>
      </c>
      <c r="C22" s="169">
        <f>IF(ISERROR(B22/SUM($B$20,$B$21,$B$22)*100),0,B22/SUM($B$20,$B$21,$B$22)*100)</f>
        <v>16.985645933014354</v>
      </c>
      <c r="D22" s="231"/>
      <c r="E22" s="15"/>
    </row>
    <row r="23" spans="1:7">
      <c r="A23" s="173" t="s">
        <v>76</v>
      </c>
      <c r="B23" s="37">
        <f>aantalw2001_niet_gespec</f>
        <v>125</v>
      </c>
      <c r="C23" s="168" t="s">
        <v>111</v>
      </c>
      <c r="D23" s="230"/>
      <c r="E23" s="15"/>
    </row>
    <row r="24" spans="1:7">
      <c r="A24" s="173" t="s">
        <v>77</v>
      </c>
      <c r="B24" s="37">
        <f>aantalw2001_steenkool</f>
        <v>108</v>
      </c>
      <c r="C24" s="168" t="s">
        <v>111</v>
      </c>
      <c r="D24" s="231"/>
      <c r="E24" s="15"/>
    </row>
    <row r="25" spans="1:7">
      <c r="A25" s="173" t="s">
        <v>78</v>
      </c>
      <c r="B25" s="37">
        <f>aantalw2001_stookolie</f>
        <v>6016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10266</v>
      </c>
      <c r="C28" s="36"/>
      <c r="D28" s="230"/>
    </row>
    <row r="29" spans="1:7" s="15" customFormat="1">
      <c r="A29" s="232" t="s">
        <v>746</v>
      </c>
      <c r="B29" s="37">
        <f>SUM(HH_hh_gas_aantal,HH_rest_gas_aantal)</f>
        <v>5184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5184</v>
      </c>
      <c r="C32" s="169">
        <f>IF(ISERROR(B32/SUM($B$32,$B$34,$B$35,$B$36,$B$38,$B$39)*100),0,B32/SUM($B$32,$B$34,$B$35,$B$36,$B$38,$B$39)*100)</f>
        <v>50.634889626880252</v>
      </c>
      <c r="D32" s="235"/>
      <c r="G32" s="15"/>
    </row>
    <row r="33" spans="1:7">
      <c r="A33" s="173" t="s">
        <v>72</v>
      </c>
      <c r="B33" s="34" t="s">
        <v>111</v>
      </c>
      <c r="C33" s="169"/>
      <c r="D33" s="235"/>
      <c r="G33" s="15"/>
    </row>
    <row r="34" spans="1:7">
      <c r="A34" s="173" t="s">
        <v>73</v>
      </c>
      <c r="B34" s="33">
        <f>IF((($B$28-$B$32-$B$39-$B$77-$B$38)*C20/100)&lt;0,0,($B$28-$B$32-$B$39-$B$77-$B$38)*C20/100)</f>
        <v>354.54545454545456</v>
      </c>
      <c r="C34" s="169">
        <f>IF(ISERROR(B34/SUM($B$32,$B$34,$B$35,$B$36,$B$38,$B$39)*100),0,B34/SUM($B$32,$B$34,$B$35,$B$36,$B$38,$B$39)*100)</f>
        <v>3.4630343284377281</v>
      </c>
      <c r="D34" s="235"/>
      <c r="G34" s="15"/>
    </row>
    <row r="35" spans="1:7">
      <c r="A35" s="173" t="s">
        <v>74</v>
      </c>
      <c r="B35" s="33">
        <f>IF((($B$28-$B$32-$B$39-$B$77-$B$38)*C21/100)&lt;0,0,($B$28-$B$32-$B$39-$B$77-$B$38)*C21/100)</f>
        <v>1222.7272727272727</v>
      </c>
      <c r="C35" s="169">
        <f>IF(ISERROR(B35/SUM($B$32,$B$34,$B$35,$B$36,$B$38,$B$39)*100),0,B35/SUM($B$32,$B$34,$B$35,$B$36,$B$38,$B$39)*100)</f>
        <v>11.943028645509598</v>
      </c>
      <c r="D35" s="235"/>
      <c r="G35" s="15"/>
    </row>
    <row r="36" spans="1:7">
      <c r="A36" s="173" t="s">
        <v>75</v>
      </c>
      <c r="B36" s="33">
        <f>IF((($B$28-$B$32-$B$39-$B$77-$B$38)*C22/100)&lt;0,0,($B$28-$B$32-$B$39-$B$77-$B$38)*C22/100)</f>
        <v>322.72727272727275</v>
      </c>
      <c r="C36" s="169">
        <f>IF(ISERROR(B36/SUM($B$32,$B$34,$B$35,$B$36,$B$38,$B$39)*100),0,B36/SUM($B$32,$B$34,$B$35,$B$36,$B$38,$B$39)*100)</f>
        <v>3.1522491963984449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3154</v>
      </c>
      <c r="C39" s="169">
        <f>IF(ISERROR(B39/SUM($B$32,$B$34,$B$35,$B$36,$B$38,$B$39)*100),0,B39/SUM($B$32,$B$34,$B$35,$B$36,$B$38,$B$39)*100)</f>
        <v>30.806798202773976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5184</v>
      </c>
      <c r="C44" s="34" t="s">
        <v>111</v>
      </c>
      <c r="D44" s="176"/>
    </row>
    <row r="45" spans="1:7">
      <c r="A45" s="173" t="s">
        <v>72</v>
      </c>
      <c r="B45" s="33" t="str">
        <f t="shared" si="0"/>
        <v>-</v>
      </c>
      <c r="C45" s="34" t="s">
        <v>111</v>
      </c>
      <c r="D45" s="176"/>
    </row>
    <row r="46" spans="1:7">
      <c r="A46" s="173" t="s">
        <v>73</v>
      </c>
      <c r="B46" s="33">
        <f t="shared" si="0"/>
        <v>354.54545454545456</v>
      </c>
      <c r="C46" s="34" t="s">
        <v>111</v>
      </c>
      <c r="D46" s="176"/>
    </row>
    <row r="47" spans="1:7">
      <c r="A47" s="173" t="s">
        <v>74</v>
      </c>
      <c r="B47" s="33">
        <f t="shared" si="0"/>
        <v>1222.7272727272727</v>
      </c>
      <c r="C47" s="34" t="s">
        <v>111</v>
      </c>
      <c r="D47" s="176"/>
    </row>
    <row r="48" spans="1:7">
      <c r="A48" s="173" t="s">
        <v>75</v>
      </c>
      <c r="B48" s="33">
        <f t="shared" si="0"/>
        <v>322.72727272727275</v>
      </c>
      <c r="C48" s="33">
        <f>B48*10</f>
        <v>3227.2727272727275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28840.896999999997</v>
      </c>
      <c r="C5" s="17">
        <f>IF(ISERROR('Eigen informatie GS &amp; warmtenet'!B58),0,'Eigen informatie GS &amp; warmtenet'!B58)</f>
        <v>0</v>
      </c>
      <c r="D5" s="30">
        <f>SUM(D6:D12)</f>
        <v>18500.148986</v>
      </c>
      <c r="E5" s="17">
        <f>SUM(E6:E12)</f>
        <v>423.52316780061136</v>
      </c>
      <c r="F5" s="17">
        <f>SUM(F6:F12)</f>
        <v>6370.5343582733713</v>
      </c>
      <c r="G5" s="18"/>
      <c r="H5" s="17"/>
      <c r="I5" s="17"/>
      <c r="J5" s="17">
        <f>SUM(J6:J12)</f>
        <v>0</v>
      </c>
      <c r="K5" s="17"/>
      <c r="L5" s="17"/>
      <c r="M5" s="17"/>
      <c r="N5" s="17">
        <f>SUM(N6:N12)</f>
        <v>3554.4535089066076</v>
      </c>
      <c r="O5" s="17">
        <f>B38*B39*B40</f>
        <v>3.1266666666666669</v>
      </c>
      <c r="P5" s="17">
        <f>B46*B47*B48/1000-B46*B47*B48/1000/B49</f>
        <v>38.133333333333333</v>
      </c>
      <c r="R5" s="32"/>
    </row>
    <row r="6" spans="1:18">
      <c r="A6" s="32" t="s">
        <v>54</v>
      </c>
      <c r="B6" s="37">
        <f>B26</f>
        <v>5012.4319999999998</v>
      </c>
      <c r="C6" s="33"/>
      <c r="D6" s="37">
        <f>IF(ISERROR(TER_kantoor_gas_kWh/1000),0,TER_kantoor_gas_kWh/1000)*0.902</f>
        <v>3694.2826140000002</v>
      </c>
      <c r="E6" s="33">
        <f>$C$26*'E Balans VL '!I12/100/3.6*1000000</f>
        <v>19.474359513684679</v>
      </c>
      <c r="F6" s="33">
        <f>$C$26*('E Balans VL '!L12+'E Balans VL '!N12)/100/3.6*1000000</f>
        <v>762.34529770510437</v>
      </c>
      <c r="G6" s="34"/>
      <c r="H6" s="33"/>
      <c r="I6" s="33"/>
      <c r="J6" s="33">
        <f>$C$26*('E Balans VL '!D12+'E Balans VL '!E12)/100/3.6*1000000</f>
        <v>0</v>
      </c>
      <c r="K6" s="33"/>
      <c r="L6" s="33"/>
      <c r="M6" s="33"/>
      <c r="N6" s="33">
        <f>$C$26*'E Balans VL '!Y12/100/3.6*1000000</f>
        <v>2.7624505065657465</v>
      </c>
      <c r="O6" s="33"/>
      <c r="P6" s="33"/>
      <c r="R6" s="32"/>
    </row>
    <row r="7" spans="1:18">
      <c r="A7" s="32" t="s">
        <v>53</v>
      </c>
      <c r="B7" s="37">
        <f t="shared" ref="B7:B12" si="0">B27</f>
        <v>4234.9949999999999</v>
      </c>
      <c r="C7" s="33"/>
      <c r="D7" s="37">
        <f>IF(ISERROR(TER_horeca_gas_kWh/1000),0,TER_horeca_gas_kWh/1000)*0.902</f>
        <v>3251.9066360000002</v>
      </c>
      <c r="E7" s="33">
        <f>$C$27*'E Balans VL '!I9/100/3.6*1000000</f>
        <v>238.55840060006898</v>
      </c>
      <c r="F7" s="33">
        <f>$C$27*('E Balans VL '!L9+'E Balans VL '!N9)/100/3.6*1000000</f>
        <v>1221.1190140251961</v>
      </c>
      <c r="G7" s="34"/>
      <c r="H7" s="33"/>
      <c r="I7" s="33"/>
      <c r="J7" s="33">
        <f>$C$27*('E Balans VL '!D9+'E Balans VL '!E9)/100/3.6*1000000</f>
        <v>0</v>
      </c>
      <c r="K7" s="33"/>
      <c r="L7" s="33"/>
      <c r="M7" s="33"/>
      <c r="N7" s="33">
        <f>$C$27*'E Balans VL '!Y9/100/3.6*1000000</f>
        <v>1.1692601123953994</v>
      </c>
      <c r="O7" s="33"/>
      <c r="P7" s="33"/>
      <c r="R7" s="32"/>
    </row>
    <row r="8" spans="1:18">
      <c r="A8" s="6" t="s">
        <v>52</v>
      </c>
      <c r="B8" s="37">
        <f t="shared" si="0"/>
        <v>9527.7459999999992</v>
      </c>
      <c r="C8" s="33"/>
      <c r="D8" s="37">
        <f>IF(ISERROR(TER_handel_gas_kWh/1000),0,TER_handel_gas_kWh/1000)*0.902</f>
        <v>4549.8756159999994</v>
      </c>
      <c r="E8" s="33">
        <f>$C$28*'E Balans VL '!I13/100/3.6*1000000</f>
        <v>137.32714428668382</v>
      </c>
      <c r="F8" s="33">
        <f>$C$28*('E Balans VL '!L13+'E Balans VL '!N13)/100/3.6*1000000</f>
        <v>1655.1913664317119</v>
      </c>
      <c r="G8" s="34"/>
      <c r="H8" s="33"/>
      <c r="I8" s="33"/>
      <c r="J8" s="33">
        <f>$C$28*('E Balans VL '!D13+'E Balans VL '!E13)/100/3.6*1000000</f>
        <v>0</v>
      </c>
      <c r="K8" s="33"/>
      <c r="L8" s="33"/>
      <c r="M8" s="33"/>
      <c r="N8" s="33">
        <f>$C$28*'E Balans VL '!Y13/100/3.6*1000000</f>
        <v>28.546187666534284</v>
      </c>
      <c r="O8" s="33"/>
      <c r="P8" s="33"/>
      <c r="R8" s="32"/>
    </row>
    <row r="9" spans="1:18">
      <c r="A9" s="32" t="s">
        <v>51</v>
      </c>
      <c r="B9" s="37">
        <f t="shared" si="0"/>
        <v>2898.6819999999998</v>
      </c>
      <c r="C9" s="33"/>
      <c r="D9" s="37">
        <f>IF(ISERROR(TER_gezond_gas_kWh/1000),0,TER_gezond_gas_kWh/1000)*0.902</f>
        <v>1074.3541599999999</v>
      </c>
      <c r="E9" s="33">
        <f>$C$29*'E Balans VL '!I10/100/3.6*1000000</f>
        <v>3.0965436867833862</v>
      </c>
      <c r="F9" s="33">
        <f>$C$29*('E Balans VL '!L10+'E Balans VL '!N10)/100/3.6*1000000</f>
        <v>472.86312845173791</v>
      </c>
      <c r="G9" s="34"/>
      <c r="H9" s="33"/>
      <c r="I9" s="33"/>
      <c r="J9" s="33">
        <f>$C$29*('E Balans VL '!D10+'E Balans VL '!E10)/100/3.6*1000000</f>
        <v>0</v>
      </c>
      <c r="K9" s="33"/>
      <c r="L9" s="33"/>
      <c r="M9" s="33"/>
      <c r="N9" s="33">
        <f>$C$29*'E Balans VL '!Y10/100/3.6*1000000</f>
        <v>29.840277235047708</v>
      </c>
      <c r="O9" s="33"/>
      <c r="P9" s="33"/>
      <c r="R9" s="32"/>
    </row>
    <row r="10" spans="1:18">
      <c r="A10" s="32" t="s">
        <v>50</v>
      </c>
      <c r="B10" s="37">
        <f t="shared" si="0"/>
        <v>5016.96</v>
      </c>
      <c r="C10" s="33"/>
      <c r="D10" s="37">
        <f>IF(ISERROR(TER_ander_gas_kWh/1000),0,TER_ander_gas_kWh/1000)*0.902</f>
        <v>2569.8115299999999</v>
      </c>
      <c r="E10" s="33">
        <f>$C$30*'E Balans VL '!I14/100/3.6*1000000</f>
        <v>23.07223590373362</v>
      </c>
      <c r="F10" s="33">
        <f>$C$30*('E Balans VL '!L14+'E Balans VL '!N14)/100/3.6*1000000</f>
        <v>1503.741161141563</v>
      </c>
      <c r="G10" s="34"/>
      <c r="H10" s="33"/>
      <c r="I10" s="33"/>
      <c r="J10" s="33">
        <f>$C$30*('E Balans VL '!D14+'E Balans VL '!E14)/100/3.6*1000000</f>
        <v>0</v>
      </c>
      <c r="K10" s="33"/>
      <c r="L10" s="33"/>
      <c r="M10" s="33"/>
      <c r="N10" s="33">
        <f>$C$30*'E Balans VL '!Y14/100/3.6*1000000</f>
        <v>3492.1353333860643</v>
      </c>
      <c r="O10" s="33"/>
      <c r="P10" s="33"/>
      <c r="R10" s="32"/>
    </row>
    <row r="11" spans="1:18">
      <c r="A11" s="32" t="s">
        <v>55</v>
      </c>
      <c r="B11" s="37">
        <f t="shared" si="0"/>
        <v>2150.0819999999999</v>
      </c>
      <c r="C11" s="33"/>
      <c r="D11" s="37">
        <f>IF(ISERROR(TER_onderwijs_gas_kWh/1000),0,TER_onderwijs_gas_kWh/1000)*0.902</f>
        <v>3359.9184300000002</v>
      </c>
      <c r="E11" s="33">
        <f>$C$31*'E Balans VL '!I11/100/3.6*1000000</f>
        <v>1.9944838096569</v>
      </c>
      <c r="F11" s="33">
        <f>$C$31*('E Balans VL '!L11+'E Balans VL '!N11)/100/3.6*1000000</f>
        <v>755.27439051805891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28840.896999999997</v>
      </c>
      <c r="C16" s="21">
        <f t="shared" ca="1" si="1"/>
        <v>0</v>
      </c>
      <c r="D16" s="21">
        <f t="shared" ca="1" si="1"/>
        <v>18500.148986</v>
      </c>
      <c r="E16" s="21">
        <f t="shared" si="1"/>
        <v>423.52316780061136</v>
      </c>
      <c r="F16" s="21">
        <f t="shared" ca="1" si="1"/>
        <v>6370.5343582733713</v>
      </c>
      <c r="G16" s="21">
        <f t="shared" si="1"/>
        <v>0</v>
      </c>
      <c r="H16" s="21">
        <f t="shared" si="1"/>
        <v>0</v>
      </c>
      <c r="I16" s="21">
        <f t="shared" si="1"/>
        <v>0</v>
      </c>
      <c r="J16" s="21">
        <f t="shared" si="1"/>
        <v>0</v>
      </c>
      <c r="K16" s="21">
        <f t="shared" si="1"/>
        <v>0</v>
      </c>
      <c r="L16" s="21">
        <f t="shared" ca="1" si="1"/>
        <v>0</v>
      </c>
      <c r="M16" s="21">
        <f t="shared" si="1"/>
        <v>0</v>
      </c>
      <c r="N16" s="21">
        <f t="shared" ca="1" si="1"/>
        <v>3554.4535089066076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0.16980533786422541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4897.3382593923243</v>
      </c>
      <c r="C20" s="23">
        <f t="shared" ref="C20:P20" ca="1" si="2">C16*C18</f>
        <v>0</v>
      </c>
      <c r="D20" s="23">
        <f t="shared" ca="1" si="2"/>
        <v>3737.0300951720001</v>
      </c>
      <c r="E20" s="23">
        <f t="shared" si="2"/>
        <v>96.139759090738778</v>
      </c>
      <c r="F20" s="23">
        <f t="shared" ca="1" si="2"/>
        <v>1700.9326736589903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5012.4319999999998</v>
      </c>
      <c r="C26" s="39">
        <f>IF(ISERROR(B26*3.6/1000000/'E Balans VL '!Z12*100),0,B26*3.6/1000000/'E Balans VL '!Z12*100)</f>
        <v>0.10646653851604851</v>
      </c>
      <c r="D26" s="239" t="s">
        <v>692</v>
      </c>
      <c r="F26" s="6"/>
    </row>
    <row r="27" spans="1:18">
      <c r="A27" s="233" t="s">
        <v>53</v>
      </c>
      <c r="B27" s="33">
        <f>IF(ISERROR(TER_horeca_ele_kWh/1000),0,TER_horeca_ele_kWh/1000)</f>
        <v>4234.9949999999999</v>
      </c>
      <c r="C27" s="39">
        <f>IF(ISERROR(B27*3.6/1000000/'E Balans VL '!Z9*100),0,B27*3.6/1000000/'E Balans VL '!Z9*100)</f>
        <v>0.32929665270113229</v>
      </c>
      <c r="D27" s="239" t="s">
        <v>692</v>
      </c>
      <c r="F27" s="6"/>
    </row>
    <row r="28" spans="1:18">
      <c r="A28" s="173" t="s">
        <v>52</v>
      </c>
      <c r="B28" s="33">
        <f>IF(ISERROR(TER_handel_ele_kWh/1000),0,TER_handel_ele_kWh/1000)</f>
        <v>9527.7459999999992</v>
      </c>
      <c r="C28" s="39">
        <f>IF(ISERROR(B28*3.6/1000000/'E Balans VL '!Z13*100),0,B28*3.6/1000000/'E Balans VL '!Z13*100)</f>
        <v>0.27260002609534512</v>
      </c>
      <c r="D28" s="239" t="s">
        <v>692</v>
      </c>
      <c r="F28" s="6"/>
    </row>
    <row r="29" spans="1:18">
      <c r="A29" s="233" t="s">
        <v>51</v>
      </c>
      <c r="B29" s="33">
        <f>IF(ISERROR(TER_gezond_ele_kWh/1000),0,TER_gezond_ele_kWh/1000)</f>
        <v>2898.6819999999998</v>
      </c>
      <c r="C29" s="39">
        <f>IF(ISERROR(B29*3.6/1000000/'E Balans VL '!Z10*100),0,B29*3.6/1000000/'E Balans VL '!Z10*100)</f>
        <v>0.31602369529139707</v>
      </c>
      <c r="D29" s="239" t="s">
        <v>692</v>
      </c>
      <c r="F29" s="6"/>
    </row>
    <row r="30" spans="1:18">
      <c r="A30" s="233" t="s">
        <v>50</v>
      </c>
      <c r="B30" s="33">
        <f>IF(ISERROR(TER_ander_ele_kWh/1000),0,TER_ander_ele_kWh/1000)</f>
        <v>5016.96</v>
      </c>
      <c r="C30" s="39">
        <f>IF(ISERROR(B30*3.6/1000000/'E Balans VL '!Z14*100),0,B30*3.6/1000000/'E Balans VL '!Z14*100)</f>
        <v>0.36712975209602461</v>
      </c>
      <c r="D30" s="239" t="s">
        <v>692</v>
      </c>
      <c r="F30" s="6"/>
    </row>
    <row r="31" spans="1:18">
      <c r="A31" s="233" t="s">
        <v>55</v>
      </c>
      <c r="B31" s="33">
        <f>IF(ISERROR(TER_onderwijs_ele_kWh/1000),0,TER_onderwijs_ele_kWh/1000)</f>
        <v>2150.0819999999999</v>
      </c>
      <c r="C31" s="39">
        <f>IF(ISERROR(B31*3.6/1000000/'E Balans VL '!Z11*100),0,B31*3.6/1000000/'E Balans VL '!Z11*100)</f>
        <v>0.43184556630686682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11227.352999999999</v>
      </c>
      <c r="C5" s="17">
        <f>IF(ISERROR('Eigen informatie GS &amp; warmtenet'!B59),0,'Eigen informatie GS &amp; warmtenet'!B59)</f>
        <v>0</v>
      </c>
      <c r="D5" s="30">
        <f>SUM(D6:D15)</f>
        <v>9435.4783380000008</v>
      </c>
      <c r="E5" s="17">
        <f>SUM(E6:E15)</f>
        <v>851.0784784138408</v>
      </c>
      <c r="F5" s="17">
        <f>SUM(F6:F15)</f>
        <v>4534.8881687882495</v>
      </c>
      <c r="G5" s="18"/>
      <c r="H5" s="17"/>
      <c r="I5" s="17"/>
      <c r="J5" s="17">
        <f>SUM(J6:J15)</f>
        <v>21.623880103865432</v>
      </c>
      <c r="K5" s="17"/>
      <c r="L5" s="17"/>
      <c r="M5" s="17"/>
      <c r="N5" s="17">
        <f>SUM(N6:N15)</f>
        <v>1792.4213115917098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1156.1469999999999</v>
      </c>
      <c r="C8" s="33"/>
      <c r="D8" s="37">
        <f>IF( ISERROR(IND_metaal_Gas_kWH/1000),0,IND_metaal_Gas_kWH/1000)*0.902</f>
        <v>428.88296000000003</v>
      </c>
      <c r="E8" s="33">
        <f>C30*'E Balans VL '!I18/100/3.6*1000000</f>
        <v>33.208881483456807</v>
      </c>
      <c r="F8" s="33">
        <f>C30*'E Balans VL '!L18/100/3.6*1000000+C30*'E Balans VL '!N18/100/3.6*1000000</f>
        <v>296.52946959764</v>
      </c>
      <c r="G8" s="34"/>
      <c r="H8" s="33"/>
      <c r="I8" s="33"/>
      <c r="J8" s="40">
        <f>C30*'E Balans VL '!D18/100/3.6*1000000+C30*'E Balans VL '!E18/100/3.6*1000000</f>
        <v>0</v>
      </c>
      <c r="K8" s="33"/>
      <c r="L8" s="33"/>
      <c r="M8" s="33"/>
      <c r="N8" s="33">
        <f>C30*'E Balans VL '!Y18/100/3.6*1000000</f>
        <v>31.39175108039073</v>
      </c>
      <c r="O8" s="33"/>
      <c r="P8" s="33"/>
      <c r="R8" s="32"/>
    </row>
    <row r="9" spans="1:18">
      <c r="A9" s="6" t="s">
        <v>33</v>
      </c>
      <c r="B9" s="37">
        <f t="shared" si="0"/>
        <v>2022.0519999999999</v>
      </c>
      <c r="C9" s="33"/>
      <c r="D9" s="37">
        <f>IF( ISERROR(IND_andere_gas_kWh/1000),0,IND_andere_gas_kWh/1000)*0.902</f>
        <v>1843.0944840000002</v>
      </c>
      <c r="E9" s="33">
        <f>C31*'E Balans VL '!I19/100/3.6*1000000</f>
        <v>547.3197601256926</v>
      </c>
      <c r="F9" s="33">
        <f>C31*'E Balans VL '!L19/100/3.6*1000000+C31*'E Balans VL '!N19/100/3.6*1000000</f>
        <v>1346.9006097994759</v>
      </c>
      <c r="G9" s="34"/>
      <c r="H9" s="33"/>
      <c r="I9" s="33"/>
      <c r="J9" s="40">
        <f>C31*'E Balans VL '!D19/100/3.6*1000000+C31*'E Balans VL '!E19/100/3.6*1000000</f>
        <v>0</v>
      </c>
      <c r="K9" s="33"/>
      <c r="L9" s="33"/>
      <c r="M9" s="33"/>
      <c r="N9" s="33">
        <f>C31*'E Balans VL '!Y19/100/3.6*1000000</f>
        <v>660.16638884067834</v>
      </c>
      <c r="O9" s="33"/>
      <c r="P9" s="33"/>
      <c r="R9" s="32"/>
    </row>
    <row r="10" spans="1:18">
      <c r="A10" s="6" t="s">
        <v>41</v>
      </c>
      <c r="B10" s="37">
        <f t="shared" si="0"/>
        <v>770.37699999999995</v>
      </c>
      <c r="C10" s="33"/>
      <c r="D10" s="37">
        <f>IF( ISERROR(IND_voed_gas_kWh/1000),0,IND_voed_gas_kWh/1000)*0.902</f>
        <v>497.29334599999999</v>
      </c>
      <c r="E10" s="33">
        <f>C32*'E Balans VL '!I20/100/3.6*1000000</f>
        <v>62.833718015102427</v>
      </c>
      <c r="F10" s="33">
        <f>C32*'E Balans VL '!L20/100/3.6*1000000+C32*'E Balans VL '!N20/100/3.6*1000000</f>
        <v>1148.7020017257059</v>
      </c>
      <c r="G10" s="34"/>
      <c r="H10" s="33"/>
      <c r="I10" s="33"/>
      <c r="J10" s="40">
        <f>C32*'E Balans VL '!D20/100/3.6*1000000+C32*'E Balans VL '!E20/100/3.6*1000000</f>
        <v>1.0191152597767875E-2</v>
      </c>
      <c r="K10" s="33"/>
      <c r="L10" s="33"/>
      <c r="M10" s="33"/>
      <c r="N10" s="33">
        <f>C32*'E Balans VL '!Y20/100/3.6*1000000</f>
        <v>226.30957892682727</v>
      </c>
      <c r="O10" s="33"/>
      <c r="P10" s="33"/>
      <c r="R10" s="32"/>
    </row>
    <row r="11" spans="1:18">
      <c r="A11" s="6" t="s">
        <v>40</v>
      </c>
      <c r="B11" s="37">
        <f t="shared" si="0"/>
        <v>1452.586</v>
      </c>
      <c r="C11" s="33"/>
      <c r="D11" s="37">
        <f>IF( ISERROR(IND_textiel_gas_kWh/1000),0,IND_textiel_gas_kWh/1000)*0.902</f>
        <v>0</v>
      </c>
      <c r="E11" s="33">
        <f>C33*'E Balans VL '!I21/100/3.6*1000000</f>
        <v>0.28793226468794236</v>
      </c>
      <c r="F11" s="33">
        <f>C33*'E Balans VL '!L21/100/3.6*1000000+C33*'E Balans VL '!N21/100/3.6*1000000</f>
        <v>53.500494930603708</v>
      </c>
      <c r="G11" s="34"/>
      <c r="H11" s="33"/>
      <c r="I11" s="33"/>
      <c r="J11" s="40">
        <f>C33*'E Balans VL '!D21/100/3.6*1000000+C33*'E Balans VL '!E21/100/3.6*1000000</f>
        <v>0</v>
      </c>
      <c r="K11" s="33"/>
      <c r="L11" s="33"/>
      <c r="M11" s="33"/>
      <c r="N11" s="33">
        <f>C33*'E Balans VL '!Y21/100/3.6*1000000</f>
        <v>6.7541582065077259</v>
      </c>
      <c r="O11" s="33"/>
      <c r="P11" s="33"/>
      <c r="R11" s="32"/>
    </row>
    <row r="12" spans="1:18">
      <c r="A12" s="6" t="s">
        <v>37</v>
      </c>
      <c r="B12" s="37">
        <f t="shared" si="0"/>
        <v>2359.0540000000001</v>
      </c>
      <c r="C12" s="33"/>
      <c r="D12" s="37">
        <f>IF( ISERROR(IND_min_gas_kWh/1000),0,IND_min_gas_kWh/1000)*0.902</f>
        <v>6061.9234720000004</v>
      </c>
      <c r="E12" s="33">
        <f>C34*'E Balans VL '!I22/100/3.6*1000000</f>
        <v>18.376516644012771</v>
      </c>
      <c r="F12" s="33">
        <f>C34*'E Balans VL '!L22/100/3.6*1000000+C34*'E Balans VL '!N22/100/3.6*1000000</f>
        <v>889.69020050404288</v>
      </c>
      <c r="G12" s="34"/>
      <c r="H12" s="33"/>
      <c r="I12" s="33"/>
      <c r="J12" s="40">
        <f>C34*'E Balans VL '!D22/100/3.6*1000000+C34*'E Balans VL '!E22/100/3.6*1000000</f>
        <v>12.9745907410028</v>
      </c>
      <c r="K12" s="33"/>
      <c r="L12" s="33"/>
      <c r="M12" s="33"/>
      <c r="N12" s="33">
        <f>C34*'E Balans VL '!Y22/100/3.6*1000000</f>
        <v>0</v>
      </c>
      <c r="O12" s="33"/>
      <c r="P12" s="33"/>
      <c r="R12" s="32"/>
    </row>
    <row r="13" spans="1:18">
      <c r="A13" s="6" t="s">
        <v>39</v>
      </c>
      <c r="B13" s="37">
        <f t="shared" si="0"/>
        <v>96.522000000000006</v>
      </c>
      <c r="C13" s="33"/>
      <c r="D13" s="37">
        <f>IF( ISERROR(IND_papier_gas_kWh/1000),0,IND_papier_gas_kWh/1000)*0.902</f>
        <v>0</v>
      </c>
      <c r="E13" s="33">
        <f>C35*'E Balans VL '!I23/100/3.6*1000000</f>
        <v>1.0112437916242436</v>
      </c>
      <c r="F13" s="33">
        <f>C35*'E Balans VL '!L23/100/3.6*1000000+C35*'E Balans VL '!N23/100/3.6*1000000</f>
        <v>7.2024887481416</v>
      </c>
      <c r="G13" s="34"/>
      <c r="H13" s="33"/>
      <c r="I13" s="33"/>
      <c r="J13" s="40">
        <f>C35*'E Balans VL '!D23/100/3.6*1000000+C35*'E Balans VL '!E23/100/3.6*1000000</f>
        <v>0</v>
      </c>
      <c r="K13" s="33"/>
      <c r="L13" s="33"/>
      <c r="M13" s="33"/>
      <c r="N13" s="33">
        <f>C35*'E Balans VL '!Y23/100/3.6*1000000</f>
        <v>206.30570033974806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3370.6149999999998</v>
      </c>
      <c r="C15" s="33"/>
      <c r="D15" s="37">
        <f>IF( ISERROR(IND_rest_gas_kWh/1000),0,IND_rest_gas_kWh/1000)*0.902</f>
        <v>604.28407600000003</v>
      </c>
      <c r="E15" s="33">
        <f>C37*'E Balans VL '!I15/100/3.6*1000000</f>
        <v>188.04042608926397</v>
      </c>
      <c r="F15" s="33">
        <f>C37*'E Balans VL '!L15/100/3.6*1000000+C37*'E Balans VL '!N15/100/3.6*1000000</f>
        <v>792.36290348263947</v>
      </c>
      <c r="G15" s="34"/>
      <c r="H15" s="33"/>
      <c r="I15" s="33"/>
      <c r="J15" s="40">
        <f>C37*'E Balans VL '!D15/100/3.6*1000000+C37*'E Balans VL '!E15/100/3.6*1000000</f>
        <v>8.6390982102648639</v>
      </c>
      <c r="K15" s="33"/>
      <c r="L15" s="33"/>
      <c r="M15" s="33"/>
      <c r="N15" s="33">
        <f>C37*'E Balans VL '!Y15/100/3.6*1000000</f>
        <v>661.49373419755761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11227.352999999999</v>
      </c>
      <c r="C18" s="21">
        <f>C5+C16</f>
        <v>0</v>
      </c>
      <c r="D18" s="21">
        <f>MAX((D5+D16),0)</f>
        <v>9435.4783380000008</v>
      </c>
      <c r="E18" s="21">
        <f>MAX((E5+E16),0)</f>
        <v>851.0784784138408</v>
      </c>
      <c r="F18" s="21">
        <f>MAX((F5+F16),0)</f>
        <v>4534.8881687882495</v>
      </c>
      <c r="G18" s="21"/>
      <c r="H18" s="21"/>
      <c r="I18" s="21"/>
      <c r="J18" s="21">
        <f>MAX((J5+J16),0)</f>
        <v>21.623880103865432</v>
      </c>
      <c r="K18" s="21"/>
      <c r="L18" s="21">
        <f>MAX((L5+L16),0)</f>
        <v>0</v>
      </c>
      <c r="M18" s="21"/>
      <c r="N18" s="21">
        <f>MAX((N5+N16),0)</f>
        <v>1792.4213115917098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0.16980533786422541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1906.4644694859246</v>
      </c>
      <c r="C22" s="23">
        <f ca="1">C18*C20</f>
        <v>0</v>
      </c>
      <c r="D22" s="23">
        <f>D18*D20</f>
        <v>1905.9666242760002</v>
      </c>
      <c r="E22" s="23">
        <f>E18*E20</f>
        <v>193.19481459994188</v>
      </c>
      <c r="F22" s="23">
        <f>F18*F20</f>
        <v>1210.8151410664627</v>
      </c>
      <c r="G22" s="23"/>
      <c r="H22" s="23"/>
      <c r="I22" s="23"/>
      <c r="J22" s="23">
        <f>J18*J20</f>
        <v>7.6548535567683622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1156.1469999999999</v>
      </c>
      <c r="C30" s="39">
        <f>IF(ISERROR(B30*3.6/1000000/'E Balans VL '!Z18*100),0,B30*3.6/1000000/'E Balans VL '!Z18*100)</f>
        <v>0.1137619134710995</v>
      </c>
      <c r="D30" s="239" t="s">
        <v>692</v>
      </c>
    </row>
    <row r="31" spans="1:18">
      <c r="A31" s="6" t="s">
        <v>33</v>
      </c>
      <c r="B31" s="37">
        <f>IF( ISERROR(IND_ander_ele_kWh/1000),0,IND_ander_ele_kWh/1000)</f>
        <v>2022.0519999999999</v>
      </c>
      <c r="C31" s="39">
        <f>IF(ISERROR(B31*3.6/1000000/'E Balans VL '!Z19*100),0,B31*3.6/1000000/'E Balans VL '!Z19*100)</f>
        <v>8.8058751625008452E-2</v>
      </c>
      <c r="D31" s="239" t="s">
        <v>692</v>
      </c>
    </row>
    <row r="32" spans="1:18">
      <c r="A32" s="173" t="s">
        <v>41</v>
      </c>
      <c r="B32" s="37">
        <f>IF( ISERROR(IND_voed_ele_kWh/1000),0,IND_voed_ele_kWh/1000)</f>
        <v>770.37699999999995</v>
      </c>
      <c r="C32" s="39">
        <f>IF(ISERROR(B32*3.6/1000000/'E Balans VL '!Z20*100),0,B32*3.6/1000000/'E Balans VL '!Z20*100)</f>
        <v>0.14616792570503151</v>
      </c>
      <c r="D32" s="239" t="s">
        <v>692</v>
      </c>
    </row>
    <row r="33" spans="1:5">
      <c r="A33" s="173" t="s">
        <v>40</v>
      </c>
      <c r="B33" s="37">
        <f>IF( ISERROR(IND_textiel_ele_kWh/1000),0,IND_textiel_ele_kWh/1000)</f>
        <v>1452.586</v>
      </c>
      <c r="C33" s="39">
        <f>IF(ISERROR(B33*3.6/1000000/'E Balans VL '!Z21*100),0,B33*3.6/1000000/'E Balans VL '!Z21*100)</f>
        <v>8.2935294165454032E-2</v>
      </c>
      <c r="D33" s="239" t="s">
        <v>692</v>
      </c>
    </row>
    <row r="34" spans="1:5">
      <c r="A34" s="173" t="s">
        <v>37</v>
      </c>
      <c r="B34" s="37">
        <f>IF( ISERROR(IND_min_ele_kWh/1000),0,IND_min_ele_kWh/1000)</f>
        <v>2359.0540000000001</v>
      </c>
      <c r="C34" s="39">
        <f>IF(ISERROR(B34*3.6/1000000/'E Balans VL '!Z22*100),0,B34*3.6/1000000/'E Balans VL '!Z22*100)</f>
        <v>0.33170668128189423</v>
      </c>
      <c r="D34" s="239" t="s">
        <v>692</v>
      </c>
    </row>
    <row r="35" spans="1:5">
      <c r="A35" s="173" t="s">
        <v>39</v>
      </c>
      <c r="B35" s="37">
        <f>IF( ISERROR(IND_papier_ele_kWh/1000),0,IND_papier_ele_kWh/1000)</f>
        <v>96.522000000000006</v>
      </c>
      <c r="C35" s="39">
        <f>IF(ISERROR(B35*3.6/1000000/'E Balans VL '!Z22*100),0,B35*3.6/1000000/'E Balans VL '!Z22*100)</f>
        <v>1.3571962443713033E-2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3370.6149999999998</v>
      </c>
      <c r="C37" s="39">
        <f>IF(ISERROR(B37*3.6/1000000/'E Balans VL '!Z15*100),0,B37*3.6/1000000/'E Balans VL '!Z15*100)</f>
        <v>2.5974728543585707E-2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3851.0219999999999</v>
      </c>
      <c r="C5" s="17">
        <f>'Eigen informatie GS &amp; warmtenet'!B60</f>
        <v>0</v>
      </c>
      <c r="D5" s="30">
        <f>IF(ISERROR(SUM(LB_lb_gas_kWh,LB_rest_gas_kWh)/1000),0,SUM(LB_lb_gas_kWh,LB_rest_gas_kWh)/1000)*0.902</f>
        <v>4847.155874</v>
      </c>
      <c r="E5" s="17">
        <f>B17*'E Balans VL '!I25/3.6*1000000/100</f>
        <v>48.527838325034807</v>
      </c>
      <c r="F5" s="17">
        <f>B17*('E Balans VL '!L25/3.6*1000000+'E Balans VL '!N25/3.6*1000000)/100</f>
        <v>13286.9906386565</v>
      </c>
      <c r="G5" s="18"/>
      <c r="H5" s="17"/>
      <c r="I5" s="17"/>
      <c r="J5" s="17">
        <f>('E Balans VL '!D25+'E Balans VL '!E25)/3.6*1000000*landbouw!B17/100</f>
        <v>579.14993192693373</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3851.0219999999999</v>
      </c>
      <c r="C8" s="21">
        <f>C5+C6</f>
        <v>22.5</v>
      </c>
      <c r="D8" s="21">
        <f>MAX((D5+D6),0)</f>
        <v>4817.155874</v>
      </c>
      <c r="E8" s="21">
        <f>MAX((E5+E6),0)</f>
        <v>48.527838325034807</v>
      </c>
      <c r="F8" s="21">
        <f>MAX((F5+F6),0)</f>
        <v>13286.9906386565</v>
      </c>
      <c r="G8" s="21"/>
      <c r="H8" s="21"/>
      <c r="I8" s="21"/>
      <c r="J8" s="21">
        <f>MAX((J5+J6),0)</f>
        <v>579.14993192693373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0.16980533786422541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653.92409183256507</v>
      </c>
      <c r="C12" s="23">
        <f ca="1">C8*C10</f>
        <v>5.0500000000000007</v>
      </c>
      <c r="D12" s="23">
        <f>D8*D10</f>
        <v>973.06548654800008</v>
      </c>
      <c r="E12" s="23">
        <f>E8*E10</f>
        <v>11.015819299782901</v>
      </c>
      <c r="F12" s="23">
        <f>F8*F10</f>
        <v>3547.6265005212858</v>
      </c>
      <c r="G12" s="23"/>
      <c r="H12" s="23"/>
      <c r="I12" s="23"/>
      <c r="J12" s="23">
        <f>J8*J10</f>
        <v>205.01907590213452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0.53709619183205559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415.780201434704</v>
      </c>
      <c r="C26" s="249">
        <f>B26*'GWP N2O_CH4'!B5</f>
        <v>8731.3842301287841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173.63621892138534</v>
      </c>
      <c r="C27" s="249">
        <f>B27*'GWP N2O_CH4'!B5</f>
        <v>3646.3605973490921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5.8575819612293127</v>
      </c>
      <c r="C28" s="249">
        <f>B28*'GWP N2O_CH4'!B4</f>
        <v>1815.8504079810868</v>
      </c>
      <c r="D28" s="50"/>
    </row>
    <row r="29" spans="1:4">
      <c r="A29" s="41" t="s">
        <v>277</v>
      </c>
      <c r="B29" s="249">
        <f>B34*'ha_N2O bodem landbouw'!B4</f>
        <v>21.431933712131197</v>
      </c>
      <c r="C29" s="249">
        <f>B29*'GWP N2O_CH4'!B4</f>
        <v>6643.8994507606712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5.351339694060429E-3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2.4000246023101895E-5</v>
      </c>
      <c r="C5" s="448" t="s">
        <v>211</v>
      </c>
      <c r="D5" s="433">
        <f>SUM(D6:D11)</f>
        <v>3.9584362504643998E-5</v>
      </c>
      <c r="E5" s="433">
        <f>SUM(E6:E11)</f>
        <v>1.2115957131533898E-3</v>
      </c>
      <c r="F5" s="446" t="s">
        <v>211</v>
      </c>
      <c r="G5" s="433">
        <f>SUM(G6:G11)</f>
        <v>0.2676525656857095</v>
      </c>
      <c r="H5" s="433">
        <f>SUM(H6:H11)</f>
        <v>5.9214310125015865E-2</v>
      </c>
      <c r="I5" s="448" t="s">
        <v>211</v>
      </c>
      <c r="J5" s="448" t="s">
        <v>211</v>
      </c>
      <c r="K5" s="448" t="s">
        <v>211</v>
      </c>
      <c r="L5" s="448" t="s">
        <v>211</v>
      </c>
      <c r="M5" s="433">
        <f>SUM(M6:M11)</f>
        <v>1.4782313092717159E-2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1.894475610815421E-5</v>
      </c>
      <c r="C6" s="887"/>
      <c r="D6" s="887">
        <f>vkm_2011_GW_PW*SUMIFS(TableVerdeelsleutelVkm[CNG],TableVerdeelsleutelVkm[Voertuigtype],"Lichte voertuigen")*SUMIFS(TableECFTransport[EnergieConsumptieFactor (PJ per km)],TableECFTransport[Index],CONCATENATE($A6,"_CNG_CNG"))</f>
        <v>2.6829479876186527E-5</v>
      </c>
      <c r="E6" s="887">
        <f>vkm_2011_GW_PW*SUMIFS(TableVerdeelsleutelVkm[LPG],TableVerdeelsleutelVkm[Voertuigtype],"Lichte voertuigen")*SUMIFS(TableECFTransport[EnergieConsumptieFactor (PJ per km)],TableECFTransport[Index],CONCATENATE($A6,"_LPG_LPG"))</f>
        <v>8.4262563793146878E-4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0.15144289994456425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4.0580343640965737E-2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8.6877451068110602E-3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4.8552239368870709E-2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1.7250107318225669E-5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2.1910089054779135E-3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5.0554899149476848E-6</v>
      </c>
      <c r="C8" s="887"/>
      <c r="D8" s="436">
        <f>vkm_2011_NGW_PW*SUMIFS(TableVerdeelsleutelVkm[CNG],TableVerdeelsleutelVkm[Voertuigtype],"Lichte voertuigen")*SUMIFS(TableECFTransport[EnergieConsumptieFactor (PJ per km)],TableECFTransport[Index],CONCATENATE($A8,"_CNG_CNG"))</f>
        <v>1.2754882628457469E-5</v>
      </c>
      <c r="E8" s="436">
        <f>vkm_2011_NGW_PW*SUMIFS(TableVerdeelsleutelVkm[LPG],TableVerdeelsleutelVkm[Voertuigtype],"Lichte voertuigen")*SUMIFS(TableECFTransport[EnergieConsumptieFactor (PJ per km)],TableECFTransport[Index],CONCATENATE($A8,"_LPG_LPG"))</f>
        <v>3.6897007522192113E-4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6.2544005651679405E-2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1.8614997206967972E-2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3.6728110490898171E-3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5.1134207205951205E-3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1.7191697639291739E-6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2.3074803133836869E-4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6.6667350064171931</v>
      </c>
      <c r="C14" s="21"/>
      <c r="D14" s="21">
        <f t="shared" ref="D14:M14" si="0">((D5)*10^9/3600)+D12</f>
        <v>10.995656251290001</v>
      </c>
      <c r="E14" s="21">
        <f t="shared" si="0"/>
        <v>336.5543647648305</v>
      </c>
      <c r="F14" s="21"/>
      <c r="G14" s="21">
        <f t="shared" si="0"/>
        <v>74347.934912697092</v>
      </c>
      <c r="H14" s="21">
        <f t="shared" si="0"/>
        <v>16448.419479171072</v>
      </c>
      <c r="I14" s="21"/>
      <c r="J14" s="21"/>
      <c r="K14" s="21"/>
      <c r="L14" s="21"/>
      <c r="M14" s="21">
        <f t="shared" si="0"/>
        <v>4106.1980813103219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0.16980533786422541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1.1320471902159304</v>
      </c>
      <c r="C18" s="23"/>
      <c r="D18" s="23">
        <f t="shared" ref="D18:M18" si="1">D14*D16</f>
        <v>2.2211225627605802</v>
      </c>
      <c r="E18" s="23">
        <f t="shared" si="1"/>
        <v>76.397840801616525</v>
      </c>
      <c r="F18" s="23"/>
      <c r="G18" s="23">
        <f t="shared" si="1"/>
        <v>19850.898621690125</v>
      </c>
      <c r="H18" s="23">
        <f t="shared" si="1"/>
        <v>4095.6564503135969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8.8400699932731728E-3</v>
      </c>
      <c r="H50" s="323">
        <f t="shared" si="2"/>
        <v>0</v>
      </c>
      <c r="I50" s="323">
        <f t="shared" si="2"/>
        <v>0</v>
      </c>
      <c r="J50" s="323">
        <f t="shared" si="2"/>
        <v>0</v>
      </c>
      <c r="K50" s="323">
        <f t="shared" si="2"/>
        <v>0</v>
      </c>
      <c r="L50" s="323">
        <f t="shared" si="2"/>
        <v>0</v>
      </c>
      <c r="M50" s="323">
        <f t="shared" si="2"/>
        <v>3.9313953467284059E-4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8.8400699932731728E-3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3.9313953467284059E-4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2455.5749981314366</v>
      </c>
      <c r="H54" s="21">
        <f t="shared" si="3"/>
        <v>0</v>
      </c>
      <c r="I54" s="21">
        <f t="shared" si="3"/>
        <v>0</v>
      </c>
      <c r="J54" s="21">
        <f t="shared" si="3"/>
        <v>0</v>
      </c>
      <c r="K54" s="21">
        <f t="shared" si="3"/>
        <v>0</v>
      </c>
      <c r="L54" s="21">
        <f t="shared" si="3"/>
        <v>0</v>
      </c>
      <c r="M54" s="21">
        <f t="shared" si="3"/>
        <v>109.20542629801128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0.16980533786422541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655.63852450109357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30276.788999999997</v>
      </c>
      <c r="D10" s="690">
        <f ca="1">tertiair!C16</f>
        <v>0</v>
      </c>
      <c r="E10" s="690">
        <f ca="1">tertiair!D16</f>
        <v>18500.148986</v>
      </c>
      <c r="F10" s="690">
        <f>tertiair!E16</f>
        <v>423.52316780061136</v>
      </c>
      <c r="G10" s="690">
        <f ca="1">tertiair!F16</f>
        <v>6370.5343582733713</v>
      </c>
      <c r="H10" s="690">
        <f>tertiair!G16</f>
        <v>0</v>
      </c>
      <c r="I10" s="690">
        <f>tertiair!H16</f>
        <v>0</v>
      </c>
      <c r="J10" s="690">
        <f>tertiair!I16</f>
        <v>0</v>
      </c>
      <c r="K10" s="690">
        <f>tertiair!J16</f>
        <v>0</v>
      </c>
      <c r="L10" s="690">
        <f>tertiair!K16</f>
        <v>0</v>
      </c>
      <c r="M10" s="690">
        <f ca="1">tertiair!L16</f>
        <v>0</v>
      </c>
      <c r="N10" s="690">
        <f>tertiair!M16</f>
        <v>0</v>
      </c>
      <c r="O10" s="690">
        <f ca="1">tertiair!N16</f>
        <v>3554.4535089066076</v>
      </c>
      <c r="P10" s="690">
        <f>tertiair!O16</f>
        <v>3.1266666666666669</v>
      </c>
      <c r="Q10" s="691">
        <f>tertiair!P16</f>
        <v>38.133333333333333</v>
      </c>
      <c r="R10" s="693">
        <f ca="1">SUM(C10:Q10)</f>
        <v>59166.709020980576</v>
      </c>
      <c r="S10" s="67"/>
    </row>
    <row r="11" spans="1:19" s="458" customFormat="1">
      <c r="A11" s="805" t="s">
        <v>225</v>
      </c>
      <c r="B11" s="810"/>
      <c r="C11" s="690">
        <f>huishoudens!B8</f>
        <v>45039.862999999998</v>
      </c>
      <c r="D11" s="690">
        <f>huishoudens!C8</f>
        <v>0</v>
      </c>
      <c r="E11" s="690">
        <f>huishoudens!D8</f>
        <v>80866.393542000005</v>
      </c>
      <c r="F11" s="690">
        <f>huishoudens!E8</f>
        <v>7387.9129488239023</v>
      </c>
      <c r="G11" s="690">
        <f>huishoudens!F8</f>
        <v>79754.817350799989</v>
      </c>
      <c r="H11" s="690">
        <f>huishoudens!G8</f>
        <v>0</v>
      </c>
      <c r="I11" s="690">
        <f>huishoudens!H8</f>
        <v>0</v>
      </c>
      <c r="J11" s="690">
        <f>huishoudens!I8</f>
        <v>0</v>
      </c>
      <c r="K11" s="690">
        <f>huishoudens!J8</f>
        <v>0</v>
      </c>
      <c r="L11" s="690">
        <f>huishoudens!K8</f>
        <v>0</v>
      </c>
      <c r="M11" s="690">
        <f>huishoudens!L8</f>
        <v>0</v>
      </c>
      <c r="N11" s="690">
        <f>huishoudens!M8</f>
        <v>0</v>
      </c>
      <c r="O11" s="690">
        <f>huishoudens!N8</f>
        <v>25211.143396711639</v>
      </c>
      <c r="P11" s="690">
        <f>huishoudens!O8</f>
        <v>364.25666666666666</v>
      </c>
      <c r="Q11" s="691">
        <f>huishoudens!P8</f>
        <v>533.86666666666667</v>
      </c>
      <c r="R11" s="693">
        <f>SUM(C11:Q11)</f>
        <v>239158.25357166887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11227.352999999999</v>
      </c>
      <c r="D13" s="690">
        <f>industrie!C18</f>
        <v>0</v>
      </c>
      <c r="E13" s="690">
        <f>industrie!D18</f>
        <v>9435.4783380000008</v>
      </c>
      <c r="F13" s="690">
        <f>industrie!E18</f>
        <v>851.0784784138408</v>
      </c>
      <c r="G13" s="690">
        <f>industrie!F18</f>
        <v>4534.8881687882495</v>
      </c>
      <c r="H13" s="690">
        <f>industrie!G18</f>
        <v>0</v>
      </c>
      <c r="I13" s="690">
        <f>industrie!H18</f>
        <v>0</v>
      </c>
      <c r="J13" s="690">
        <f>industrie!I18</f>
        <v>0</v>
      </c>
      <c r="K13" s="690">
        <f>industrie!J18</f>
        <v>21.623880103865432</v>
      </c>
      <c r="L13" s="690">
        <f>industrie!K18</f>
        <v>0</v>
      </c>
      <c r="M13" s="690">
        <f>industrie!L18</f>
        <v>0</v>
      </c>
      <c r="N13" s="690">
        <f>industrie!M18</f>
        <v>0</v>
      </c>
      <c r="O13" s="690">
        <f>industrie!N18</f>
        <v>1792.4213115917098</v>
      </c>
      <c r="P13" s="690">
        <f>industrie!O18</f>
        <v>0</v>
      </c>
      <c r="Q13" s="691">
        <f>industrie!P18</f>
        <v>0</v>
      </c>
      <c r="R13" s="693">
        <f>SUM(C13:Q13)</f>
        <v>27862.843176897666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86544.005000000005</v>
      </c>
      <c r="D16" s="725">
        <f t="shared" ref="D16:R16" ca="1" si="0">SUM(D9:D15)</f>
        <v>0</v>
      </c>
      <c r="E16" s="725">
        <f t="shared" ca="1" si="0"/>
        <v>108802.02086600001</v>
      </c>
      <c r="F16" s="725">
        <f t="shared" si="0"/>
        <v>8662.5145950383539</v>
      </c>
      <c r="G16" s="725">
        <f t="shared" ca="1" si="0"/>
        <v>90660.239877861619</v>
      </c>
      <c r="H16" s="725">
        <f t="shared" si="0"/>
        <v>0</v>
      </c>
      <c r="I16" s="725">
        <f t="shared" si="0"/>
        <v>0</v>
      </c>
      <c r="J16" s="725">
        <f t="shared" si="0"/>
        <v>0</v>
      </c>
      <c r="K16" s="725">
        <f t="shared" si="0"/>
        <v>21.623880103865432</v>
      </c>
      <c r="L16" s="725">
        <f t="shared" si="0"/>
        <v>0</v>
      </c>
      <c r="M16" s="725">
        <f t="shared" ca="1" si="0"/>
        <v>0</v>
      </c>
      <c r="N16" s="725">
        <f t="shared" si="0"/>
        <v>0</v>
      </c>
      <c r="O16" s="725">
        <f t="shared" ca="1" si="0"/>
        <v>30558.018217209956</v>
      </c>
      <c r="P16" s="725">
        <f t="shared" si="0"/>
        <v>367.38333333333333</v>
      </c>
      <c r="Q16" s="725">
        <f t="shared" si="0"/>
        <v>572</v>
      </c>
      <c r="R16" s="725">
        <f t="shared" ca="1" si="0"/>
        <v>326187.80576954712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2455.5749981314366</v>
      </c>
      <c r="I19" s="690">
        <f>transport!H54</f>
        <v>0</v>
      </c>
      <c r="J19" s="690">
        <f>transport!I54</f>
        <v>0</v>
      </c>
      <c r="K19" s="690">
        <f>transport!J54</f>
        <v>0</v>
      </c>
      <c r="L19" s="690">
        <f>transport!K54</f>
        <v>0</v>
      </c>
      <c r="M19" s="690">
        <f>transport!L54</f>
        <v>0</v>
      </c>
      <c r="N19" s="690">
        <f>transport!M54</f>
        <v>109.20542629801128</v>
      </c>
      <c r="O19" s="690">
        <f>transport!N54</f>
        <v>0</v>
      </c>
      <c r="P19" s="690">
        <f>transport!O54</f>
        <v>0</v>
      </c>
      <c r="Q19" s="691">
        <f>transport!P54</f>
        <v>0</v>
      </c>
      <c r="R19" s="693">
        <f>SUM(C19:Q19)</f>
        <v>2564.780424429448</v>
      </c>
      <c r="S19" s="67"/>
    </row>
    <row r="20" spans="1:19" s="458" customFormat="1">
      <c r="A20" s="805" t="s">
        <v>307</v>
      </c>
      <c r="B20" s="810"/>
      <c r="C20" s="690">
        <f>transport!B14</f>
        <v>6.6667350064171931</v>
      </c>
      <c r="D20" s="690">
        <f>transport!C14</f>
        <v>0</v>
      </c>
      <c r="E20" s="690">
        <f>transport!D14</f>
        <v>10.995656251290001</v>
      </c>
      <c r="F20" s="690">
        <f>transport!E14</f>
        <v>336.5543647648305</v>
      </c>
      <c r="G20" s="690">
        <f>transport!F14</f>
        <v>0</v>
      </c>
      <c r="H20" s="690">
        <f>transport!G14</f>
        <v>74347.934912697092</v>
      </c>
      <c r="I20" s="690">
        <f>transport!H14</f>
        <v>16448.419479171072</v>
      </c>
      <c r="J20" s="690">
        <f>transport!I14</f>
        <v>0</v>
      </c>
      <c r="K20" s="690">
        <f>transport!J14</f>
        <v>0</v>
      </c>
      <c r="L20" s="690">
        <f>transport!K14</f>
        <v>0</v>
      </c>
      <c r="M20" s="690">
        <f>transport!L14</f>
        <v>0</v>
      </c>
      <c r="N20" s="690">
        <f>transport!M14</f>
        <v>4106.1980813103219</v>
      </c>
      <c r="O20" s="690">
        <f>transport!N14</f>
        <v>0</v>
      </c>
      <c r="P20" s="690">
        <f>transport!O14</f>
        <v>0</v>
      </c>
      <c r="Q20" s="691">
        <f>transport!P14</f>
        <v>0</v>
      </c>
      <c r="R20" s="693">
        <f>SUM(C20:Q20)</f>
        <v>95256.769229201018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6.6667350064171931</v>
      </c>
      <c r="D22" s="808">
        <f t="shared" ref="D22:R22" si="1">SUM(D18:D21)</f>
        <v>0</v>
      </c>
      <c r="E22" s="808">
        <f t="shared" si="1"/>
        <v>10.995656251290001</v>
      </c>
      <c r="F22" s="808">
        <f t="shared" si="1"/>
        <v>336.5543647648305</v>
      </c>
      <c r="G22" s="808">
        <f t="shared" si="1"/>
        <v>0</v>
      </c>
      <c r="H22" s="808">
        <f t="shared" si="1"/>
        <v>76803.509910828521</v>
      </c>
      <c r="I22" s="808">
        <f t="shared" si="1"/>
        <v>16448.419479171072</v>
      </c>
      <c r="J22" s="808">
        <f t="shared" si="1"/>
        <v>0</v>
      </c>
      <c r="K22" s="808">
        <f t="shared" si="1"/>
        <v>0</v>
      </c>
      <c r="L22" s="808">
        <f t="shared" si="1"/>
        <v>0</v>
      </c>
      <c r="M22" s="808">
        <f t="shared" si="1"/>
        <v>0</v>
      </c>
      <c r="N22" s="808">
        <f t="shared" si="1"/>
        <v>4215.4035076083328</v>
      </c>
      <c r="O22" s="808">
        <f t="shared" si="1"/>
        <v>0</v>
      </c>
      <c r="P22" s="808">
        <f t="shared" si="1"/>
        <v>0</v>
      </c>
      <c r="Q22" s="808">
        <f t="shared" si="1"/>
        <v>0</v>
      </c>
      <c r="R22" s="808">
        <f t="shared" si="1"/>
        <v>97821.549653630471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3851.0219999999999</v>
      </c>
      <c r="D24" s="690">
        <f>+landbouw!C8</f>
        <v>22.5</v>
      </c>
      <c r="E24" s="690">
        <f>+landbouw!D8</f>
        <v>4817.155874</v>
      </c>
      <c r="F24" s="690">
        <f>+landbouw!E8</f>
        <v>48.527838325034807</v>
      </c>
      <c r="G24" s="690">
        <f>+landbouw!F8</f>
        <v>13286.9906386565</v>
      </c>
      <c r="H24" s="690">
        <f>+landbouw!G8</f>
        <v>0</v>
      </c>
      <c r="I24" s="690">
        <f>+landbouw!H8</f>
        <v>0</v>
      </c>
      <c r="J24" s="690">
        <f>+landbouw!I8</f>
        <v>0</v>
      </c>
      <c r="K24" s="690">
        <f>+landbouw!J8</f>
        <v>579.14993192693373</v>
      </c>
      <c r="L24" s="690">
        <f>+landbouw!K8</f>
        <v>0</v>
      </c>
      <c r="M24" s="690">
        <f>+landbouw!L8</f>
        <v>0</v>
      </c>
      <c r="N24" s="690">
        <f>+landbouw!M8</f>
        <v>0</v>
      </c>
      <c r="O24" s="690">
        <f>+landbouw!N8</f>
        <v>0</v>
      </c>
      <c r="P24" s="690">
        <f>+landbouw!O8</f>
        <v>0</v>
      </c>
      <c r="Q24" s="691">
        <f>+landbouw!P8</f>
        <v>0</v>
      </c>
      <c r="R24" s="693">
        <f>SUM(C24:Q24)</f>
        <v>22605.346282908471</v>
      </c>
      <c r="S24" s="67"/>
    </row>
    <row r="25" spans="1:19" s="458" customFormat="1" ht="15" thickBot="1">
      <c r="A25" s="827" t="s">
        <v>872</v>
      </c>
      <c r="B25" s="1004"/>
      <c r="C25" s="1005">
        <f>IF(Onbekend_ele_kWh="---",0,Onbekend_ele_kWh)/1000+IF(REST_rest_ele_kWh="---",0,REST_rest_ele_kWh)/1000</f>
        <v>1455.2159999999999</v>
      </c>
      <c r="D25" s="1005"/>
      <c r="E25" s="1005">
        <f>IF(onbekend_gas_kWh="---",0,onbekend_gas_kWh)/1000+IF(REST_rest_gas_kWh="---",0,REST_rest_gas_kWh)/1000</f>
        <v>18916.871999999999</v>
      </c>
      <c r="F25" s="1005"/>
      <c r="G25" s="1005"/>
      <c r="H25" s="1005"/>
      <c r="I25" s="1005"/>
      <c r="J25" s="1005"/>
      <c r="K25" s="1005"/>
      <c r="L25" s="1005"/>
      <c r="M25" s="1005"/>
      <c r="N25" s="1005"/>
      <c r="O25" s="1005"/>
      <c r="P25" s="1005"/>
      <c r="Q25" s="1006"/>
      <c r="R25" s="693">
        <f>SUM(C25:Q25)</f>
        <v>20372.088</v>
      </c>
      <c r="S25" s="67"/>
    </row>
    <row r="26" spans="1:19" s="458" customFormat="1" ht="15.75" thickBot="1">
      <c r="A26" s="698" t="s">
        <v>873</v>
      </c>
      <c r="B26" s="813"/>
      <c r="C26" s="808">
        <f>SUM(C24:C25)</f>
        <v>5306.2379999999994</v>
      </c>
      <c r="D26" s="808">
        <f t="shared" ref="D26:R26" si="2">SUM(D24:D25)</f>
        <v>22.5</v>
      </c>
      <c r="E26" s="808">
        <f t="shared" si="2"/>
        <v>23734.027873999999</v>
      </c>
      <c r="F26" s="808">
        <f t="shared" si="2"/>
        <v>48.527838325034807</v>
      </c>
      <c r="G26" s="808">
        <f t="shared" si="2"/>
        <v>13286.9906386565</v>
      </c>
      <c r="H26" s="808">
        <f t="shared" si="2"/>
        <v>0</v>
      </c>
      <c r="I26" s="808">
        <f t="shared" si="2"/>
        <v>0</v>
      </c>
      <c r="J26" s="808">
        <f t="shared" si="2"/>
        <v>0</v>
      </c>
      <c r="K26" s="808">
        <f t="shared" si="2"/>
        <v>579.14993192693373</v>
      </c>
      <c r="L26" s="808">
        <f t="shared" si="2"/>
        <v>0</v>
      </c>
      <c r="M26" s="808">
        <f t="shared" si="2"/>
        <v>0</v>
      </c>
      <c r="N26" s="808">
        <f t="shared" si="2"/>
        <v>0</v>
      </c>
      <c r="O26" s="808">
        <f t="shared" si="2"/>
        <v>0</v>
      </c>
      <c r="P26" s="808">
        <f t="shared" si="2"/>
        <v>0</v>
      </c>
      <c r="Q26" s="808">
        <f t="shared" si="2"/>
        <v>0</v>
      </c>
      <c r="R26" s="808">
        <f t="shared" si="2"/>
        <v>42977.434282908471</v>
      </c>
      <c r="S26" s="67"/>
    </row>
    <row r="27" spans="1:19" s="458" customFormat="1" ht="17.25" thickTop="1" thickBot="1">
      <c r="A27" s="699" t="s">
        <v>116</v>
      </c>
      <c r="B27" s="800"/>
      <c r="C27" s="700">
        <f ca="1">C22+C16+C26</f>
        <v>91856.909735006426</v>
      </c>
      <c r="D27" s="700">
        <f t="shared" ref="D27:R27" ca="1" si="3">D22+D16+D26</f>
        <v>22.5</v>
      </c>
      <c r="E27" s="700">
        <f t="shared" ca="1" si="3"/>
        <v>132547.04439625129</v>
      </c>
      <c r="F27" s="700">
        <f t="shared" si="3"/>
        <v>9047.5967981282192</v>
      </c>
      <c r="G27" s="700">
        <f t="shared" ca="1" si="3"/>
        <v>103947.23051651812</v>
      </c>
      <c r="H27" s="700">
        <f t="shared" si="3"/>
        <v>76803.509910828521</v>
      </c>
      <c r="I27" s="700">
        <f t="shared" si="3"/>
        <v>16448.419479171072</v>
      </c>
      <c r="J27" s="700">
        <f t="shared" si="3"/>
        <v>0</v>
      </c>
      <c r="K27" s="700">
        <f t="shared" si="3"/>
        <v>600.77381203079915</v>
      </c>
      <c r="L27" s="700">
        <f t="shared" si="3"/>
        <v>0</v>
      </c>
      <c r="M27" s="700">
        <f t="shared" ca="1" si="3"/>
        <v>0</v>
      </c>
      <c r="N27" s="700">
        <f t="shared" si="3"/>
        <v>4215.4035076083328</v>
      </c>
      <c r="O27" s="700">
        <f t="shared" ca="1" si="3"/>
        <v>30558.018217209956</v>
      </c>
      <c r="P27" s="700">
        <f t="shared" si="3"/>
        <v>367.38333333333333</v>
      </c>
      <c r="Q27" s="700">
        <f t="shared" si="3"/>
        <v>572</v>
      </c>
      <c r="R27" s="700">
        <f t="shared" ca="1" si="3"/>
        <v>466986.78970608604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5141.1603855888625</v>
      </c>
      <c r="D40" s="690">
        <f ca="1">tertiair!C20</f>
        <v>0</v>
      </c>
      <c r="E40" s="690">
        <f ca="1">tertiair!D20</f>
        <v>3737.0300951720001</v>
      </c>
      <c r="F40" s="690">
        <f>tertiair!E20</f>
        <v>96.139759090738778</v>
      </c>
      <c r="G40" s="690">
        <f ca="1">tertiair!F20</f>
        <v>1700.9326736589903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10675.262913510591</v>
      </c>
    </row>
    <row r="41" spans="1:18">
      <c r="A41" s="818" t="s">
        <v>225</v>
      </c>
      <c r="B41" s="825"/>
      <c r="C41" s="690">
        <f ca="1">huishoudens!B12</f>
        <v>7648.0091540734247</v>
      </c>
      <c r="D41" s="690">
        <f ca="1">huishoudens!C12</f>
        <v>0</v>
      </c>
      <c r="E41" s="690">
        <f>huishoudens!D12</f>
        <v>16335.011495484003</v>
      </c>
      <c r="F41" s="690">
        <f>huishoudens!E12</f>
        <v>1677.056239383026</v>
      </c>
      <c r="G41" s="690">
        <f>huishoudens!F12</f>
        <v>21294.536232663599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46954.613121604052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1906.4644694859246</v>
      </c>
      <c r="D43" s="690">
        <f ca="1">industrie!C22</f>
        <v>0</v>
      </c>
      <c r="E43" s="690">
        <f>industrie!D22</f>
        <v>1905.9666242760002</v>
      </c>
      <c r="F43" s="690">
        <f>industrie!E22</f>
        <v>193.19481459994188</v>
      </c>
      <c r="G43" s="690">
        <f>industrie!F22</f>
        <v>1210.8151410664627</v>
      </c>
      <c r="H43" s="690">
        <f>industrie!G22</f>
        <v>0</v>
      </c>
      <c r="I43" s="690">
        <f>industrie!H22</f>
        <v>0</v>
      </c>
      <c r="J43" s="690">
        <f>industrie!I22</f>
        <v>0</v>
      </c>
      <c r="K43" s="690">
        <f>industrie!J22</f>
        <v>7.6548535567683622</v>
      </c>
      <c r="L43" s="690">
        <f>industrie!K22</f>
        <v>0</v>
      </c>
      <c r="M43" s="690">
        <f>industrie!L22</f>
        <v>0</v>
      </c>
      <c r="N43" s="690">
        <f>industrie!M22</f>
        <v>0</v>
      </c>
      <c r="O43" s="690">
        <f>industrie!N22</f>
        <v>0</v>
      </c>
      <c r="P43" s="690">
        <f>industrie!O22</f>
        <v>0</v>
      </c>
      <c r="Q43" s="767">
        <f>industrie!P22</f>
        <v>0</v>
      </c>
      <c r="R43" s="845">
        <f t="shared" ca="1" si="4"/>
        <v>5224.0959029850974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14695.634009148212</v>
      </c>
      <c r="D46" s="725">
        <f t="shared" ref="D46:Q46" ca="1" si="5">SUM(D39:D45)</f>
        <v>0</v>
      </c>
      <c r="E46" s="725">
        <f t="shared" ca="1" si="5"/>
        <v>21978.008214932001</v>
      </c>
      <c r="F46" s="725">
        <f t="shared" si="5"/>
        <v>1966.3908130737068</v>
      </c>
      <c r="G46" s="725">
        <f t="shared" ca="1" si="5"/>
        <v>24206.28404738905</v>
      </c>
      <c r="H46" s="725">
        <f t="shared" si="5"/>
        <v>0</v>
      </c>
      <c r="I46" s="725">
        <f t="shared" si="5"/>
        <v>0</v>
      </c>
      <c r="J46" s="725">
        <f t="shared" si="5"/>
        <v>0</v>
      </c>
      <c r="K46" s="725">
        <f t="shared" si="5"/>
        <v>7.6548535567683622</v>
      </c>
      <c r="L46" s="725">
        <f t="shared" si="5"/>
        <v>0</v>
      </c>
      <c r="M46" s="725">
        <f t="shared" ca="1" si="5"/>
        <v>0</v>
      </c>
      <c r="N46" s="725">
        <f t="shared" si="5"/>
        <v>0</v>
      </c>
      <c r="O46" s="725">
        <f t="shared" ca="1" si="5"/>
        <v>0</v>
      </c>
      <c r="P46" s="725">
        <f t="shared" si="5"/>
        <v>0</v>
      </c>
      <c r="Q46" s="725">
        <f t="shared" si="5"/>
        <v>0</v>
      </c>
      <c r="R46" s="725">
        <f ca="1">SUM(R39:R45)</f>
        <v>62853.971938099741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655.63852450109357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655.63852450109357</v>
      </c>
    </row>
    <row r="50" spans="1:18">
      <c r="A50" s="821" t="s">
        <v>307</v>
      </c>
      <c r="B50" s="831"/>
      <c r="C50" s="696">
        <f ca="1">transport!B18</f>
        <v>1.1320471902159304</v>
      </c>
      <c r="D50" s="696">
        <f>transport!C18</f>
        <v>0</v>
      </c>
      <c r="E50" s="696">
        <f>transport!D18</f>
        <v>2.2211225627605802</v>
      </c>
      <c r="F50" s="696">
        <f>transport!E18</f>
        <v>76.397840801616525</v>
      </c>
      <c r="G50" s="696">
        <f>transport!F18</f>
        <v>0</v>
      </c>
      <c r="H50" s="696">
        <f>transport!G18</f>
        <v>19850.898621690125</v>
      </c>
      <c r="I50" s="696">
        <f>transport!H18</f>
        <v>4095.6564503135969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24026.306082558312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1.1320471902159304</v>
      </c>
      <c r="D52" s="725">
        <f t="shared" ref="D52:Q52" ca="1" si="6">SUM(D48:D51)</f>
        <v>0</v>
      </c>
      <c r="E52" s="725">
        <f t="shared" si="6"/>
        <v>2.2211225627605802</v>
      </c>
      <c r="F52" s="725">
        <f t="shared" si="6"/>
        <v>76.397840801616525</v>
      </c>
      <c r="G52" s="725">
        <f t="shared" si="6"/>
        <v>0</v>
      </c>
      <c r="H52" s="725">
        <f t="shared" si="6"/>
        <v>20506.537146191218</v>
      </c>
      <c r="I52" s="725">
        <f t="shared" si="6"/>
        <v>4095.6564503135969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24681.944607059406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653.92409183256507</v>
      </c>
      <c r="D54" s="696">
        <f ca="1">+landbouw!C12</f>
        <v>5.0500000000000007</v>
      </c>
      <c r="E54" s="696">
        <f>+landbouw!D12</f>
        <v>973.06548654800008</v>
      </c>
      <c r="F54" s="696">
        <f>+landbouw!E12</f>
        <v>11.015819299782901</v>
      </c>
      <c r="G54" s="696">
        <f>+landbouw!F12</f>
        <v>3547.6265005212858</v>
      </c>
      <c r="H54" s="696">
        <f>+landbouw!G12</f>
        <v>0</v>
      </c>
      <c r="I54" s="696">
        <f>+landbouw!H12</f>
        <v>0</v>
      </c>
      <c r="J54" s="696">
        <f>+landbouw!I12</f>
        <v>0</v>
      </c>
      <c r="K54" s="696">
        <f>+landbouw!J12</f>
        <v>205.01907590213452</v>
      </c>
      <c r="L54" s="696">
        <f>+landbouw!K12</f>
        <v>0</v>
      </c>
      <c r="M54" s="696">
        <f>+landbouw!L12</f>
        <v>0</v>
      </c>
      <c r="N54" s="696">
        <f>+landbouw!M12</f>
        <v>0</v>
      </c>
      <c r="O54" s="696">
        <f>+landbouw!N12</f>
        <v>0</v>
      </c>
      <c r="P54" s="696">
        <f>+landbouw!O12</f>
        <v>0</v>
      </c>
      <c r="Q54" s="697">
        <f>+landbouw!P12</f>
        <v>0</v>
      </c>
      <c r="R54" s="724">
        <f ca="1">SUM(C54:Q54)</f>
        <v>5395.7009741037682</v>
      </c>
    </row>
    <row r="55" spans="1:18" ht="15" thickBot="1">
      <c r="A55" s="821" t="s">
        <v>872</v>
      </c>
      <c r="B55" s="831"/>
      <c r="C55" s="696">
        <f ca="1">C25*'EF ele_warmte'!B12</f>
        <v>247.10344454542664</v>
      </c>
      <c r="D55" s="696"/>
      <c r="E55" s="696">
        <f>E25*EF_CO2_aardgas</f>
        <v>3821.2081440000002</v>
      </c>
      <c r="F55" s="696"/>
      <c r="G55" s="696"/>
      <c r="H55" s="696"/>
      <c r="I55" s="696"/>
      <c r="J55" s="696"/>
      <c r="K55" s="696"/>
      <c r="L55" s="696"/>
      <c r="M55" s="696"/>
      <c r="N55" s="696"/>
      <c r="O55" s="696"/>
      <c r="P55" s="696"/>
      <c r="Q55" s="697"/>
      <c r="R55" s="724">
        <f ca="1">SUM(C55:Q55)</f>
        <v>4068.3115885454267</v>
      </c>
    </row>
    <row r="56" spans="1:18" ht="15.75" thickBot="1">
      <c r="A56" s="819" t="s">
        <v>873</v>
      </c>
      <c r="B56" s="832"/>
      <c r="C56" s="725">
        <f ca="1">SUM(C54:C55)</f>
        <v>901.02753637799174</v>
      </c>
      <c r="D56" s="725">
        <f t="shared" ref="D56:Q56" ca="1" si="7">SUM(D54:D55)</f>
        <v>5.0500000000000007</v>
      </c>
      <c r="E56" s="725">
        <f t="shared" si="7"/>
        <v>4794.2736305480003</v>
      </c>
      <c r="F56" s="725">
        <f t="shared" si="7"/>
        <v>11.015819299782901</v>
      </c>
      <c r="G56" s="725">
        <f t="shared" si="7"/>
        <v>3547.6265005212858</v>
      </c>
      <c r="H56" s="725">
        <f t="shared" si="7"/>
        <v>0</v>
      </c>
      <c r="I56" s="725">
        <f t="shared" si="7"/>
        <v>0</v>
      </c>
      <c r="J56" s="725">
        <f t="shared" si="7"/>
        <v>0</v>
      </c>
      <c r="K56" s="725">
        <f t="shared" si="7"/>
        <v>205.01907590213452</v>
      </c>
      <c r="L56" s="725">
        <f t="shared" si="7"/>
        <v>0</v>
      </c>
      <c r="M56" s="725">
        <f t="shared" si="7"/>
        <v>0</v>
      </c>
      <c r="N56" s="725">
        <f t="shared" si="7"/>
        <v>0</v>
      </c>
      <c r="O56" s="725">
        <f t="shared" si="7"/>
        <v>0</v>
      </c>
      <c r="P56" s="725">
        <f t="shared" si="7"/>
        <v>0</v>
      </c>
      <c r="Q56" s="726">
        <f t="shared" si="7"/>
        <v>0</v>
      </c>
      <c r="R56" s="727">
        <f ca="1">SUM(R54:R55)</f>
        <v>9464.0125626491954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15597.79359271642</v>
      </c>
      <c r="D61" s="733">
        <f t="shared" ref="D61:Q61" ca="1" si="8">D46+D52+D56</f>
        <v>5.0500000000000007</v>
      </c>
      <c r="E61" s="733">
        <f t="shared" ca="1" si="8"/>
        <v>26774.502968042761</v>
      </c>
      <c r="F61" s="733">
        <f t="shared" si="8"/>
        <v>2053.8044731751061</v>
      </c>
      <c r="G61" s="733">
        <f t="shared" ca="1" si="8"/>
        <v>27753.910547910335</v>
      </c>
      <c r="H61" s="733">
        <f t="shared" si="8"/>
        <v>20506.537146191218</v>
      </c>
      <c r="I61" s="733">
        <f t="shared" si="8"/>
        <v>4095.6564503135969</v>
      </c>
      <c r="J61" s="733">
        <f t="shared" si="8"/>
        <v>0</v>
      </c>
      <c r="K61" s="733">
        <f t="shared" si="8"/>
        <v>212.67392945890288</v>
      </c>
      <c r="L61" s="733">
        <f t="shared" si="8"/>
        <v>0</v>
      </c>
      <c r="M61" s="733">
        <f t="shared" ca="1" si="8"/>
        <v>0</v>
      </c>
      <c r="N61" s="733">
        <f t="shared" si="8"/>
        <v>0</v>
      </c>
      <c r="O61" s="733">
        <f t="shared" ca="1" si="8"/>
        <v>0</v>
      </c>
      <c r="P61" s="733">
        <f t="shared" si="8"/>
        <v>0</v>
      </c>
      <c r="Q61" s="733">
        <f t="shared" si="8"/>
        <v>0</v>
      </c>
      <c r="R61" s="733">
        <f ca="1">R46+R52+R56</f>
        <v>96999.929107808348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0.16980533786422539</v>
      </c>
      <c r="D63" s="776">
        <f t="shared" ca="1" si="9"/>
        <v>0.22444444444444447</v>
      </c>
      <c r="E63" s="1011">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11040.927320000001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10237.800999999999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21278.728320000002</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11040.927320000001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10237.800999999999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21283.228320000002</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72021</v>
      </c>
      <c r="C28" s="791">
        <v>3680</v>
      </c>
      <c r="D28" s="644" t="s">
        <v>913</v>
      </c>
      <c r="E28" s="643" t="s">
        <v>914</v>
      </c>
      <c r="F28" s="643" t="s">
        <v>915</v>
      </c>
      <c r="G28" s="643" t="s">
        <v>916</v>
      </c>
      <c r="H28" s="643" t="s">
        <v>916</v>
      </c>
      <c r="I28" s="643" t="s">
        <v>914</v>
      </c>
      <c r="J28" s="790">
        <v>40883</v>
      </c>
      <c r="K28" s="790">
        <v>41000</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45039.862999999998</v>
      </c>
      <c r="C4" s="462">
        <f>huishoudens!C8</f>
        <v>0</v>
      </c>
      <c r="D4" s="462">
        <f>huishoudens!D8</f>
        <v>80866.393542000005</v>
      </c>
      <c r="E4" s="462">
        <f>huishoudens!E8</f>
        <v>7387.9129488239023</v>
      </c>
      <c r="F4" s="462">
        <f>huishoudens!F8</f>
        <v>79754.817350799989</v>
      </c>
      <c r="G4" s="462">
        <f>huishoudens!G8</f>
        <v>0</v>
      </c>
      <c r="H4" s="462">
        <f>huishoudens!H8</f>
        <v>0</v>
      </c>
      <c r="I4" s="462">
        <f>huishoudens!I8</f>
        <v>0</v>
      </c>
      <c r="J4" s="462">
        <f>huishoudens!J8</f>
        <v>0</v>
      </c>
      <c r="K4" s="462">
        <f>huishoudens!K8</f>
        <v>0</v>
      </c>
      <c r="L4" s="462">
        <f>huishoudens!L8</f>
        <v>0</v>
      </c>
      <c r="M4" s="462">
        <f>huishoudens!M8</f>
        <v>0</v>
      </c>
      <c r="N4" s="462">
        <f>huishoudens!N8</f>
        <v>25211.143396711639</v>
      </c>
      <c r="O4" s="462">
        <f>huishoudens!O8</f>
        <v>364.25666666666666</v>
      </c>
      <c r="P4" s="463">
        <f>huishoudens!P8</f>
        <v>533.86666666666667</v>
      </c>
      <c r="Q4" s="464">
        <f>SUM(B4:P4)</f>
        <v>239158.25357166887</v>
      </c>
    </row>
    <row r="5" spans="1:17">
      <c r="A5" s="461" t="s">
        <v>156</v>
      </c>
      <c r="B5" s="462">
        <f ca="1">tertiair!B16</f>
        <v>28840.896999999997</v>
      </c>
      <c r="C5" s="462">
        <f ca="1">tertiair!C16</f>
        <v>0</v>
      </c>
      <c r="D5" s="462">
        <f ca="1">tertiair!D16</f>
        <v>18500.148986</v>
      </c>
      <c r="E5" s="462">
        <f>tertiair!E16</f>
        <v>423.52316780061136</v>
      </c>
      <c r="F5" s="462">
        <f ca="1">tertiair!F16</f>
        <v>6370.5343582733713</v>
      </c>
      <c r="G5" s="462">
        <f>tertiair!G16</f>
        <v>0</v>
      </c>
      <c r="H5" s="462">
        <f>tertiair!H16</f>
        <v>0</v>
      </c>
      <c r="I5" s="462">
        <f>tertiair!I16</f>
        <v>0</v>
      </c>
      <c r="J5" s="462">
        <f>tertiair!J16</f>
        <v>0</v>
      </c>
      <c r="K5" s="462">
        <f>tertiair!K16</f>
        <v>0</v>
      </c>
      <c r="L5" s="462">
        <f ca="1">tertiair!L16</f>
        <v>0</v>
      </c>
      <c r="M5" s="462">
        <f>tertiair!M16</f>
        <v>0</v>
      </c>
      <c r="N5" s="462">
        <f ca="1">tertiair!N16</f>
        <v>3554.4535089066076</v>
      </c>
      <c r="O5" s="462">
        <f>tertiair!O16</f>
        <v>3.1266666666666669</v>
      </c>
      <c r="P5" s="463">
        <f>tertiair!P16</f>
        <v>38.133333333333333</v>
      </c>
      <c r="Q5" s="461">
        <f t="shared" ref="Q5:Q14" ca="1" si="0">SUM(B5:P5)</f>
        <v>57730.817020980576</v>
      </c>
    </row>
    <row r="6" spans="1:17">
      <c r="A6" s="461" t="s">
        <v>194</v>
      </c>
      <c r="B6" s="462">
        <f>'openbare verlichting'!B8</f>
        <v>1435.8920000000001</v>
      </c>
      <c r="C6" s="462"/>
      <c r="D6" s="462"/>
      <c r="E6" s="462"/>
      <c r="F6" s="462"/>
      <c r="G6" s="462"/>
      <c r="H6" s="462"/>
      <c r="I6" s="462"/>
      <c r="J6" s="462"/>
      <c r="K6" s="462"/>
      <c r="L6" s="462"/>
      <c r="M6" s="462"/>
      <c r="N6" s="462"/>
      <c r="O6" s="462"/>
      <c r="P6" s="463"/>
      <c r="Q6" s="461">
        <f t="shared" si="0"/>
        <v>1435.8920000000001</v>
      </c>
    </row>
    <row r="7" spans="1:17">
      <c r="A7" s="461" t="s">
        <v>112</v>
      </c>
      <c r="B7" s="462">
        <f>landbouw!B8</f>
        <v>3851.0219999999999</v>
      </c>
      <c r="C7" s="462">
        <f>landbouw!C8</f>
        <v>22.5</v>
      </c>
      <c r="D7" s="462">
        <f>landbouw!D8</f>
        <v>4817.155874</v>
      </c>
      <c r="E7" s="462">
        <f>landbouw!E8</f>
        <v>48.527838325034807</v>
      </c>
      <c r="F7" s="462">
        <f>landbouw!F8</f>
        <v>13286.9906386565</v>
      </c>
      <c r="G7" s="462">
        <f>landbouw!G8</f>
        <v>0</v>
      </c>
      <c r="H7" s="462">
        <f>landbouw!H8</f>
        <v>0</v>
      </c>
      <c r="I7" s="462">
        <f>landbouw!I8</f>
        <v>0</v>
      </c>
      <c r="J7" s="462">
        <f>landbouw!J8</f>
        <v>579.14993192693373</v>
      </c>
      <c r="K7" s="462">
        <f>landbouw!K8</f>
        <v>0</v>
      </c>
      <c r="L7" s="462">
        <f>landbouw!L8</f>
        <v>0</v>
      </c>
      <c r="M7" s="462">
        <f>landbouw!M8</f>
        <v>0</v>
      </c>
      <c r="N7" s="462">
        <f>landbouw!N8</f>
        <v>0</v>
      </c>
      <c r="O7" s="462">
        <f>landbouw!O8</f>
        <v>0</v>
      </c>
      <c r="P7" s="463">
        <f>landbouw!P8</f>
        <v>0</v>
      </c>
      <c r="Q7" s="461">
        <f t="shared" si="0"/>
        <v>22605.346282908471</v>
      </c>
    </row>
    <row r="8" spans="1:17">
      <c r="A8" s="461" t="s">
        <v>657</v>
      </c>
      <c r="B8" s="462">
        <f>industrie!B18</f>
        <v>11227.352999999999</v>
      </c>
      <c r="C8" s="462">
        <f>industrie!C18</f>
        <v>0</v>
      </c>
      <c r="D8" s="462">
        <f>industrie!D18</f>
        <v>9435.4783380000008</v>
      </c>
      <c r="E8" s="462">
        <f>industrie!E18</f>
        <v>851.0784784138408</v>
      </c>
      <c r="F8" s="462">
        <f>industrie!F18</f>
        <v>4534.8881687882495</v>
      </c>
      <c r="G8" s="462">
        <f>industrie!G18</f>
        <v>0</v>
      </c>
      <c r="H8" s="462">
        <f>industrie!H18</f>
        <v>0</v>
      </c>
      <c r="I8" s="462">
        <f>industrie!I18</f>
        <v>0</v>
      </c>
      <c r="J8" s="462">
        <f>industrie!J18</f>
        <v>21.623880103865432</v>
      </c>
      <c r="K8" s="462">
        <f>industrie!K18</f>
        <v>0</v>
      </c>
      <c r="L8" s="462">
        <f>industrie!L18</f>
        <v>0</v>
      </c>
      <c r="M8" s="462">
        <f>industrie!M18</f>
        <v>0</v>
      </c>
      <c r="N8" s="462">
        <f>industrie!N18</f>
        <v>1792.4213115917098</v>
      </c>
      <c r="O8" s="462">
        <f>industrie!O18</f>
        <v>0</v>
      </c>
      <c r="P8" s="463">
        <f>industrie!P18</f>
        <v>0</v>
      </c>
      <c r="Q8" s="461">
        <f t="shared" si="0"/>
        <v>27862.843176897666</v>
      </c>
    </row>
    <row r="9" spans="1:17" s="467" customFormat="1">
      <c r="A9" s="465" t="s">
        <v>574</v>
      </c>
      <c r="B9" s="466">
        <f>transport!B14</f>
        <v>6.6667350064171931</v>
      </c>
      <c r="C9" s="466">
        <f>transport!C14</f>
        <v>0</v>
      </c>
      <c r="D9" s="466">
        <f>transport!D14</f>
        <v>10.995656251290001</v>
      </c>
      <c r="E9" s="466">
        <f>transport!E14</f>
        <v>336.5543647648305</v>
      </c>
      <c r="F9" s="466">
        <f>transport!F14</f>
        <v>0</v>
      </c>
      <c r="G9" s="466">
        <f>transport!G14</f>
        <v>74347.934912697092</v>
      </c>
      <c r="H9" s="466">
        <f>transport!H14</f>
        <v>16448.419479171072</v>
      </c>
      <c r="I9" s="466">
        <f>transport!I14</f>
        <v>0</v>
      </c>
      <c r="J9" s="466">
        <f>transport!J14</f>
        <v>0</v>
      </c>
      <c r="K9" s="466">
        <f>transport!K14</f>
        <v>0</v>
      </c>
      <c r="L9" s="466">
        <f>transport!L14</f>
        <v>0</v>
      </c>
      <c r="M9" s="466">
        <f>transport!M14</f>
        <v>4106.1980813103219</v>
      </c>
      <c r="N9" s="466">
        <f>transport!N14</f>
        <v>0</v>
      </c>
      <c r="O9" s="466">
        <f>transport!O14</f>
        <v>0</v>
      </c>
      <c r="P9" s="466">
        <f>transport!P14</f>
        <v>0</v>
      </c>
      <c r="Q9" s="465">
        <f>SUM(B9:P9)</f>
        <v>95256.769229201018</v>
      </c>
    </row>
    <row r="10" spans="1:17">
      <c r="A10" s="461" t="s">
        <v>564</v>
      </c>
      <c r="B10" s="462">
        <f>transport!B54</f>
        <v>0</v>
      </c>
      <c r="C10" s="462">
        <f>transport!C54</f>
        <v>0</v>
      </c>
      <c r="D10" s="462">
        <f>transport!D54</f>
        <v>0</v>
      </c>
      <c r="E10" s="462">
        <f>transport!E54</f>
        <v>0</v>
      </c>
      <c r="F10" s="462">
        <f>transport!F54</f>
        <v>0</v>
      </c>
      <c r="G10" s="462">
        <f>transport!G54</f>
        <v>2455.5749981314366</v>
      </c>
      <c r="H10" s="462">
        <f>transport!H54</f>
        <v>0</v>
      </c>
      <c r="I10" s="462">
        <f>transport!I54</f>
        <v>0</v>
      </c>
      <c r="J10" s="462">
        <f>transport!J54</f>
        <v>0</v>
      </c>
      <c r="K10" s="462">
        <f>transport!K54</f>
        <v>0</v>
      </c>
      <c r="L10" s="462">
        <f>transport!L54</f>
        <v>0</v>
      </c>
      <c r="M10" s="462">
        <f>transport!M54</f>
        <v>109.20542629801128</v>
      </c>
      <c r="N10" s="462">
        <f>transport!N54</f>
        <v>0</v>
      </c>
      <c r="O10" s="462">
        <f>transport!O54</f>
        <v>0</v>
      </c>
      <c r="P10" s="463">
        <f>transport!P54</f>
        <v>0</v>
      </c>
      <c r="Q10" s="461">
        <f t="shared" si="0"/>
        <v>2564.780424429448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1455.2159999999999</v>
      </c>
      <c r="C14" s="469"/>
      <c r="D14" s="469">
        <f>'SEAP template'!E25</f>
        <v>18916.871999999999</v>
      </c>
      <c r="E14" s="469"/>
      <c r="F14" s="469"/>
      <c r="G14" s="469"/>
      <c r="H14" s="469"/>
      <c r="I14" s="469"/>
      <c r="J14" s="469"/>
      <c r="K14" s="469"/>
      <c r="L14" s="469"/>
      <c r="M14" s="469"/>
      <c r="N14" s="469"/>
      <c r="O14" s="469"/>
      <c r="P14" s="470"/>
      <c r="Q14" s="461">
        <f t="shared" si="0"/>
        <v>20372.088</v>
      </c>
    </row>
    <row r="15" spans="1:17" s="474" customFormat="1">
      <c r="A15" s="471" t="s">
        <v>568</v>
      </c>
      <c r="B15" s="472">
        <f ca="1">SUM(B4:B14)</f>
        <v>91856.909735006426</v>
      </c>
      <c r="C15" s="472">
        <f t="shared" ref="C15:Q15" ca="1" si="1">SUM(C4:C14)</f>
        <v>22.5</v>
      </c>
      <c r="D15" s="472">
        <f t="shared" ca="1" si="1"/>
        <v>132547.04439625129</v>
      </c>
      <c r="E15" s="472">
        <f t="shared" si="1"/>
        <v>9047.5967981282192</v>
      </c>
      <c r="F15" s="472">
        <f t="shared" ca="1" si="1"/>
        <v>103947.23051651812</v>
      </c>
      <c r="G15" s="472">
        <f t="shared" si="1"/>
        <v>76803.509910828521</v>
      </c>
      <c r="H15" s="472">
        <f t="shared" si="1"/>
        <v>16448.419479171072</v>
      </c>
      <c r="I15" s="472">
        <f t="shared" si="1"/>
        <v>0</v>
      </c>
      <c r="J15" s="472">
        <f t="shared" si="1"/>
        <v>600.77381203079915</v>
      </c>
      <c r="K15" s="472">
        <f t="shared" si="1"/>
        <v>0</v>
      </c>
      <c r="L15" s="472">
        <f t="shared" ca="1" si="1"/>
        <v>0</v>
      </c>
      <c r="M15" s="472">
        <f t="shared" si="1"/>
        <v>4215.4035076083328</v>
      </c>
      <c r="N15" s="472">
        <f t="shared" ca="1" si="1"/>
        <v>30558.018217209956</v>
      </c>
      <c r="O15" s="472">
        <f t="shared" si="1"/>
        <v>367.38333333333333</v>
      </c>
      <c r="P15" s="472">
        <f t="shared" si="1"/>
        <v>572</v>
      </c>
      <c r="Q15" s="472">
        <f t="shared" ca="1" si="1"/>
        <v>466986.78970608604</v>
      </c>
    </row>
    <row r="17" spans="1:17">
      <c r="A17" s="475" t="s">
        <v>569</v>
      </c>
      <c r="B17" s="781">
        <f ca="1">huishoudens!B10</f>
        <v>0.16980533786422541</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7648.0091540734247</v>
      </c>
      <c r="C22" s="462">
        <f t="shared" ref="C22:C32" ca="1" si="3">C4*$C$17</f>
        <v>0</v>
      </c>
      <c r="D22" s="462">
        <f t="shared" ref="D22:D32" si="4">D4*$D$17</f>
        <v>16335.011495484003</v>
      </c>
      <c r="E22" s="462">
        <f t="shared" ref="E22:E32" si="5">E4*$E$17</f>
        <v>1677.056239383026</v>
      </c>
      <c r="F22" s="462">
        <f t="shared" ref="F22:F32" si="6">F4*$F$17</f>
        <v>21294.536232663599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46954.613121604052</v>
      </c>
    </row>
    <row r="23" spans="1:17">
      <c r="A23" s="461" t="s">
        <v>156</v>
      </c>
      <c r="B23" s="462">
        <f t="shared" ca="1" si="2"/>
        <v>4897.3382593923243</v>
      </c>
      <c r="C23" s="462">
        <f t="shared" ca="1" si="3"/>
        <v>0</v>
      </c>
      <c r="D23" s="462">
        <f t="shared" ca="1" si="4"/>
        <v>3737.0300951720001</v>
      </c>
      <c r="E23" s="462">
        <f t="shared" si="5"/>
        <v>96.139759090738778</v>
      </c>
      <c r="F23" s="462">
        <f t="shared" ca="1" si="6"/>
        <v>1700.9326736589903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10431.440787314054</v>
      </c>
    </row>
    <row r="24" spans="1:17">
      <c r="A24" s="461" t="s">
        <v>194</v>
      </c>
      <c r="B24" s="462">
        <f t="shared" ca="1" si="2"/>
        <v>243.82212619653836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243.82212619653836</v>
      </c>
    </row>
    <row r="25" spans="1:17">
      <c r="A25" s="461" t="s">
        <v>112</v>
      </c>
      <c r="B25" s="462">
        <f t="shared" ca="1" si="2"/>
        <v>653.92409183256507</v>
      </c>
      <c r="C25" s="462">
        <f t="shared" ca="1" si="3"/>
        <v>5.0500000000000007</v>
      </c>
      <c r="D25" s="462">
        <f t="shared" si="4"/>
        <v>973.06548654800008</v>
      </c>
      <c r="E25" s="462">
        <f t="shared" si="5"/>
        <v>11.015819299782901</v>
      </c>
      <c r="F25" s="462">
        <f t="shared" si="6"/>
        <v>3547.6265005212858</v>
      </c>
      <c r="G25" s="462">
        <f t="shared" si="7"/>
        <v>0</v>
      </c>
      <c r="H25" s="462">
        <f t="shared" si="8"/>
        <v>0</v>
      </c>
      <c r="I25" s="462">
        <f t="shared" si="9"/>
        <v>0</v>
      </c>
      <c r="J25" s="462">
        <f t="shared" si="10"/>
        <v>205.01907590213452</v>
      </c>
      <c r="K25" s="462">
        <f t="shared" si="11"/>
        <v>0</v>
      </c>
      <c r="L25" s="462">
        <f t="shared" si="12"/>
        <v>0</v>
      </c>
      <c r="M25" s="462">
        <f t="shared" si="13"/>
        <v>0</v>
      </c>
      <c r="N25" s="462">
        <f t="shared" si="14"/>
        <v>0</v>
      </c>
      <c r="O25" s="462">
        <f t="shared" si="15"/>
        <v>0</v>
      </c>
      <c r="P25" s="463">
        <f t="shared" si="16"/>
        <v>0</v>
      </c>
      <c r="Q25" s="461">
        <f t="shared" ca="1" si="17"/>
        <v>5395.7009741037682</v>
      </c>
    </row>
    <row r="26" spans="1:17">
      <c r="A26" s="461" t="s">
        <v>657</v>
      </c>
      <c r="B26" s="462">
        <f t="shared" ca="1" si="2"/>
        <v>1906.4644694859246</v>
      </c>
      <c r="C26" s="462">
        <f t="shared" ca="1" si="3"/>
        <v>0</v>
      </c>
      <c r="D26" s="462">
        <f t="shared" si="4"/>
        <v>1905.9666242760002</v>
      </c>
      <c r="E26" s="462">
        <f t="shared" si="5"/>
        <v>193.19481459994188</v>
      </c>
      <c r="F26" s="462">
        <f t="shared" si="6"/>
        <v>1210.8151410664627</v>
      </c>
      <c r="G26" s="462">
        <f t="shared" si="7"/>
        <v>0</v>
      </c>
      <c r="H26" s="462">
        <f t="shared" si="8"/>
        <v>0</v>
      </c>
      <c r="I26" s="462">
        <f t="shared" si="9"/>
        <v>0</v>
      </c>
      <c r="J26" s="462">
        <f t="shared" si="10"/>
        <v>7.6548535567683622</v>
      </c>
      <c r="K26" s="462">
        <f t="shared" si="11"/>
        <v>0</v>
      </c>
      <c r="L26" s="462">
        <f t="shared" si="12"/>
        <v>0</v>
      </c>
      <c r="M26" s="462">
        <f t="shared" si="13"/>
        <v>0</v>
      </c>
      <c r="N26" s="462">
        <f t="shared" si="14"/>
        <v>0</v>
      </c>
      <c r="O26" s="462">
        <f t="shared" si="15"/>
        <v>0</v>
      </c>
      <c r="P26" s="463">
        <f t="shared" si="16"/>
        <v>0</v>
      </c>
      <c r="Q26" s="461">
        <f t="shared" ca="1" si="17"/>
        <v>5224.0959029850974</v>
      </c>
    </row>
    <row r="27" spans="1:17" s="467" customFormat="1">
      <c r="A27" s="465" t="s">
        <v>574</v>
      </c>
      <c r="B27" s="775">
        <f t="shared" ca="1" si="2"/>
        <v>1.1320471902159304</v>
      </c>
      <c r="C27" s="466">
        <f t="shared" ca="1" si="3"/>
        <v>0</v>
      </c>
      <c r="D27" s="466">
        <f t="shared" si="4"/>
        <v>2.2211225627605802</v>
      </c>
      <c r="E27" s="466">
        <f t="shared" si="5"/>
        <v>76.397840801616525</v>
      </c>
      <c r="F27" s="466">
        <f t="shared" si="6"/>
        <v>0</v>
      </c>
      <c r="G27" s="466">
        <f t="shared" si="7"/>
        <v>19850.898621690125</v>
      </c>
      <c r="H27" s="466">
        <f t="shared" si="8"/>
        <v>4095.6564503135969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24026.306082558312</v>
      </c>
    </row>
    <row r="28" spans="1:17">
      <c r="A28" s="461" t="s">
        <v>564</v>
      </c>
      <c r="B28" s="462">
        <f t="shared" ca="1" si="2"/>
        <v>0</v>
      </c>
      <c r="C28" s="462">
        <f t="shared" ca="1" si="3"/>
        <v>0</v>
      </c>
      <c r="D28" s="462">
        <f t="shared" si="4"/>
        <v>0</v>
      </c>
      <c r="E28" s="462">
        <f t="shared" si="5"/>
        <v>0</v>
      </c>
      <c r="F28" s="462">
        <f t="shared" si="6"/>
        <v>0</v>
      </c>
      <c r="G28" s="462">
        <f t="shared" si="7"/>
        <v>655.63852450109357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655.63852450109357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247.10344454542664</v>
      </c>
      <c r="C32" s="462">
        <f t="shared" ca="1" si="3"/>
        <v>0</v>
      </c>
      <c r="D32" s="462">
        <f t="shared" si="4"/>
        <v>3821.2081440000002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4068.3115885454267</v>
      </c>
    </row>
    <row r="33" spans="1:17" s="474" customFormat="1">
      <c r="A33" s="471" t="s">
        <v>568</v>
      </c>
      <c r="B33" s="472">
        <f ca="1">SUM(B22:B32)</f>
        <v>15597.79359271642</v>
      </c>
      <c r="C33" s="472">
        <f t="shared" ref="C33:Q33" ca="1" si="18">SUM(C22:C32)</f>
        <v>5.0500000000000007</v>
      </c>
      <c r="D33" s="472">
        <f t="shared" ca="1" si="18"/>
        <v>26774.502968042761</v>
      </c>
      <c r="E33" s="472">
        <f t="shared" si="18"/>
        <v>2053.8044731751061</v>
      </c>
      <c r="F33" s="472">
        <f t="shared" ca="1" si="18"/>
        <v>27753.910547910335</v>
      </c>
      <c r="G33" s="472">
        <f t="shared" si="18"/>
        <v>20506.537146191218</v>
      </c>
      <c r="H33" s="472">
        <f t="shared" si="18"/>
        <v>4095.6564503135969</v>
      </c>
      <c r="I33" s="472">
        <f t="shared" si="18"/>
        <v>0</v>
      </c>
      <c r="J33" s="472">
        <f t="shared" si="18"/>
        <v>212.67392945890288</v>
      </c>
      <c r="K33" s="472">
        <f t="shared" si="18"/>
        <v>0</v>
      </c>
      <c r="L33" s="472">
        <f t="shared" ca="1" si="18"/>
        <v>0</v>
      </c>
      <c r="M33" s="472">
        <f t="shared" si="18"/>
        <v>0</v>
      </c>
      <c r="N33" s="472">
        <f t="shared" ca="1" si="18"/>
        <v>0</v>
      </c>
      <c r="O33" s="472">
        <f t="shared" si="18"/>
        <v>0</v>
      </c>
      <c r="P33" s="472">
        <f t="shared" si="18"/>
        <v>0</v>
      </c>
      <c r="Q33" s="472">
        <f t="shared" ca="1" si="18"/>
        <v>96999.929107808333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11040.927320000001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10237.800999999999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21278.728320000002</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0.16980533786422541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0.16980533786422541</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2019-08-12T08:04:57Z</dcterms:modified>
</cp:coreProperties>
</file>