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G102"/>
  <c r="I17" s="1"/>
  <c r="B102"/>
  <c r="C17" s="1"/>
  <c r="C102"/>
  <c r="F102"/>
  <c r="I101"/>
  <c r="H8" s="1"/>
  <c r="H10" s="1"/>
  <c r="H101"/>
  <c r="C101"/>
  <c r="D101"/>
  <c r="B101"/>
  <c r="C8" s="1"/>
  <c r="C10" s="1"/>
  <c r="F101"/>
  <c r="G101"/>
  <c r="O9"/>
  <c r="B10"/>
  <c r="B20"/>
  <c r="O19"/>
  <c r="I20"/>
  <c r="C2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P28" i="48"/>
  <c r="K22" i="14"/>
  <c r="L22"/>
  <c r="K20" i="59"/>
  <c r="L20"/>
  <c r="N10"/>
  <c r="P32" i="48"/>
  <c r="D14"/>
  <c r="K78" i="14"/>
  <c r="K8" i="59"/>
  <c r="K10" s="1"/>
  <c r="E90" i="14"/>
  <c r="E18" i="59"/>
  <c r="E20" s="1"/>
  <c r="Q11" i="48"/>
  <c r="O28"/>
  <c r="D22" i="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24"/>
  <c r="D31"/>
  <c r="D32"/>
  <c r="Q10" i="14"/>
  <c r="P5" i="48"/>
  <c r="P23" s="1"/>
  <c r="C24" i="14"/>
  <c r="C26" s="1"/>
  <c r="B7" i="48"/>
  <c r="Q11" i="14"/>
  <c r="P4" i="48"/>
  <c r="I22"/>
  <c r="I31"/>
  <c r="I26"/>
  <c r="I25"/>
  <c r="I27"/>
  <c r="I29"/>
  <c r="I32"/>
  <c r="I30"/>
  <c r="I24"/>
  <c r="I28"/>
  <c r="H26"/>
  <c r="H32"/>
  <c r="H25"/>
  <c r="H22"/>
  <c r="H28"/>
  <c r="H24"/>
  <c r="H29"/>
  <c r="H30"/>
  <c r="H23"/>
  <c r="D11" i="14"/>
  <c r="C4" i="48"/>
  <c r="N46" i="14"/>
  <c r="E32" i="48"/>
  <c r="E28"/>
  <c r="E30"/>
  <c r="E24"/>
  <c r="E29"/>
  <c r="E31"/>
  <c r="M32"/>
  <c r="M29"/>
  <c r="M26"/>
  <c r="M25"/>
  <c r="M22"/>
  <c r="M24"/>
  <c r="M30"/>
  <c r="M23"/>
  <c r="L28"/>
  <c r="L29"/>
  <c r="L32"/>
  <c r="L24"/>
  <c r="L31"/>
  <c r="L22"/>
  <c r="L27"/>
  <c r="L30"/>
  <c r="K32"/>
  <c r="K26"/>
  <c r="K31"/>
  <c r="K30"/>
  <c r="K24"/>
  <c r="K28"/>
  <c r="K22"/>
  <c r="K25"/>
  <c r="K29"/>
  <c r="K27"/>
  <c r="J31"/>
  <c r="J29"/>
  <c r="J32"/>
  <c r="J27"/>
  <c r="J30"/>
  <c r="J24"/>
  <c r="J28"/>
  <c r="O4"/>
  <c r="P11" i="14"/>
  <c r="D4" i="48"/>
  <c r="D22" s="1"/>
  <c r="E11" i="14"/>
  <c r="G32" i="48"/>
  <c r="G26"/>
  <c r="G22"/>
  <c r="G29"/>
  <c r="G25"/>
  <c r="G30"/>
  <c r="G24"/>
  <c r="G23"/>
  <c r="C11" i="14"/>
  <c r="B4" i="48"/>
  <c r="F32"/>
  <c r="F29"/>
  <c r="F30"/>
  <c r="F27"/>
  <c r="F28"/>
  <c r="F31"/>
  <c r="F24"/>
  <c r="N32"/>
  <c r="N31"/>
  <c r="N29"/>
  <c r="N27"/>
  <c r="N28"/>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F20" i="14"/>
  <c r="F22" s="1"/>
  <c r="E9" i="48"/>
  <c r="P22" i="16"/>
  <c r="Q43" i="14" s="1"/>
  <c r="P8" i="48"/>
  <c r="P26" s="1"/>
  <c r="Q13" i="14"/>
  <c r="Q16" s="1"/>
  <c r="Q27" s="1"/>
  <c r="E20"/>
  <c r="E22" s="1"/>
  <c r="D9" i="48"/>
  <c r="D27" s="1"/>
  <c r="O22"/>
  <c r="B9"/>
  <c r="C20" i="14"/>
  <c r="O5" i="48"/>
  <c r="O23" s="1"/>
  <c r="P10" i="14"/>
  <c r="F4" i="48"/>
  <c r="F22" s="1"/>
  <c r="G11" i="14"/>
  <c r="K24"/>
  <c r="K26" s="1"/>
  <c r="J7" i="48"/>
  <c r="J25" s="1"/>
  <c r="P15"/>
  <c r="P22"/>
  <c r="P33" s="1"/>
  <c r="K33"/>
  <c r="L63" i="14"/>
  <c r="L46"/>
  <c r="L61" s="1"/>
  <c r="J10"/>
  <c r="J16" s="1"/>
  <c r="J27" s="1"/>
  <c r="I5" i="48"/>
  <c r="M12" i="22"/>
  <c r="M13" i="48"/>
  <c r="M31" s="1"/>
  <c r="N18" i="14"/>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G31"/>
  <c r="Q13"/>
  <c r="O8"/>
  <c r="P13" i="14"/>
  <c r="H19"/>
  <c r="G10" i="48"/>
  <c r="M14" i="22"/>
  <c r="E27" i="48"/>
  <c r="H20" i="14"/>
  <c r="H22" s="1"/>
  <c r="H27" s="1"/>
  <c r="G9" i="48"/>
  <c r="N19" i="14"/>
  <c r="M10" i="48"/>
  <c r="M28" s="1"/>
  <c r="E7"/>
  <c r="E25" s="1"/>
  <c r="F24" i="14"/>
  <c r="F26" s="1"/>
  <c r="I23" i="48"/>
  <c r="I33" s="1"/>
  <c r="I15"/>
  <c r="P16" i="14"/>
  <c r="P27" s="1"/>
  <c r="C22"/>
  <c r="P46"/>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22" l="1"/>
  <c r="N27" s="1"/>
  <c r="N63" s="1"/>
  <c r="M9" i="48"/>
  <c r="N20" i="14"/>
  <c r="I20"/>
  <c r="H9" i="48"/>
  <c r="E22"/>
  <c r="Q4"/>
  <c r="R19" i="14"/>
  <c r="J22" i="48"/>
  <c r="E20" i="15"/>
  <c r="F40" i="14" s="1"/>
  <c r="F10"/>
  <c r="E5" i="48"/>
  <c r="E23" s="1"/>
  <c r="O26"/>
  <c r="O33" s="1"/>
  <c r="O15"/>
  <c r="K10" i="14"/>
  <c r="J5" i="48"/>
  <c r="J23" s="1"/>
  <c r="G28"/>
  <c r="Q10"/>
  <c r="G27"/>
  <c r="G15"/>
  <c r="M18" i="22"/>
  <c r="N50" i="14" s="1"/>
  <c r="N52" s="1"/>
  <c r="N61" s="1"/>
  <c r="P63"/>
  <c r="R11"/>
  <c r="E46"/>
  <c r="E61" s="1"/>
  <c r="M61"/>
  <c r="M27"/>
  <c r="E16"/>
  <c r="E27" s="1"/>
  <c r="L15" i="48"/>
  <c r="R24" i="14"/>
  <c r="R26" s="1"/>
  <c r="L33" i="48"/>
  <c r="Q7"/>
  <c r="D23"/>
  <c r="D33" s="1"/>
  <c r="D15"/>
  <c r="C16" i="14"/>
  <c r="C27" s="1"/>
  <c r="B3" i="6" s="1"/>
  <c r="B12" s="1"/>
  <c r="F23" i="48"/>
  <c r="N23"/>
  <c r="Q5"/>
  <c r="B15"/>
  <c r="F18" i="16"/>
  <c r="E18"/>
  <c r="N18"/>
  <c r="J18"/>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22" l="1"/>
  <c r="I27" s="1"/>
  <c r="R20"/>
  <c r="R22" s="1"/>
  <c r="E8" i="48"/>
  <c r="E26" s="1"/>
  <c r="E33" s="1"/>
  <c r="F13" i="14"/>
  <c r="H27" i="48"/>
  <c r="H33" s="1"/>
  <c r="H15"/>
  <c r="Q9"/>
  <c r="I63" i="14"/>
  <c r="F46"/>
  <c r="F61" s="1"/>
  <c r="G33" i="48"/>
  <c r="F16" i="14"/>
  <c r="F27" s="1"/>
  <c r="M27" i="48"/>
  <c r="M33" s="1"/>
  <c r="M15"/>
  <c r="J22" i="16"/>
  <c r="K43" i="14" s="1"/>
  <c r="K46" s="1"/>
  <c r="K61" s="1"/>
  <c r="K13"/>
  <c r="J8" i="48"/>
  <c r="K16" i="14"/>
  <c r="K27" s="1"/>
  <c r="R10"/>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<sst xmlns="http://schemas.openxmlformats.org/spreadsheetml/2006/main" count="2432" uniqueCount="913">
  <si>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</si>
  <si>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</si>
  <si>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</si>
  <si>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</si>
  <si>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</si>
  <si>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</si>
  <si>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</si>
  <si>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</si>
  <si>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</si>
  <si>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</si>
  <si>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</si>
  <si>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</si>
  <si>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</si>
  <si>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</si>
  <si>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</si>
  <si>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</si>
  <si>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</si>
  <si>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</si>
  <si>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</si>
  <si>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</si>
  <si>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</si>
  <si>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</si>
  <si>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</si>
  <si>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</si>
  <si>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</si>
  <si>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</si>
  <si>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</si>
  <si>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</si>
  <si>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</si>
  <si>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</si>
  <si>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</si>
  <si>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</si>
  <si>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</si>
  <si>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</si>
  <si>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</si>
  <si>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</si>
  <si>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</si>
  <si>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</si>
  <si>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</si>
  <si>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</si>
  <si>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</si>
  <si>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</si>
  <si>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</si>
  <si>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</si>
  <si>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</si>
  <si>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</si>
  <si>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</si>
  <si>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</si>
  <si>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</si>
  <si>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</si>
  <si>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</si>
  <si>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</si>
  <si>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</si>
  <si>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</si>
  <si>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</si>
  <si>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</si>
  <si>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</si>
  <si>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</si>
  <si>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</si>
  <si>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</si>
  <si>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</si>
  <si>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</si>
  <si>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</si>
  <si>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</si>
  <si>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</si>
  <si>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</si>
  <si>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</si>
  <si>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</si>
  <si>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</si>
  <si>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</si>
  <si>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</si>
  <si>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</si>
  <si>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</si>
  <si>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</si>
  <si>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</si>
  <si>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</si>
  <si>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</si>
  <si>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</si>
  <si>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</si>
  <si>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</si>
  <si>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</si>
  <si>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</si>
  <si>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</si>
  <si>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</si>
  <si>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</si>
  <si>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</si>
  <si>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</si>
  <si>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</si>
  <si>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</si>
  <si>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</si>
  <si>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</si>
  <si>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</si>
  <si>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</si>
  <si>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</si>
  <si>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</si>
  <si>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</si>
  <si>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</si>
  <si>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</si>
  <si>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</si>
  <si>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</si>
  <si>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</si>
  <si>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</si>
  <si>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</si>
  <si>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</si>
  <si>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</si>
  <si>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</si>
  <si>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</si>
  <si>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</si>
  <si>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</si>
  <si>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</si>
  <si>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</si>
  <si>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</si>
  <si>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</si>
  <si>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</si>
  <si>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</si>
  <si>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</si>
  <si>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</si>
  <si>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</si>
  <si>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</si>
  <si>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</si>
  <si>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</si>
  <si>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</si>
  <si>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</si>
  <si>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</si>
  <si>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</si>
  <si>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</si>
  <si>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</si>
  <si>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</si>
  <si>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</si>
  <si>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</si>
  <si>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</si>
  <si>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</si>
  <si>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</si>
  <si>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</si>
  <si>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</si>
  <si>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</si>
  <si>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</si>
  <si>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</si>
  <si>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</si>
  <si>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</si>
  <si>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</si>
  <si>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</si>
  <si>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</si>
  <si>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</si>
  <si>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</si>
  <si>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</si>
  <si>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</si>
  <si>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</si>
  <si>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</si>
  <si>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</si>
  <si>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</si>
  <si>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</si>
  <si>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</si>
  <si>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</si>
  <si>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</si>
  <si>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</si>
  <si>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</si>
  <si>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</si>
  <si>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</si>
  <si>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</si>
  <si>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</si>
  <si>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</si>
  <si>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</si>
  <si>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</si>
  <si>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</si>
  <si>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</si>
  <si>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</si>
  <si>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</si>
  <si>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</si>
  <si>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</si>
  <si>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</si>
  <si>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</si>
  <si>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</si>
  <si>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</si>
  <si>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</si>
  <si>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</si>
  <si>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</si>
  <si>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</si>
  <si>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</si>
  <si>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</si>
  <si>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</si>
  <si>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</si>
  <si>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</si>
  <si>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</si>
  <si>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</si>
  <si>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</si>
  <si>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</si>
  <si>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</si>
  <si>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</si>
  <si>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</si>
  <si>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</si>
  <si>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</si>
  <si>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</si>
  <si>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</si>
  <si>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</si>
  <si>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</si>
  <si>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</si>
  <si>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</si>
  <si>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</si>
  <si>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</si>
  <si>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</si>
  <si>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</si>
  <si>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</si>
  <si>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</si>
  <si>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</si>
  <si>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</si>
  <si>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</si>
  <si>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</si>
  <si>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</si>
  <si>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</si>
  <si>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</si>
  <si>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</si>
  <si>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</si>
  <si>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</si>
  <si>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</si>
  <si>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</si>
  <si>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</si>
  <si>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</si>
  <si>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</si>
  <si>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</si>
  <si>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</si>
  <si>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</si>
  <si>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</si>
  <si>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</si>
  <si>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</si>
  <si>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</si>
  <si>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</si>
  <si>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</si>
  <si>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</si>
  <si>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</si>
  <si>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</si>
  <si>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</si>
  <si>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</si>
  <si>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</si>
  <si>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</si>
  <si>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</si>
  <si>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</si>
  <si>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</si>
  <si>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</si>
  <si>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</si>
  <si>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</si>
  <si>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</si>
  <si>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</si>
  <si>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</si>
  <si>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</si>
  <si>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</si>
  <si>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</si>
  <si>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</si>
  <si>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</si>
  <si>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</si>
  <si>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</si>
  <si>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</si>
  <si>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</si>
  <si>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</si>
  <si>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</si>
  <si>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</si>
  <si>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</si>
  <si>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</si>
  <si>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</si>
  <si>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</si>
  <si>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</si>
  <si>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</si>
  <si>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</si>
  <si>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</si>
  <si>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</si>
  <si>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</si>
  <si>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</si>
  <si>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</si>
  <si>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</si>
  <si>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</si>
  <si>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</si>
  <si>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</si>
  <si>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</si>
  <si>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</si>
  <si>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</si>
  <si>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</si>
  <si>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</si>
  <si>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</si>
  <si>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</si>
  <si>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</si>
  <si>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</si>
  <si>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</si>
  <si>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</si>
  <si>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</si>
  <si>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</si>
  <si>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</si>
  <si>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</si>
  <si>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</si>
  <si>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</si>
  <si>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</si>
  <si>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</si>
  <si>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</si>
  <si>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</si>
  <si>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</si>
  <si>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</si>
  <si>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</si>
  <si>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</si>
  <si>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</si>
  <si>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</si>
  <si>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</si>
  <si>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</si>
  <si>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</si>
  <si>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</si>
  <si>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</si>
  <si>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</si>
  <si>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</si>
  <si>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</si>
  <si>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</si>
  <si>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</si>
  <si>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</si>
  <si>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</si>
  <si>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</si>
  <si>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</si>
  <si>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</si>
  <si>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</si>
  <si>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</si>
  <si>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</si>
  <si>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</si>
  <si>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</si>
  <si>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</si>
  <si>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</si>
  <si>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</si>
  <si>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</si>
  <si>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</si>
  <si>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</si>
  <si>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</si>
  <si>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</si>
  <si>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</si>
  <si>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</si>
  <si>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</si>
  <si>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</si>
  <si>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</si>
  <si>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</si>
  <si>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</si>
  <si>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</si>
  <si>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</si>
  <si>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</si>
  <si>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</si>
  <si>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</si>
  <si>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</si>
  <si>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</si>
  <si>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</si>
  <si>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</si>
  <si>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</si>
  <si>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</si>
  <si>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</si>
  <si>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</si>
  <si>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</si>
  <si>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</si>
  <si>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</si>
  <si>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</si>
  <si>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</si>
  <si>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</si>
  <si>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</si>
  <si>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</si>
  <si>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</si>
  <si>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</si>
  <si>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</si>
  <si>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</si>
  <si>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</si>
  <si>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</si>
  <si>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</si>
  <si>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</si>
  <si>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</si>
  <si>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</si>
  <si>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</si>
  <si>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</si>
  <si>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</si>
  <si>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</si>
  <si>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</si>
  <si>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</si>
  <si>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</si>
  <si>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</si>
  <si>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</si>
  <si>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</si>
  <si>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</si>
  <si>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</si>
  <si>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</si>
  <si>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</si>
  <si>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</si>
  <si>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</si>
  <si>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</si>
  <si>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</si>
  <si>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</si>
  <si>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</si>
  <si>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</si>
  <si>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</si>
  <si>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</si>
  <si>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</si>
  <si>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</si>
  <si>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</si>
  <si>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</si>
  <si>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</si>
  <si>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</si>
  <si>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</si>
  <si>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</si>
  <si>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</si>
  <si>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</si>
  <si>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</si>
  <si>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</si>
  <si>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</si>
  <si>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</si>
  <si>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</si>
  <si>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</si>
  <si>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</si>
  <si>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</si>
  <si>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</si>
  <si>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</si>
  <si>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</si>
  <si>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</si>
  <si>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</si>
  <si>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</si>
  <si>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</si>
  <si>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</si>
  <si>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</si>
  <si>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</si>
  <si>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</si>
  <si>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</si>
  <si>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</si>
  <si>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</si>
  <si>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</si>
  <si>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</si>
  <si>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</si>
  <si>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</si>
  <si>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</si>
  <si>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</si>
  <si>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</si>
  <si>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</si>
  <si>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</si>
  <si>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</si>
  <si>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</si>
  <si>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</si>
  <si>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</si>
  <si>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</si>
  <si>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</si>
  <si>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</si>
  <si>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</si>
  <si>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</si>
  <si>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</si>
  <si>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</si>
  <si>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</si>
  <si>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</si>
  <si>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</si>
  <si>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</si>
  <si>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</si>
  <si>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</si>
  <si>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</si>
  <si>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</si>
  <si>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</si>
  <si>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</si>
  <si>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</si>
  <si>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</si>
  <si>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</si>
  <si>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</si>
  <si>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</si>
  <si>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</si>
  <si>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</si>
  <si>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</si>
  <si>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</si>
  <si>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</si>
  <si>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</si>
  <si>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</si>
  <si>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</si>
  <si>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</si>
  <si>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</si>
  <si>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</si>
  <si>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</si>
  <si>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</si>
  <si>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</si>
  <si>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</si>
  <si>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</si>
  <si>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</si>
  <si>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</si>
  <si>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</si>
  <si>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</si>
  <si>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</si>
  <si>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</si>
  <si>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</si>
  <si>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</si>
  <si>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</si>
  <si>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</si>
  <si>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</si>
  <si>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</si>
  <si>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</si>
  <si>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</si>
  <si>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</si>
  <si>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</si>
  <si>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</si>
  <si>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</si>
  <si>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</si>
  <si>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</si>
  <si>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</si>
  <si>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</si>
  <si>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</si>
  <si>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</si>
  <si>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</si>
  <si>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</si>
  <si>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</si>
  <si>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</si>
  <si>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</si>
  <si>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</si>
  <si>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</si>
  <si>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</si>
  <si>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</si>
  <si>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</si>
  <si>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</si>
  <si>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</si>
  <si>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</si>
  <si>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</si>
  <si>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</si>
  <si>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</si>
  <si>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</si>
  <si>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</si>
  <si>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</si>
  <si>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</si>
  <si>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</si>
  <si>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</si>
  <si>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</si>
  <si>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</si>
  <si>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</si>
  <si>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</si>
  <si>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</si>
  <si>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</si>
  <si>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</si>
  <si>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</si>
  <si>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</si>
  <si>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</si>
  <si>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</si>
  <si>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</si>
  <si>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</si>
  <si>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</si>
  <si>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</si>
  <si>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</si>
  <si>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</si>
  <si>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</si>
  <si>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</si>
  <si>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</si>
  <si>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</si>
  <si>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</si>
  <si>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</si>
  <si>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</si>
  <si>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</si>
  <si>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</si>
  <si>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</si>
  <si>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</si>
  <si>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</si>
  <si>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</si>
  <si>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</si>
  <si>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</si>
  <si>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</si>
  <si>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</si>
  <si>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</si>
  <si>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</si>
  <si>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</si>
  <si>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</si>
  <si>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</si>
  <si>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</si>
  <si>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</si>
  <si>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</si>
  <si>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</si>
  <si>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</si>
  <si>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</si>
  <si>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</si>
  <si>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</si>
  <si>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</si>
  <si>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</si>
  <si>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</si>
  <si>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</si>
  <si>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</si>
  <si>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</si>
  <si>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</si>
  <si>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</si>
  <si>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</si>
  <si>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</si>
  <si>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</si>
  <si>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</si>
  <si>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</si>
  <si>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</si>
  <si>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</si>
  <si>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</si>
  <si>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</si>
  <si>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</si>
  <si>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</si>
  <si>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</si>
  <si>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</si>
  <si>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</si>
  <si>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</si>
  <si>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</si>
  <si>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</si>
  <si>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</si>
  <si>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</si>
  <si>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</si>
  <si>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</si>
  <si>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</si>
  <si>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</si>
  <si>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</si>
  <si>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</si>
  <si>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</si>
  <si>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</si>
  <si>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</si>
  <si>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</si>
  <si>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</si>
  <si>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</si>
  <si>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</si>
  <si>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</si>
  <si>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</si>
  <si>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</si>
  <si>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</si>
  <si>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</si>
  <si>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</si>
  <si>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</si>
  <si>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</si>
  <si>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</si>
  <si>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</si>
  <si>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</si>
  <si>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</si>
  <si>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</si>
  <si>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</si>
  <si>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</si>
  <si>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</si>
  <si>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</si>
  <si>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</si>
  <si>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</si>
  <si>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</si>
  <si>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</si>
  <si>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</si>
  <si>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</si>
  <si>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</si>
  <si>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</si>
  <si>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</si>
  <si>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</si>
  <si>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</si>
  <si>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</si>
  <si>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</si>
  <si>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</si>
  <si>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</si>
  <si>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</si>
  <si>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</si>
  <si>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</si>
  <si>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</si>
  <si>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</si>
  <si>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</si>
  <si>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</si>
  <si>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</si>
  <si>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</si>
  <si>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</si>
  <si>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</si>
  <si>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</si>
  <si>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</si>
  <si>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</si>
  <si>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</si>
  <si>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</si>
  <si>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</si>
  <si>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</si>
  <si>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</si>
  <si>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</si>
  <si>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</si>
  <si>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</si>
  <si>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</si>
  <si>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</si>
  <si>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</si>
  <si>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</si>
  <si>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</si>
  <si>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</si>
  <si>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</si>
  <si>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</si>
  <si>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</si>
  <si>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</si>
  <si>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</si>
  <si>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</si>
  <si>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</si>
  <si>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</si>
  <si>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</si>
  <si>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</si>
  <si>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</si>
  <si>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</si>
  <si>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</si>
  <si>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</si>
  <si>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</si>
  <si>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</si>
  <si>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</si>
  <si>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</si>
  <si>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</si>
  <si>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</si>
  <si>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</si>
  <si>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</si>
  <si>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</si>
  <si>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</si>
  <si>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</si>
  <si>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</si>
  <si>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</si>
  <si>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</si>
  <si>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</si>
  <si>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</si>
  <si>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</si>
  <si>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</si>
  <si>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</si>
  <si>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</si>
  <si>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</si>
  <si>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</si>
  <si>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</si>
  <si>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</si>
  <si>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</si>
  <si>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</si>
  <si>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</si>
  <si>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</si>
  <si>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</si>
  <si>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</si>
  <si>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</si>
  <si>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</si>
  <si>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</si>
  <si>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</si>
  <si>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</si>
  <si>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</si>
  <si>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</si>
  <si>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</si>
  <si>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</si>
  <si>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</si>
  <si>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</si>
  <si>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</si>
  <si>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</si>
  <si>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</si>
  <si>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</si>
  <si>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</si>
  <si>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</si>
  <si>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</si>
  <si>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</si>
  <si>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</si>
  <si>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</si>
  <si>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</si>
  <si>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</si>
  <si>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</si>
  <si>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</si>
  <si>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</si>
  <si>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</si>
  <si>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</si>
  <si>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</si>
  <si>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</si>
  <si>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</si>
  <si>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</si>
  <si>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</si>
  <si>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</si>
  <si>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</si>
  <si>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</si>
  <si>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</si>
  <si>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</si>
  <si>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</si>
  <si>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</si>
  <si>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</si>
  <si>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</si>
  <si>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</si>
  <si>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</si>
  <si>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</si>
  <si>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</si>
  <si>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</si>
  <si>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</si>
  <si>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</si>
  <si>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</si>
  <si>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</si>
  <si>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</si>
  <si>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</si>
  <si>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</si>
  <si>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</si>
  <si>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</si>
  <si>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</si>
  <si>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</si>
  <si>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</si>
  <si>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</si>
  <si>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</si>
  <si>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</si>
  <si>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</si>
  <si>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</si>
  <si>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</si>
  <si>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</si>
  <si>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</si>
  <si>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</si>
  <si>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</si>
  <si>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</si>
  <si>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</si>
  <si>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</si>
  <si>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</si>
  <si>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</si>
  <si>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</si>
  <si>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</si>
  <si>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</si>
  <si>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</si>
  <si>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</si>
  <si>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</si>
  <si>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</si>
  <si>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</si>
  <si>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</si>
  <si>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</si>
  <si>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</si>
  <si>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</si>
  <si>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</si>
  <si>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</si>
  <si>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</si>
  <si>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</si>
  <si>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</si>
  <si>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</si>
  <si>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</si>
  <si>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</si>
  <si>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</si>
  <si>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</si>
  <si>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</si>
  <si>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</si>
  <si>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</si>
  <si>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</si>
  <si>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</si>
  <si>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</si>
  <si>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</si>
  <si>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</si>
  <si>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</si>
  <si>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</si>
  <si>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</si>
  <si>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</si>
  <si>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</si>
  <si>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</si>
  <si>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</si>
  <si>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</si>
  <si>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</si>
  <si>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</si>
  <si>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</si>
  <si>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</si>
  <si>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</si>
  <si>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</si>
  <si>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</si>
  <si>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</si>
  <si>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</si>
  <si>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</si>
  <si>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</si>
  <si>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</si>
  <si>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</si>
  <si>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</si>
  <si>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</si>
  <si>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</si>
  <si>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</si>
  <si>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</si>
  <si>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</si>
  <si>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</si>
  <si>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</si>
  <si>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</si>
  <si>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</si>
  <si>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</si>
  <si>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</si>
  <si>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</si>
  <si>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</si>
  <si>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</si>
  <si>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</si>
  <si>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</si>
  <si>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</si>
  <si>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</si>
  <si>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</si>
  <si>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</si>
  <si>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</si>
  <si>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</si>
  <si>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</si>
  <si>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</si>
  <si>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</si>
  <si>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</si>
  <si>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</si>
  <si>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</si>
  <si>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</si>
  <si>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</si>
  <si>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</si>
  <si>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</si>
  <si>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</si>
  <si>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</si>
  <si>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</si>
  <si>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</si>
  <si>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</si>
  <si>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</si>
  <si>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</si>
  <si>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</si>
  <si>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</si>
  <si>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</si>
  <si>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</si>
  <si>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</si>
  <si>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</si>
  <si>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</si>
  <si>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</si>
  <si>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</si>
  <si>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</si>
  <si>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</si>
  <si>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</si>
  <si>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</si>
  <si>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</si>
  <si>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</si>
  <si>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</si>
  <si>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</si>
  <si>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</si>
  <si>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</si>
  <si>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</si>
  <si>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</si>
  <si>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</si>
  <si>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</si>
  <si>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</si>
  <si>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</si>
  <si>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</si>
  <si>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</si>
  <si>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</si>
  <si>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</si>
  <si>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</si>
  <si>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</si>
  <si>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</si>
  <si>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</si>
  <si>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71020</t>
  </si>
  <si>
    <t>HALEN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</si>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</sst>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93420.619432037187</c:v>
                </c:pt>
                <c:pt idx="1">
                  <c:v>21251.548973724974</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93420.619432037187</c:v>
                </c:pt>
                <c:pt idx="1">
                  <c:v>21251.548973724974</c:v>
                </c:pt>
                <c:pt idx="2">
                  <c:v>610.58900000000006</c:v>
                </c:pt>
                <c:pt idx="3">
                  <c:v>6180.4504088963167</c:v>
                </c:pt>
                <c:pt idx="4">
                  <c:v>53815.535497211189</c:v>
                </c:pt>
                <c:pt idx="5">
                  <c:v>121457.59646069766</c:v>
                </c:pt>
                <c:pt idx="6">
                  <c:v>1418.2372369986513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17385.815693376524</c:v>
                </c:pt>
                <c:pt idx="2">
                  <c:v>3184.8350544103887</c:v>
                </c:pt>
                <c:pt idx="3">
                  <c:v>75.955955769673821</c:v>
                </c:pt>
                <c:pt idx="4">
                  <c:v>1469.7454444472714</c:v>
                </c:pt>
                <c:pt idx="5">
                  <c:v>9493.8030308857251</c:v>
                </c:pt>
                <c:pt idx="6">
                  <c:v>30682.658866629288</c:v>
                </c:pt>
                <c:pt idx="7">
                  <c:v>362.54603341537705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17385.815693376524</c:v>
                </c:pt>
                <c:pt idx="2">
                  <c:v>3184.8350544103887</c:v>
                </c:pt>
                <c:pt idx="3">
                  <c:v>75.955955769673821</c:v>
                </c:pt>
                <c:pt idx="4">
                  <c:v>1469.7454444472714</c:v>
                </c:pt>
                <c:pt idx="5">
                  <c:v>9493.8030308857251</c:v>
                </c:pt>
                <c:pt idx="6">
                  <c:v>30682.658866629288</c:v>
                </c:pt>
                <c:pt idx="7">
                  <c:v>362.54603341537705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71020</v>
      </c>
      <c r="B6" s="398"/>
      <c r="C6" s="399"/>
    </row>
    <row r="7" spans="1:7" s="396" customFormat="1" ht="15.75" customHeight="1">
      <c r="A7" s="400" t="str">
        <f>txtMunicipality</f>
        <v>HALEN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0.12439784498193354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0.12439784498193354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3850</v>
      </c>
      <c r="C9" s="338">
        <v>4081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1926</v>
      </c>
    </row>
    <row r="15" spans="1:6">
      <c r="A15" s="1295" t="s">
        <v>184</v>
      </c>
      <c r="B15" s="335">
        <v>587</v>
      </c>
    </row>
    <row r="16" spans="1:6">
      <c r="A16" s="1295" t="s">
        <v>6</v>
      </c>
      <c r="B16" s="335">
        <v>154</v>
      </c>
    </row>
    <row r="17" spans="1:6">
      <c r="A17" s="1295" t="s">
        <v>7</v>
      </c>
      <c r="B17" s="335">
        <v>421</v>
      </c>
    </row>
    <row r="18" spans="1:6">
      <c r="A18" s="1295" t="s">
        <v>8</v>
      </c>
      <c r="B18" s="335">
        <v>507</v>
      </c>
    </row>
    <row r="19" spans="1:6">
      <c r="A19" s="1295" t="s">
        <v>9</v>
      </c>
      <c r="B19" s="335">
        <v>493</v>
      </c>
    </row>
    <row r="20" spans="1:6">
      <c r="A20" s="1295" t="s">
        <v>10</v>
      </c>
      <c r="B20" s="335">
        <v>308</v>
      </c>
    </row>
    <row r="21" spans="1:6">
      <c r="A21" s="1295" t="s">
        <v>11</v>
      </c>
      <c r="B21" s="335">
        <v>5697</v>
      </c>
    </row>
    <row r="22" spans="1:6">
      <c r="A22" s="1295" t="s">
        <v>12</v>
      </c>
      <c r="B22" s="335">
        <v>6247</v>
      </c>
    </row>
    <row r="23" spans="1:6">
      <c r="A23" s="1295" t="s">
        <v>13</v>
      </c>
      <c r="B23" s="335">
        <v>35</v>
      </c>
    </row>
    <row r="24" spans="1:6">
      <c r="A24" s="1295" t="s">
        <v>14</v>
      </c>
      <c r="B24" s="335">
        <v>3</v>
      </c>
    </row>
    <row r="25" spans="1:6">
      <c r="A25" s="1295" t="s">
        <v>15</v>
      </c>
      <c r="B25" s="335">
        <v>159</v>
      </c>
    </row>
    <row r="26" spans="1:6">
      <c r="A26" s="1295" t="s">
        <v>16</v>
      </c>
      <c r="B26" s="335">
        <v>199</v>
      </c>
    </row>
    <row r="27" spans="1:6">
      <c r="A27" s="1295" t="s">
        <v>17</v>
      </c>
      <c r="B27" s="335">
        <v>28</v>
      </c>
    </row>
    <row r="28" spans="1:6" s="341" customFormat="1">
      <c r="A28" s="1296" t="s">
        <v>18</v>
      </c>
      <c r="B28" s="1296">
        <v>62839</v>
      </c>
    </row>
    <row r="29" spans="1:6">
      <c r="A29" s="1296" t="s">
        <v>909</v>
      </c>
      <c r="B29" s="1296">
        <v>50</v>
      </c>
      <c r="C29" s="341"/>
      <c r="D29" s="341"/>
      <c r="E29" s="341"/>
      <c r="F29" s="341"/>
    </row>
    <row r="30" spans="1:6">
      <c r="A30" s="1291" t="s">
        <v>910</v>
      </c>
      <c r="B30" s="1291">
        <v>15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12232</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1519</v>
      </c>
      <c r="D39" s="335">
        <v>26079351</v>
      </c>
      <c r="E39" s="335">
        <v>3828</v>
      </c>
      <c r="F39" s="335">
        <v>16171394</v>
      </c>
    </row>
    <row r="40" spans="1:6">
      <c r="A40" s="1295" t="s">
        <v>30</v>
      </c>
      <c r="B40" s="1295" t="s">
        <v>29</v>
      </c>
      <c r="C40" s="335">
        <v>0</v>
      </c>
      <c r="D40" s="335">
        <v>0</v>
      </c>
      <c r="E40" s="335">
        <v>0</v>
      </c>
      <c r="F40" s="335">
        <v>0</v>
      </c>
    </row>
    <row r="41" spans="1:6">
      <c r="A41" s="1295" t="s">
        <v>32</v>
      </c>
      <c r="B41" s="1295" t="s">
        <v>33</v>
      </c>
      <c r="C41" s="335">
        <v>20</v>
      </c>
      <c r="D41" s="335">
        <v>16269806</v>
      </c>
      <c r="E41" s="335">
        <v>60</v>
      </c>
      <c r="F41" s="335">
        <v>12785259</v>
      </c>
    </row>
    <row r="42" spans="1:6">
      <c r="A42" s="1295" t="s">
        <v>32</v>
      </c>
      <c r="B42" s="1295" t="s">
        <v>34</v>
      </c>
      <c r="C42" s="335">
        <v>3</v>
      </c>
      <c r="D42" s="335">
        <v>2479686</v>
      </c>
      <c r="E42" s="335">
        <v>3</v>
      </c>
      <c r="F42" s="335">
        <v>1141776</v>
      </c>
    </row>
    <row r="43" spans="1:6">
      <c r="A43" s="1295" t="s">
        <v>32</v>
      </c>
      <c r="B43" s="1295" t="s">
        <v>35</v>
      </c>
      <c r="C43" s="335">
        <v>0</v>
      </c>
      <c r="D43" s="335">
        <v>0</v>
      </c>
      <c r="E43" s="335">
        <v>0</v>
      </c>
      <c r="F43" s="335">
        <v>0</v>
      </c>
    </row>
    <row r="44" spans="1:6">
      <c r="A44" s="1295" t="s">
        <v>32</v>
      </c>
      <c r="B44" s="1295" t="s">
        <v>36</v>
      </c>
      <c r="C44" s="335">
        <v>5</v>
      </c>
      <c r="D44" s="335">
        <v>174696</v>
      </c>
      <c r="E44" s="335">
        <v>13</v>
      </c>
      <c r="F44" s="335">
        <v>348308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60517</v>
      </c>
    </row>
    <row r="48" spans="1:6">
      <c r="A48" s="1295" t="s">
        <v>32</v>
      </c>
      <c r="B48" s="1295" t="s">
        <v>29</v>
      </c>
      <c r="C48" s="335">
        <v>2</v>
      </c>
      <c r="D48" s="335">
        <v>88157</v>
      </c>
      <c r="E48" s="335">
        <v>3</v>
      </c>
      <c r="F48" s="335">
        <v>107045</v>
      </c>
    </row>
    <row r="49" spans="1:6">
      <c r="A49" s="1295" t="s">
        <v>32</v>
      </c>
      <c r="B49" s="1295" t="s">
        <v>40</v>
      </c>
      <c r="C49" s="335">
        <v>0</v>
      </c>
      <c r="D49" s="335">
        <v>0</v>
      </c>
      <c r="E49" s="335">
        <v>0</v>
      </c>
      <c r="F49" s="335">
        <v>0</v>
      </c>
    </row>
    <row r="50" spans="1:6">
      <c r="A50" s="1295" t="s">
        <v>32</v>
      </c>
      <c r="B50" s="1295" t="s">
        <v>41</v>
      </c>
      <c r="C50" s="335">
        <v>4</v>
      </c>
      <c r="D50" s="335">
        <v>4262006</v>
      </c>
      <c r="E50" s="335">
        <v>5</v>
      </c>
      <c r="F50" s="335">
        <v>655028</v>
      </c>
    </row>
    <row r="51" spans="1:6">
      <c r="A51" s="1295" t="s">
        <v>42</v>
      </c>
      <c r="B51" s="1295" t="s">
        <v>43</v>
      </c>
      <c r="C51" s="335">
        <v>6</v>
      </c>
      <c r="D51" s="335">
        <v>187946</v>
      </c>
      <c r="E51" s="335">
        <v>57</v>
      </c>
      <c r="F51" s="335">
        <v>1302972</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59</v>
      </c>
      <c r="F54" s="335">
        <v>610589</v>
      </c>
    </row>
    <row r="55" spans="1:6">
      <c r="A55" s="1295" t="s">
        <v>46</v>
      </c>
      <c r="B55" s="1295" t="s">
        <v>29</v>
      </c>
      <c r="C55" s="335">
        <v>0</v>
      </c>
      <c r="D55" s="335">
        <v>0</v>
      </c>
      <c r="E55" s="335">
        <v>0</v>
      </c>
      <c r="F55" s="335">
        <v>0</v>
      </c>
    </row>
    <row r="56" spans="1:6">
      <c r="A56" s="1295" t="s">
        <v>48</v>
      </c>
      <c r="B56" s="1295" t="s">
        <v>29</v>
      </c>
      <c r="C56" s="335">
        <v>51</v>
      </c>
      <c r="D56" s="335">
        <v>2573742</v>
      </c>
      <c r="E56" s="335">
        <v>87</v>
      </c>
      <c r="F56" s="335">
        <v>542220</v>
      </c>
    </row>
    <row r="57" spans="1:6">
      <c r="A57" s="1295" t="s">
        <v>49</v>
      </c>
      <c r="B57" s="1295" t="s">
        <v>50</v>
      </c>
      <c r="C57" s="335">
        <v>15</v>
      </c>
      <c r="D57" s="335">
        <v>454507</v>
      </c>
      <c r="E57" s="335">
        <v>56</v>
      </c>
      <c r="F57" s="335">
        <v>2111908</v>
      </c>
    </row>
    <row r="58" spans="1:6">
      <c r="A58" s="1295" t="s">
        <v>49</v>
      </c>
      <c r="B58" s="1295" t="s">
        <v>51</v>
      </c>
      <c r="C58" s="335">
        <v>3</v>
      </c>
      <c r="D58" s="335">
        <v>1422706</v>
      </c>
      <c r="E58" s="335">
        <v>21</v>
      </c>
      <c r="F58" s="335">
        <v>733414</v>
      </c>
    </row>
    <row r="59" spans="1:6">
      <c r="A59" s="1295" t="s">
        <v>49</v>
      </c>
      <c r="B59" s="1295" t="s">
        <v>52</v>
      </c>
      <c r="C59" s="335">
        <v>31</v>
      </c>
      <c r="D59" s="335">
        <v>1910319</v>
      </c>
      <c r="E59" s="335">
        <v>114</v>
      </c>
      <c r="F59" s="335">
        <v>6482424</v>
      </c>
    </row>
    <row r="60" spans="1:6">
      <c r="A60" s="1295" t="s">
        <v>49</v>
      </c>
      <c r="B60" s="1295" t="s">
        <v>53</v>
      </c>
      <c r="C60" s="335">
        <v>10</v>
      </c>
      <c r="D60" s="335">
        <v>294847</v>
      </c>
      <c r="E60" s="335">
        <v>30</v>
      </c>
      <c r="F60" s="335">
        <v>570638</v>
      </c>
    </row>
    <row r="61" spans="1:6">
      <c r="A61" s="1295" t="s">
        <v>49</v>
      </c>
      <c r="B61" s="1295" t="s">
        <v>54</v>
      </c>
      <c r="C61" s="335">
        <v>29</v>
      </c>
      <c r="D61" s="335">
        <v>959489</v>
      </c>
      <c r="E61" s="335">
        <v>162</v>
      </c>
      <c r="F61" s="335">
        <v>2479167</v>
      </c>
    </row>
    <row r="62" spans="1:6">
      <c r="A62" s="1295" t="s">
        <v>49</v>
      </c>
      <c r="B62" s="1295" t="s">
        <v>55</v>
      </c>
      <c r="C62" s="335">
        <v>3</v>
      </c>
      <c r="D62" s="335">
        <v>217741</v>
      </c>
      <c r="E62" s="335">
        <v>3</v>
      </c>
      <c r="F62" s="335">
        <v>34124</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3</v>
      </c>
      <c r="D65" s="335">
        <v>111233</v>
      </c>
      <c r="E65" s="335">
        <v>1</v>
      </c>
      <c r="F65" s="335">
        <v>3486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59566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18579183</v>
      </c>
      <c r="E73" s="335">
        <v>19393437.352813635</v>
      </c>
    </row>
    <row r="74" spans="1:6">
      <c r="A74" s="1295" t="s">
        <v>64</v>
      </c>
      <c r="B74" s="1295" t="s">
        <v>727</v>
      </c>
      <c r="C74" s="1295" t="s">
        <v>728</v>
      </c>
      <c r="D74" s="335">
        <v>1010729.3171474733</v>
      </c>
      <c r="E74" s="335">
        <v>1096849.9405340147</v>
      </c>
    </row>
    <row r="75" spans="1:6">
      <c r="A75" s="1295" t="s">
        <v>65</v>
      </c>
      <c r="B75" s="1295" t="s">
        <v>725</v>
      </c>
      <c r="C75" s="1295" t="s">
        <v>729</v>
      </c>
      <c r="D75" s="335">
        <v>29198266</v>
      </c>
      <c r="E75" s="335">
        <v>30477901.079919267</v>
      </c>
    </row>
    <row r="76" spans="1:6">
      <c r="A76" s="1295" t="s">
        <v>65</v>
      </c>
      <c r="B76" s="1295" t="s">
        <v>727</v>
      </c>
      <c r="C76" s="1295" t="s">
        <v>730</v>
      </c>
      <c r="D76" s="335">
        <v>1011774.3171474733</v>
      </c>
      <c r="E76" s="335">
        <v>1100281.7165207949</v>
      </c>
    </row>
    <row r="77" spans="1:6">
      <c r="A77" s="1295" t="s">
        <v>66</v>
      </c>
      <c r="B77" s="1295" t="s">
        <v>725</v>
      </c>
      <c r="C77" s="1295" t="s">
        <v>731</v>
      </c>
      <c r="D77" s="335">
        <v>80908857</v>
      </c>
      <c r="E77" s="335">
        <v>94562391.606479362</v>
      </c>
    </row>
    <row r="78" spans="1:6">
      <c r="A78" s="1291" t="s">
        <v>66</v>
      </c>
      <c r="B78" s="1291" t="s">
        <v>727</v>
      </c>
      <c r="C78" s="1291" t="s">
        <v>732</v>
      </c>
      <c r="D78" s="1291">
        <v>8732534</v>
      </c>
      <c r="E78" s="1291">
        <v>11072137.168364426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374681.36570505338</v>
      </c>
      <c r="C83" s="335">
        <v>359745.14998691191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16929.421890000001</v>
      </c>
    </row>
    <row r="91" spans="1:6">
      <c r="A91" s="1295" t="s">
        <v>68</v>
      </c>
      <c r="B91" s="335">
        <v>2225.962</v>
      </c>
    </row>
    <row r="92" spans="1:6">
      <c r="A92" s="1291" t="s">
        <v>69</v>
      </c>
      <c r="B92" s="338">
        <v>1987.712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340</v>
      </c>
    </row>
    <row r="98" spans="1:6">
      <c r="A98" s="1295" t="s">
        <v>72</v>
      </c>
      <c r="B98" s="335">
        <v>1</v>
      </c>
    </row>
    <row r="99" spans="1:6">
      <c r="A99" s="1295" t="s">
        <v>73</v>
      </c>
      <c r="B99" s="335">
        <v>29</v>
      </c>
    </row>
    <row r="100" spans="1:6">
      <c r="A100" s="1295" t="s">
        <v>74</v>
      </c>
      <c r="B100" s="335">
        <v>159</v>
      </c>
    </row>
    <row r="101" spans="1:6">
      <c r="A101" s="1295" t="s">
        <v>75</v>
      </c>
      <c r="B101" s="335">
        <v>41</v>
      </c>
    </row>
    <row r="102" spans="1:6">
      <c r="A102" s="1295" t="s">
        <v>76</v>
      </c>
      <c r="B102" s="335">
        <v>44</v>
      </c>
    </row>
    <row r="103" spans="1:6">
      <c r="A103" s="1295" t="s">
        <v>77</v>
      </c>
      <c r="B103" s="335">
        <v>75</v>
      </c>
    </row>
    <row r="104" spans="1:6">
      <c r="A104" s="1295" t="s">
        <v>78</v>
      </c>
      <c r="B104" s="335">
        <v>2517</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6</v>
      </c>
      <c r="C123" s="335">
        <v>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57</v>
      </c>
    </row>
    <row r="130" spans="1:6">
      <c r="A130" s="1295" t="s">
        <v>295</v>
      </c>
      <c r="B130" s="335">
        <v>0</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48369.771780102936</v>
      </c>
      <c r="C3" s="43" t="s">
        <v>170</v>
      </c>
      <c r="D3" s="43"/>
      <c r="E3" s="156"/>
      <c r="F3" s="43"/>
      <c r="G3" s="43"/>
      <c r="H3" s="43"/>
      <c r="I3" s="43"/>
      <c r="J3" s="43"/>
      <c r="K3" s="96"/>
    </row>
    <row r="4" spans="1:11">
      <c r="A4" s="366" t="s">
        <v>171</v>
      </c>
      <c r="B4" s="49">
        <f>IF(ISERROR('SEAP template'!B78+'SEAP template'!C78),0,'SEAP template'!B78+'SEAP template'!C78)</f>
        <v>21143.095890000001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0.12439784498193354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0.12439784498193354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75.955955769673821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16171.394</v>
      </c>
      <c r="C5" s="17">
        <f>IF(ISERROR('Eigen informatie GS &amp; warmtenet'!B57),0,'Eigen informatie GS &amp; warmtenet'!B57)</f>
        <v>0</v>
      </c>
      <c r="D5" s="30">
        <f>(SUM(HH_hh_gas_kWh,HH_rest_gas_kWh)/1000)*0.902</f>
        <v>23523.574602000001</v>
      </c>
      <c r="E5" s="17">
        <f>B46*B57</f>
        <v>2272.3014858740248</v>
      </c>
      <c r="F5" s="17">
        <f>B51*B62</f>
        <v>36815.167590687925</v>
      </c>
      <c r="G5" s="18"/>
      <c r="H5" s="17"/>
      <c r="I5" s="17"/>
      <c r="J5" s="17">
        <f>B50*B61+C50*C61</f>
        <v>0</v>
      </c>
      <c r="K5" s="17"/>
      <c r="L5" s="17"/>
      <c r="M5" s="17"/>
      <c r="N5" s="17">
        <f>B48*B59+C48*C59</f>
        <v>12043.669753475227</v>
      </c>
      <c r="O5" s="17">
        <f>B69*B70*B71</f>
        <v>101.61666666666667</v>
      </c>
      <c r="P5" s="17">
        <f>B77*B78*B79/1000-B77*B78*B79/1000/B80</f>
        <v>266.93333333333334</v>
      </c>
    </row>
    <row r="6" spans="1:16">
      <c r="A6" s="16" t="s">
        <v>634</v>
      </c>
      <c r="B6" s="783">
        <f>kWh_PV_kleiner_dan_10kW</f>
        <v>2225.962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18397.356</v>
      </c>
      <c r="C8" s="21">
        <f>C5</f>
        <v>0</v>
      </c>
      <c r="D8" s="21">
        <f>D5</f>
        <v>23523.574602000001</v>
      </c>
      <c r="E8" s="21">
        <f>E5</f>
        <v>2272.3014858740248</v>
      </c>
      <c r="F8" s="21">
        <f>F5</f>
        <v>36815.167590687925</v>
      </c>
      <c r="G8" s="21"/>
      <c r="H8" s="21"/>
      <c r="I8" s="21"/>
      <c r="J8" s="21">
        <f>J5</f>
        <v>0</v>
      </c>
      <c r="K8" s="21"/>
      <c r="L8" s="21">
        <f>L5</f>
        <v>0</v>
      </c>
      <c r="M8" s="21">
        <f>M5</f>
        <v>0</v>
      </c>
      <c r="N8" s="21">
        <f>N5</f>
        <v>12043.669753475227</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0.12439784498193354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2288.5914397654451</v>
      </c>
      <c r="C12" s="23">
        <f ca="1">C10*C8</f>
        <v>0</v>
      </c>
      <c r="D12" s="23">
        <f>D8*D10</f>
        <v>4751.7620696040003</v>
      </c>
      <c r="E12" s="23">
        <f>E10*E8</f>
        <v>515.8124372934036</v>
      </c>
      <c r="F12" s="23">
        <f>F10*F8</f>
        <v>9829.649746713676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v>
      </c>
      <c r="C18" s="168" t="s">
        <v>111</v>
      </c>
      <c r="D18" s="230"/>
      <c r="E18" s="15"/>
    </row>
    <row r="19" spans="1:7">
      <c r="A19" s="173" t="s">
        <v>72</v>
      </c>
      <c r="B19" s="37">
        <f>aantalw2001_ander</f>
        <v>1</v>
      </c>
      <c r="C19" s="168" t="s">
        <v>111</v>
      </c>
      <c r="D19" s="231"/>
      <c r="E19" s="15"/>
    </row>
    <row r="20" spans="1:7">
      <c r="A20" s="173" t="s">
        <v>73</v>
      </c>
      <c r="B20" s="37">
        <f>aantalw2001_propaan</f>
        <v>29</v>
      </c>
      <c r="C20" s="169">
        <f>IF(ISERROR(B20/SUM($B$20,$B$21,$B$22)*100),0,B20/SUM($B$20,$B$21,$B$22)*100)</f>
        <v>12.663755458515283</v>
      </c>
      <c r="D20" s="231"/>
      <c r="E20" s="15"/>
    </row>
    <row r="21" spans="1:7">
      <c r="A21" s="173" t="s">
        <v>74</v>
      </c>
      <c r="B21" s="37">
        <f>aantalw2001_elektriciteit</f>
        <v>159</v>
      </c>
      <c r="C21" s="169">
        <f>IF(ISERROR(B21/SUM($B$20,$B$21,$B$22)*100),0,B21/SUM($B$20,$B$21,$B$22)*100)</f>
        <v>69.432314410480345</v>
      </c>
      <c r="D21" s="231"/>
      <c r="E21" s="15"/>
    </row>
    <row r="22" spans="1:7">
      <c r="A22" s="173" t="s">
        <v>75</v>
      </c>
      <c r="B22" s="37">
        <f>aantalw2001_hout</f>
        <v>41</v>
      </c>
      <c r="C22" s="169">
        <f>IF(ISERROR(B22/SUM($B$20,$B$21,$B$22)*100),0,B22/SUM($B$20,$B$21,$B$22)*100)</f>
        <v>17.903930131004365</v>
      </c>
      <c r="D22" s="231"/>
      <c r="E22" s="15"/>
    </row>
    <row r="23" spans="1:7">
      <c r="A23" s="173" t="s">
        <v>76</v>
      </c>
      <c r="B23" s="37">
        <f>aantalw2001_niet_gespec</f>
        <v>44</v>
      </c>
      <c r="C23" s="168" t="s">
        <v>111</v>
      </c>
      <c r="D23" s="230"/>
      <c r="E23" s="15"/>
    </row>
    <row r="24" spans="1:7">
      <c r="A24" s="173" t="s">
        <v>77</v>
      </c>
      <c r="B24" s="37">
        <f>aantalw2001_steenkool</f>
        <v>75</v>
      </c>
      <c r="C24" s="168" t="s">
        <v>111</v>
      </c>
      <c r="D24" s="231"/>
      <c r="E24" s="15"/>
    </row>
    <row r="25" spans="1:7">
      <c r="A25" s="173" t="s">
        <v>78</v>
      </c>
      <c r="B25" s="37">
        <f>aantalw2001_stookolie</f>
        <v>2517</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3850</v>
      </c>
      <c r="C28" s="36"/>
      <c r="D28" s="230"/>
    </row>
    <row r="29" spans="1:7" s="15" customFormat="1">
      <c r="A29" s="232" t="s">
        <v>746</v>
      </c>
      <c r="B29" s="37">
        <f>SUM(HH_hh_gas_aantal,HH_rest_gas_aantal)</f>
        <v>1519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1519</v>
      </c>
      <c r="C32" s="169">
        <f>IF(ISERROR(B32/SUM($B$32,$B$34,$B$35,$B$36,$B$38,$B$39)*100),0,B32/SUM($B$32,$B$34,$B$35,$B$36,$B$38,$B$39)*100)</f>
        <v>39.598540145985403</v>
      </c>
      <c r="D32" s="235"/>
      <c r="G32" s="15"/>
    </row>
    <row r="33" spans="1:7">
      <c r="A33" s="173" t="s">
        <v>72</v>
      </c>
      <c r="B33" s="34" t="s">
        <v>111</v>
      </c>
      <c r="C33" s="169"/>
      <c r="D33" s="235"/>
      <c r="G33" s="15"/>
    </row>
    <row r="34" spans="1:7">
      <c r="A34" s="173" t="s">
        <v>73</v>
      </c>
      <c r="B34" s="33">
        <f>IF((($B$28-$B$32-$B$39-$B$77-$B$38)*C20/100)&lt;0,0,($B$28-$B$32-$B$39-$B$77-$B$38)*C20/100)</f>
        <v>109.04759825327511</v>
      </c>
      <c r="C34" s="169">
        <f>IF(ISERROR(B34/SUM($B$32,$B$34,$B$35,$B$36,$B$38,$B$39)*100),0,B34/SUM($B$32,$B$34,$B$35,$B$36,$B$38,$B$39)*100)</f>
        <v>2.8427423945066503</v>
      </c>
      <c r="D34" s="235"/>
      <c r="G34" s="15"/>
    </row>
    <row r="35" spans="1:7">
      <c r="A35" s="173" t="s">
        <v>74</v>
      </c>
      <c r="B35" s="33">
        <f>IF((($B$28-$B$32-$B$39-$B$77-$B$38)*C21/100)&lt;0,0,($B$28-$B$32-$B$39-$B$77-$B$38)*C21/100)</f>
        <v>597.88165938864631</v>
      </c>
      <c r="C35" s="169">
        <f>IF(ISERROR(B35/SUM($B$32,$B$34,$B$35,$B$36,$B$38,$B$39)*100),0,B35/SUM($B$32,$B$34,$B$35,$B$36,$B$38,$B$39)*100)</f>
        <v>15.586070369881291</v>
      </c>
      <c r="D35" s="235"/>
      <c r="G35" s="15"/>
    </row>
    <row r="36" spans="1:7">
      <c r="A36" s="173" t="s">
        <v>75</v>
      </c>
      <c r="B36" s="33">
        <f>IF((($B$28-$B$32-$B$39-$B$77-$B$38)*C22/100)&lt;0,0,($B$28-$B$32-$B$39-$B$77-$B$38)*C22/100)</f>
        <v>154.17074235807863</v>
      </c>
      <c r="C36" s="169">
        <f>IF(ISERROR(B36/SUM($B$32,$B$34,$B$35,$B$36,$B$38,$B$39)*100),0,B36/SUM($B$32,$B$34,$B$35,$B$36,$B$38,$B$39)*100)</f>
        <v>4.0190495922335412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1455.8999999999999</v>
      </c>
      <c r="C39" s="169">
        <f>IF(ISERROR(B39/SUM($B$32,$B$34,$B$35,$B$36,$B$38,$B$39)*100),0,B39/SUM($B$32,$B$34,$B$35,$B$36,$B$38,$B$39)*100)</f>
        <v>37.953597497393119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1519</v>
      </c>
      <c r="C44" s="34" t="s">
        <v>111</v>
      </c>
      <c r="D44" s="176"/>
    </row>
    <row r="45" spans="1:7">
      <c r="A45" s="173" t="s">
        <v>72</v>
      </c>
      <c r="B45" s="33" t="str">
        <f t="shared" si="0"/>
        <v>-</v>
      </c>
      <c r="C45" s="34" t="s">
        <v>111</v>
      </c>
      <c r="D45" s="176"/>
    </row>
    <row r="46" spans="1:7">
      <c r="A46" s="173" t="s">
        <v>73</v>
      </c>
      <c r="B46" s="33">
        <f t="shared" si="0"/>
        <v>109.04759825327511</v>
      </c>
      <c r="C46" s="34" t="s">
        <v>111</v>
      </c>
      <c r="D46" s="176"/>
    </row>
    <row r="47" spans="1:7">
      <c r="A47" s="173" t="s">
        <v>74</v>
      </c>
      <c r="B47" s="33">
        <f t="shared" si="0"/>
        <v>597.88165938864631</v>
      </c>
      <c r="C47" s="34" t="s">
        <v>111</v>
      </c>
      <c r="D47" s="176"/>
    </row>
    <row r="48" spans="1:7">
      <c r="A48" s="173" t="s">
        <v>75</v>
      </c>
      <c r="B48" s="33">
        <f t="shared" si="0"/>
        <v>154.17074235807863</v>
      </c>
      <c r="C48" s="33">
        <f>B48*10</f>
        <v>1541.7074235807863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1455.8999999999999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12411.674999999999</v>
      </c>
      <c r="C5" s="17">
        <f>IF(ISERROR('Eigen informatie GS &amp; warmtenet'!B58),0,'Eigen informatie GS &amp; warmtenet'!B58)</f>
        <v>0</v>
      </c>
      <c r="D5" s="30">
        <f>SUM(D6:D12)</f>
        <v>4744.1673180000007</v>
      </c>
      <c r="E5" s="17">
        <f>SUM(E6:E12)</f>
        <v>145.73747667593452</v>
      </c>
      <c r="F5" s="17">
        <f>SUM(F6:F12)</f>
        <v>2432.3791249168958</v>
      </c>
      <c r="G5" s="18"/>
      <c r="H5" s="17"/>
      <c r="I5" s="17"/>
      <c r="J5" s="17">
        <f>SUM(J6:J12)</f>
        <v>0</v>
      </c>
      <c r="K5" s="17"/>
      <c r="L5" s="17"/>
      <c r="M5" s="17"/>
      <c r="N5" s="17">
        <f>SUM(N6:N12)</f>
        <v>1498.5233874654775</v>
      </c>
      <c r="O5" s="17">
        <f>B38*B39*B40</f>
        <v>0</v>
      </c>
      <c r="P5" s="17">
        <f>B46*B47*B48/1000-B46*B47*B48/1000/B49</f>
        <v>19.066666666666666</v>
      </c>
      <c r="R5" s="32"/>
    </row>
    <row r="6" spans="1:18">
      <c r="A6" s="32" t="s">
        <v>54</v>
      </c>
      <c r="B6" s="37">
        <f>B26</f>
        <v>2479.1669999999999</v>
      </c>
      <c r="C6" s="33"/>
      <c r="D6" s="37">
        <f>IF(ISERROR(TER_kantoor_gas_kWh/1000),0,TER_kantoor_gas_kWh/1000)*0.902</f>
        <v>865.45907800000009</v>
      </c>
      <c r="E6" s="33">
        <f>$C$26*'E Balans VL '!I12/100/3.6*1000000</f>
        <v>9.632088665235381</v>
      </c>
      <c r="F6" s="33">
        <f>$C$26*('E Balans VL '!L12+'E Balans VL '!N12)/100/3.6*1000000</f>
        <v>377.05874207882931</v>
      </c>
      <c r="G6" s="34"/>
      <c r="H6" s="33"/>
      <c r="I6" s="33"/>
      <c r="J6" s="33">
        <f>$C$26*('E Balans VL '!D12+'E Balans VL '!E12)/100/3.6*1000000</f>
        <v>0</v>
      </c>
      <c r="K6" s="33"/>
      <c r="L6" s="33"/>
      <c r="M6" s="33"/>
      <c r="N6" s="33">
        <f>$C$26*'E Balans VL '!Y12/100/3.6*1000000</f>
        <v>1.3663180138924744</v>
      </c>
      <c r="O6" s="33"/>
      <c r="P6" s="33"/>
      <c r="R6" s="32"/>
    </row>
    <row r="7" spans="1:18">
      <c r="A7" s="32" t="s">
        <v>53</v>
      </c>
      <c r="B7" s="37">
        <f t="shared" ref="B7:B12" si="0">B27</f>
        <v>570.63800000000003</v>
      </c>
      <c r="C7" s="33"/>
      <c r="D7" s="37">
        <f>IF(ISERROR(TER_horeca_gas_kWh/1000),0,TER_horeca_gas_kWh/1000)*0.902</f>
        <v>265.95199400000001</v>
      </c>
      <c r="E7" s="33">
        <f>$C$27*'E Balans VL '!I9/100/3.6*1000000</f>
        <v>32.144191103324125</v>
      </c>
      <c r="F7" s="33">
        <f>$C$27*('E Balans VL '!L9+'E Balans VL '!N9)/100/3.6*1000000</f>
        <v>164.53783580035156</v>
      </c>
      <c r="G7" s="34"/>
      <c r="H7" s="33"/>
      <c r="I7" s="33"/>
      <c r="J7" s="33">
        <f>$C$27*('E Balans VL '!D9+'E Balans VL '!E9)/100/3.6*1000000</f>
        <v>0</v>
      </c>
      <c r="K7" s="33"/>
      <c r="L7" s="33"/>
      <c r="M7" s="33"/>
      <c r="N7" s="33">
        <f>$C$27*'E Balans VL '!Y9/100/3.6*1000000</f>
        <v>0.15755018648595473</v>
      </c>
      <c r="O7" s="33"/>
      <c r="P7" s="33"/>
      <c r="R7" s="32"/>
    </row>
    <row r="8" spans="1:18">
      <c r="A8" s="6" t="s">
        <v>52</v>
      </c>
      <c r="B8" s="37">
        <f t="shared" si="0"/>
        <v>6482.424</v>
      </c>
      <c r="C8" s="33"/>
      <c r="D8" s="37">
        <f>IF(ISERROR(TER_handel_gas_kWh/1000),0,TER_handel_gas_kWh/1000)*0.902</f>
        <v>1723.1077379999999</v>
      </c>
      <c r="E8" s="33">
        <f>$C$28*'E Balans VL '!I13/100/3.6*1000000</f>
        <v>93.4337225168956</v>
      </c>
      <c r="F8" s="33">
        <f>$C$28*('E Balans VL '!L13+'E Balans VL '!N13)/100/3.6*1000000</f>
        <v>1126.1480142679836</v>
      </c>
      <c r="G8" s="34"/>
      <c r="H8" s="33"/>
      <c r="I8" s="33"/>
      <c r="J8" s="33">
        <f>$C$28*('E Balans VL '!D13+'E Balans VL '!E13)/100/3.6*1000000</f>
        <v>0</v>
      </c>
      <c r="K8" s="33"/>
      <c r="L8" s="33"/>
      <c r="M8" s="33"/>
      <c r="N8" s="33">
        <f>$C$28*'E Balans VL '!Y13/100/3.6*1000000</f>
        <v>19.422063942305538</v>
      </c>
      <c r="O8" s="33"/>
      <c r="P8" s="33"/>
      <c r="R8" s="32"/>
    </row>
    <row r="9" spans="1:18">
      <c r="A9" s="32" t="s">
        <v>51</v>
      </c>
      <c r="B9" s="37">
        <f t="shared" si="0"/>
        <v>733.41399999999999</v>
      </c>
      <c r="C9" s="33"/>
      <c r="D9" s="37">
        <f>IF(ISERROR(TER_gezond_gas_kWh/1000),0,TER_gezond_gas_kWh/1000)*0.902</f>
        <v>1283.280812</v>
      </c>
      <c r="E9" s="33">
        <f>$C$29*'E Balans VL '!I10/100/3.6*1000000</f>
        <v>0.78347624592782161</v>
      </c>
      <c r="F9" s="33">
        <f>$C$29*('E Balans VL '!L10+'E Balans VL '!N10)/100/3.6*1000000</f>
        <v>119.64211268787085</v>
      </c>
      <c r="G9" s="34"/>
      <c r="H9" s="33"/>
      <c r="I9" s="33"/>
      <c r="J9" s="33">
        <f>$C$29*('E Balans VL '!D10+'E Balans VL '!E10)/100/3.6*1000000</f>
        <v>0</v>
      </c>
      <c r="K9" s="33"/>
      <c r="L9" s="33"/>
      <c r="M9" s="33"/>
      <c r="N9" s="33">
        <f>$C$29*'E Balans VL '!Y10/100/3.6*1000000</f>
        <v>7.5500786523203578</v>
      </c>
      <c r="O9" s="33"/>
      <c r="P9" s="33"/>
      <c r="R9" s="32"/>
    </row>
    <row r="10" spans="1:18">
      <c r="A10" s="32" t="s">
        <v>50</v>
      </c>
      <c r="B10" s="37">
        <f t="shared" si="0"/>
        <v>2111.9079999999999</v>
      </c>
      <c r="C10" s="33"/>
      <c r="D10" s="37">
        <f>IF(ISERROR(TER_ander_gas_kWh/1000),0,TER_ander_gas_kWh/1000)*0.902</f>
        <v>409.96531400000003</v>
      </c>
      <c r="E10" s="33">
        <f>$C$30*'E Balans VL '!I14/100/3.6*1000000</f>
        <v>9.7123436469460103</v>
      </c>
      <c r="F10" s="33">
        <f>$C$30*('E Balans VL '!L14+'E Balans VL '!N14)/100/3.6*1000000</f>
        <v>633.00544316561354</v>
      </c>
      <c r="G10" s="34"/>
      <c r="H10" s="33"/>
      <c r="I10" s="33"/>
      <c r="J10" s="33">
        <f>$C$30*('E Balans VL '!D14+'E Balans VL '!E14)/100/3.6*1000000</f>
        <v>0</v>
      </c>
      <c r="K10" s="33"/>
      <c r="L10" s="33"/>
      <c r="M10" s="33"/>
      <c r="N10" s="33">
        <f>$C$30*'E Balans VL '!Y14/100/3.6*1000000</f>
        <v>1470.0273766704731</v>
      </c>
      <c r="O10" s="33"/>
      <c r="P10" s="33"/>
      <c r="R10" s="32"/>
    </row>
    <row r="11" spans="1:18">
      <c r="A11" s="32" t="s">
        <v>55</v>
      </c>
      <c r="B11" s="37">
        <f t="shared" si="0"/>
        <v>34.124000000000002</v>
      </c>
      <c r="C11" s="33"/>
      <c r="D11" s="37">
        <f>IF(ISERROR(TER_onderwijs_gas_kWh/1000),0,TER_onderwijs_gas_kWh/1000)*0.902</f>
        <v>196.40238200000002</v>
      </c>
      <c r="E11" s="33">
        <f>$C$31*'E Balans VL '!I11/100/3.6*1000000</f>
        <v>3.1654497605548101E-2</v>
      </c>
      <c r="F11" s="33">
        <f>$C$31*('E Balans VL '!L11+'E Balans VL '!N11)/100/3.6*1000000</f>
        <v>11.986976916247032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12411.674999999999</v>
      </c>
      <c r="C16" s="21">
        <f t="shared" ca="1" si="1"/>
        <v>0</v>
      </c>
      <c r="D16" s="21">
        <f t="shared" ca="1" si="1"/>
        <v>4744.1673180000007</v>
      </c>
      <c r="E16" s="21">
        <f t="shared" si="1"/>
        <v>145.73747667593452</v>
      </c>
      <c r="F16" s="21">
        <f t="shared" ca="1" si="1"/>
        <v>2432.3791249168958</v>
      </c>
      <c r="G16" s="21">
        <f t="shared" si="1"/>
        <v>0</v>
      </c>
      <c r="H16" s="21">
        <f t="shared" si="1"/>
        <v>0</v>
      </c>
      <c r="I16" s="21">
        <f t="shared" si="1"/>
        <v>0</v>
      </c>
      <c r="J16" s="21">
        <f t="shared" si="1"/>
        <v>0</v>
      </c>
      <c r="K16" s="21">
        <f t="shared" si="1"/>
        <v>0</v>
      </c>
      <c r="L16" s="21">
        <f t="shared" ca="1" si="1"/>
        <v>0</v>
      </c>
      <c r="M16" s="21">
        <f t="shared" si="1"/>
        <v>0</v>
      </c>
      <c r="N16" s="21">
        <f t="shared" ca="1" si="1"/>
        <v>1498.5233874654775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0.12439784498193354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1543.9856226161398</v>
      </c>
      <c r="C20" s="23">
        <f t="shared" ref="C20:P20" ca="1" si="2">C16*C18</f>
        <v>0</v>
      </c>
      <c r="D20" s="23">
        <f t="shared" ca="1" si="2"/>
        <v>958.32179823600018</v>
      </c>
      <c r="E20" s="23">
        <f t="shared" si="2"/>
        <v>33.082407205437136</v>
      </c>
      <c r="F20" s="23">
        <f t="shared" ca="1" si="2"/>
        <v>649.44522635281123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2479.1669999999999</v>
      </c>
      <c r="C26" s="39">
        <f>IF(ISERROR(B26*3.6/1000000/'E Balans VL '!Z12*100),0,B26*3.6/1000000/'E Balans VL '!Z12*100)</f>
        <v>5.2658735099691427E-2</v>
      </c>
      <c r="D26" s="239" t="s">
        <v>692</v>
      </c>
      <c r="F26" s="6"/>
    </row>
    <row r="27" spans="1:18">
      <c r="A27" s="233" t="s">
        <v>53</v>
      </c>
      <c r="B27" s="33">
        <f>IF(ISERROR(TER_horeca_ele_kWh/1000),0,TER_horeca_ele_kWh/1000)</f>
        <v>570.63800000000003</v>
      </c>
      <c r="C27" s="39">
        <f>IF(ISERROR(B27*3.6/1000000/'E Balans VL '!Z9*100),0,B27*3.6/1000000/'E Balans VL '!Z9*100)</f>
        <v>4.4370579730098551E-2</v>
      </c>
      <c r="D27" s="239" t="s">
        <v>692</v>
      </c>
      <c r="F27" s="6"/>
    </row>
    <row r="28" spans="1:18">
      <c r="A28" s="173" t="s">
        <v>52</v>
      </c>
      <c r="B28" s="33">
        <f>IF(ISERROR(TER_handel_ele_kWh/1000),0,TER_handel_ele_kWh/1000)</f>
        <v>6482.424</v>
      </c>
      <c r="C28" s="39">
        <f>IF(ISERROR(B28*3.6/1000000/'E Balans VL '!Z13*100),0,B28*3.6/1000000/'E Balans VL '!Z13*100)</f>
        <v>0.18546977968987538</v>
      </c>
      <c r="D28" s="239" t="s">
        <v>692</v>
      </c>
      <c r="F28" s="6"/>
    </row>
    <row r="29" spans="1:18">
      <c r="A29" s="233" t="s">
        <v>51</v>
      </c>
      <c r="B29" s="33">
        <f>IF(ISERROR(TER_gezond_ele_kWh/1000),0,TER_gezond_ele_kWh/1000)</f>
        <v>733.41399999999999</v>
      </c>
      <c r="C29" s="39">
        <f>IF(ISERROR(B29*3.6/1000000/'E Balans VL '!Z10*100),0,B29*3.6/1000000/'E Balans VL '!Z10*100)</f>
        <v>7.9959168497422156E-2</v>
      </c>
      <c r="D29" s="239" t="s">
        <v>692</v>
      </c>
      <c r="F29" s="6"/>
    </row>
    <row r="30" spans="1:18">
      <c r="A30" s="233" t="s">
        <v>50</v>
      </c>
      <c r="B30" s="33">
        <f>IF(ISERROR(TER_ander_ele_kWh/1000),0,TER_ander_ele_kWh/1000)</f>
        <v>2111.9079999999999</v>
      </c>
      <c r="C30" s="39">
        <f>IF(ISERROR(B30*3.6/1000000/'E Balans VL '!Z14*100),0,B30*3.6/1000000/'E Balans VL '!Z14*100)</f>
        <v>0.15454463669026886</v>
      </c>
      <c r="D30" s="239" t="s">
        <v>692</v>
      </c>
      <c r="F30" s="6"/>
    </row>
    <row r="31" spans="1:18">
      <c r="A31" s="233" t="s">
        <v>55</v>
      </c>
      <c r="B31" s="33">
        <f>IF(ISERROR(TER_onderwijs_ele_kWh/1000),0,TER_onderwijs_ele_kWh/1000)</f>
        <v>34.124000000000002</v>
      </c>
      <c r="C31" s="39">
        <f>IF(ISERROR(B31*3.6/1000000/'E Balans VL '!Z11*100),0,B31*3.6/1000000/'E Balans VL '!Z11*100)</f>
        <v>6.8538307397836579E-3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15097.932999999999</v>
      </c>
      <c r="C5" s="17">
        <f>IF(ISERROR('Eigen informatie GS &amp; warmtenet'!B59),0,'Eigen informatie GS &amp; warmtenet'!B59)</f>
        <v>0</v>
      </c>
      <c r="D5" s="30">
        <f>SUM(D6:D15)</f>
        <v>20993.464602</v>
      </c>
      <c r="E5" s="17">
        <f>SUM(E6:E15)</f>
        <v>3536.0888745669272</v>
      </c>
      <c r="F5" s="17">
        <f>SUM(F6:F15)</f>
        <v>9633.6347784945538</v>
      </c>
      <c r="G5" s="18"/>
      <c r="H5" s="17"/>
      <c r="I5" s="17"/>
      <c r="J5" s="17">
        <f>SUM(J6:J15)</f>
        <v>0.28302829199899382</v>
      </c>
      <c r="K5" s="17"/>
      <c r="L5" s="17"/>
      <c r="M5" s="17"/>
      <c r="N5" s="17">
        <f>SUM(N6:N15)</f>
        <v>4554.1312138577132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348.30799999999999</v>
      </c>
      <c r="C8" s="33"/>
      <c r="D8" s="37">
        <f>IF( ISERROR(IND_metaal_Gas_kWH/1000),0,IND_metaal_Gas_kWH/1000)*0.902</f>
        <v>157.57579200000001</v>
      </c>
      <c r="E8" s="33">
        <f>C30*'E Balans VL '!I18/100/3.6*1000000</f>
        <v>10.004713147843544</v>
      </c>
      <c r="F8" s="33">
        <f>C30*'E Balans VL '!L18/100/3.6*1000000+C30*'E Balans VL '!N18/100/3.6*1000000</f>
        <v>89.334303074448798</v>
      </c>
      <c r="G8" s="34"/>
      <c r="H8" s="33"/>
      <c r="I8" s="33"/>
      <c r="J8" s="40">
        <f>C30*'E Balans VL '!D18/100/3.6*1000000+C30*'E Balans VL '!E18/100/3.6*1000000</f>
        <v>0</v>
      </c>
      <c r="K8" s="33"/>
      <c r="L8" s="33"/>
      <c r="M8" s="33"/>
      <c r="N8" s="33">
        <f>C30*'E Balans VL '!Y18/100/3.6*1000000</f>
        <v>9.457273197360486</v>
      </c>
      <c r="O8" s="33"/>
      <c r="P8" s="33"/>
      <c r="R8" s="32"/>
    </row>
    <row r="9" spans="1:18">
      <c r="A9" s="6" t="s">
        <v>33</v>
      </c>
      <c r="B9" s="37">
        <f t="shared" si="0"/>
        <v>12785.259</v>
      </c>
      <c r="C9" s="33"/>
      <c r="D9" s="37">
        <f>IF( ISERROR(IND_andere_gas_kWh/1000),0,IND_andere_gas_kWh/1000)*0.902</f>
        <v>14675.365012</v>
      </c>
      <c r="E9" s="33">
        <f>C31*'E Balans VL '!I19/100/3.6*1000000</f>
        <v>3460.6552596198571</v>
      </c>
      <c r="F9" s="33">
        <f>C31*'E Balans VL '!L19/100/3.6*1000000+C31*'E Balans VL '!N19/100/3.6*1000000</f>
        <v>8516.3354570229822</v>
      </c>
      <c r="G9" s="34"/>
      <c r="H9" s="33"/>
      <c r="I9" s="33"/>
      <c r="J9" s="40">
        <f>C31*'E Balans VL '!D19/100/3.6*1000000+C31*'E Balans VL '!E19/100/3.6*1000000</f>
        <v>0</v>
      </c>
      <c r="K9" s="33"/>
      <c r="L9" s="33"/>
      <c r="M9" s="33"/>
      <c r="N9" s="33">
        <f>C31*'E Balans VL '!Y19/100/3.6*1000000</f>
        <v>4174.1746821658298</v>
      </c>
      <c r="O9" s="33"/>
      <c r="P9" s="33"/>
      <c r="R9" s="32"/>
    </row>
    <row r="10" spans="1:18">
      <c r="A10" s="6" t="s">
        <v>41</v>
      </c>
      <c r="B10" s="37">
        <f t="shared" si="0"/>
        <v>655.02800000000002</v>
      </c>
      <c r="C10" s="33"/>
      <c r="D10" s="37">
        <f>IF( ISERROR(IND_voed_gas_kWh/1000),0,IND_voed_gas_kWh/1000)*0.902</f>
        <v>3844.3294120000005</v>
      </c>
      <c r="E10" s="33">
        <f>C32*'E Balans VL '!I20/100/3.6*1000000</f>
        <v>53.425588567670779</v>
      </c>
      <c r="F10" s="33">
        <f>C32*'E Balans VL '!L20/100/3.6*1000000+C32*'E Balans VL '!N20/100/3.6*1000000</f>
        <v>976.7061773474361</v>
      </c>
      <c r="G10" s="34"/>
      <c r="H10" s="33"/>
      <c r="I10" s="33"/>
      <c r="J10" s="40">
        <f>C32*'E Balans VL '!D20/100/3.6*1000000+C32*'E Balans VL '!E20/100/3.6*1000000</f>
        <v>8.6652253426707931E-3</v>
      </c>
      <c r="K10" s="33"/>
      <c r="L10" s="33"/>
      <c r="M10" s="33"/>
      <c r="N10" s="33">
        <f>C32*'E Balans VL '!Y20/100/3.6*1000000</f>
        <v>192.4241129541534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60.517000000000003</v>
      </c>
      <c r="C13" s="33"/>
      <c r="D13" s="37">
        <f>IF( ISERROR(IND_papier_gas_kWh/1000),0,IND_papier_gas_kWh/1000)*0.902</f>
        <v>0</v>
      </c>
      <c r="E13" s="33">
        <f>C35*'E Balans VL '!I23/100/3.6*1000000</f>
        <v>0.63402582351924275</v>
      </c>
      <c r="F13" s="33">
        <f>C35*'E Balans VL '!L23/100/3.6*1000000+C35*'E Balans VL '!N23/100/3.6*1000000</f>
        <v>4.5157892663981807</v>
      </c>
      <c r="G13" s="34"/>
      <c r="H13" s="33"/>
      <c r="I13" s="33"/>
      <c r="J13" s="40">
        <f>C35*'E Balans VL '!D23/100/3.6*1000000+C35*'E Balans VL '!E23/100/3.6*1000000</f>
        <v>0</v>
      </c>
      <c r="K13" s="33"/>
      <c r="L13" s="33"/>
      <c r="M13" s="33"/>
      <c r="N13" s="33">
        <f>C35*'E Balans VL '!Y23/100/3.6*1000000</f>
        <v>129.34877092746245</v>
      </c>
      <c r="O13" s="33"/>
      <c r="P13" s="33"/>
      <c r="R13" s="32"/>
    </row>
    <row r="14" spans="1:18">
      <c r="A14" s="6" t="s">
        <v>34</v>
      </c>
      <c r="B14" s="37">
        <f t="shared" si="0"/>
        <v>1141.7760000000001</v>
      </c>
      <c r="C14" s="33"/>
      <c r="D14" s="37">
        <f>IF( ISERROR(IND_chemie_gas_kWh/1000),0,IND_chemie_gas_kWh/1000)*0.902</f>
        <v>2236.6767720000003</v>
      </c>
      <c r="E14" s="33">
        <f>C36*'E Balans VL '!I24/100/3.6*1000000</f>
        <v>5.397443275518925</v>
      </c>
      <c r="F14" s="33">
        <f>C36*'E Balans VL '!L24/100/3.6*1000000+C36*'E Balans VL '!N24/100/3.6*1000000</f>
        <v>21.578953539110422</v>
      </c>
      <c r="G14" s="34"/>
      <c r="H14" s="33"/>
      <c r="I14" s="33"/>
      <c r="J14" s="40">
        <f>C36*'E Balans VL '!D24/100/3.6*1000000+C36*'E Balans VL '!E24/100/3.6*1000000</f>
        <v>0</v>
      </c>
      <c r="K14" s="33"/>
      <c r="L14" s="33"/>
      <c r="M14" s="33"/>
      <c r="N14" s="33">
        <f>C36*'E Balans VL '!Y24/100/3.6*1000000</f>
        <v>27.718458616218967</v>
      </c>
      <c r="O14" s="33"/>
      <c r="P14" s="33"/>
      <c r="R14" s="32"/>
    </row>
    <row r="15" spans="1:18">
      <c r="A15" s="6" t="s">
        <v>270</v>
      </c>
      <c r="B15" s="37">
        <f t="shared" si="0"/>
        <v>107.045</v>
      </c>
      <c r="C15" s="33"/>
      <c r="D15" s="37">
        <f>IF( ISERROR(IND_rest_gas_kWh/1000),0,IND_rest_gas_kWh/1000)*0.902</f>
        <v>79.517613999999995</v>
      </c>
      <c r="E15" s="33">
        <f>C37*'E Balans VL '!I15/100/3.6*1000000</f>
        <v>5.971844132517437</v>
      </c>
      <c r="F15" s="33">
        <f>C37*'E Balans VL '!L15/100/3.6*1000000+C37*'E Balans VL '!N15/100/3.6*1000000</f>
        <v>25.164098244177744</v>
      </c>
      <c r="G15" s="34"/>
      <c r="H15" s="33"/>
      <c r="I15" s="33"/>
      <c r="J15" s="40">
        <f>C37*'E Balans VL '!D15/100/3.6*1000000+C37*'E Balans VL '!E15/100/3.6*1000000</f>
        <v>0.27436306665632304</v>
      </c>
      <c r="K15" s="33"/>
      <c r="L15" s="33"/>
      <c r="M15" s="33"/>
      <c r="N15" s="33">
        <f>C37*'E Balans VL '!Y15/100/3.6*1000000</f>
        <v>21.007915996688311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15097.932999999999</v>
      </c>
      <c r="C18" s="21">
        <f>C5+C16</f>
        <v>0</v>
      </c>
      <c r="D18" s="21">
        <f>MAX((D5+D16),0)</f>
        <v>20993.464602</v>
      </c>
      <c r="E18" s="21">
        <f>MAX((E5+E16),0)</f>
        <v>3536.0888745669272</v>
      </c>
      <c r="F18" s="21">
        <f>MAX((F5+F16),0)</f>
        <v>9633.6347784945538</v>
      </c>
      <c r="G18" s="21"/>
      <c r="H18" s="21"/>
      <c r="I18" s="21"/>
      <c r="J18" s="21">
        <f>MAX((J5+J16),0)</f>
        <v>0.28302829199899382</v>
      </c>
      <c r="K18" s="21"/>
      <c r="L18" s="21">
        <f>MAX((L5+L16),0)</f>
        <v>0</v>
      </c>
      <c r="M18" s="21"/>
      <c r="N18" s="21">
        <f>MAX((N5+N16),0)</f>
        <v>4554.1312138577132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0.12439784498193354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1878.1503288816186</v>
      </c>
      <c r="C22" s="23">
        <f ca="1">C18*C20</f>
        <v>0</v>
      </c>
      <c r="D22" s="23">
        <f>D18*D20</f>
        <v>4240.6798496040001</v>
      </c>
      <c r="E22" s="23">
        <f>E18*E20</f>
        <v>802.6921745266925</v>
      </c>
      <c r="F22" s="23">
        <f>F18*F20</f>
        <v>2572.1804858580458</v>
      </c>
      <c r="G22" s="23"/>
      <c r="H22" s="23"/>
      <c r="I22" s="23"/>
      <c r="J22" s="23">
        <f>J18*J20</f>
        <v>0.10019201536764381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348.30799999999999</v>
      </c>
      <c r="C30" s="39">
        <f>IF(ISERROR(B30*3.6/1000000/'E Balans VL '!Z18*100),0,B30*3.6/1000000/'E Balans VL '!Z18*100)</f>
        <v>3.4272618064391219E-2</v>
      </c>
      <c r="D30" s="239" t="s">
        <v>692</v>
      </c>
    </row>
    <row r="31" spans="1:18">
      <c r="A31" s="6" t="s">
        <v>33</v>
      </c>
      <c r="B31" s="37">
        <f>IF( ISERROR(IND_ander_ele_kWh/1000),0,IND_ander_ele_kWh/1000)</f>
        <v>12785.259</v>
      </c>
      <c r="C31" s="39">
        <f>IF(ISERROR(B31*3.6/1000000/'E Balans VL '!Z19*100),0,B31*3.6/1000000/'E Balans VL '!Z19*100)</f>
        <v>0.55678783074935945</v>
      </c>
      <c r="D31" s="239" t="s">
        <v>692</v>
      </c>
    </row>
    <row r="32" spans="1:18">
      <c r="A32" s="173" t="s">
        <v>41</v>
      </c>
      <c r="B32" s="37">
        <f>IF( ISERROR(IND_voed_ele_kWh/1000),0,IND_voed_ele_kWh/1000)</f>
        <v>655.02800000000002</v>
      </c>
      <c r="C32" s="39">
        <f>IF(ISERROR(B32*3.6/1000000/'E Balans VL '!Z20*100),0,B32*3.6/1000000/'E Balans VL '!Z20*100)</f>
        <v>0.12428211646858017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60.517000000000003</v>
      </c>
      <c r="C35" s="39">
        <f>IF(ISERROR(B35*3.6/1000000/'E Balans VL '!Z22*100),0,B35*3.6/1000000/'E Balans VL '!Z22*100)</f>
        <v>8.5092978927724418E-3</v>
      </c>
      <c r="D35" s="239" t="s">
        <v>692</v>
      </c>
    </row>
    <row r="36" spans="1:5">
      <c r="A36" s="173" t="s">
        <v>34</v>
      </c>
      <c r="B36" s="37">
        <f>IF( ISERROR(IND_chemie_ele_kWh/1000),0,IND_chemie_ele_kWh/1000)</f>
        <v>1141.7760000000001</v>
      </c>
      <c r="C36" s="39">
        <f>IF(ISERROR(B36*3.6/1000000/'E Balans VL '!Z24*100),0,B36*3.6/1000000/'E Balans VL '!Z24*100)</f>
        <v>3.3274726522351888E-2</v>
      </c>
      <c r="D36" s="239" t="s">
        <v>692</v>
      </c>
    </row>
    <row r="37" spans="1:5">
      <c r="A37" s="173" t="s">
        <v>270</v>
      </c>
      <c r="B37" s="37">
        <f>IF( ISERROR(IND_rest_ele_kWh/1000),0,IND_rest_ele_kWh/1000)</f>
        <v>107.045</v>
      </c>
      <c r="C37" s="39">
        <f>IF(ISERROR(B37*3.6/1000000/'E Balans VL '!Z15*100),0,B37*3.6/1000000/'E Balans VL '!Z15*100)</f>
        <v>8.2491320336144361E-4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1302.972</v>
      </c>
      <c r="C5" s="17">
        <f>'Eigen informatie GS &amp; warmtenet'!B60</f>
        <v>0</v>
      </c>
      <c r="D5" s="30">
        <f>IF(ISERROR(SUM(LB_lb_gas_kWh,LB_rest_gas_kWh)/1000),0,SUM(LB_lb_gas_kWh,LB_rest_gas_kWh)/1000)*0.902</f>
        <v>169.52729199999999</v>
      </c>
      <c r="E5" s="17">
        <f>B17*'E Balans VL '!I25/3.6*1000000/100</f>
        <v>16.419125769223662</v>
      </c>
      <c r="F5" s="17">
        <f>B17*('E Balans VL '!L25/3.6*1000000+'E Balans VL '!N25/3.6*1000000)/100</f>
        <v>4495.5798139900362</v>
      </c>
      <c r="G5" s="18"/>
      <c r="H5" s="17"/>
      <c r="I5" s="17"/>
      <c r="J5" s="17">
        <f>('E Balans VL '!D25+'E Balans VL '!E25)/3.6*1000000*landbouw!B17/100</f>
        <v>195.95217713705625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1302.972</v>
      </c>
      <c r="C8" s="21">
        <f>C5+C6</f>
        <v>0</v>
      </c>
      <c r="D8" s="21">
        <f>MAX((D5+D6),0)</f>
        <v>169.52729199999999</v>
      </c>
      <c r="E8" s="21">
        <f>MAX((E5+E6),0)</f>
        <v>16.419125769223662</v>
      </c>
      <c r="F8" s="21">
        <f>MAX((F5+F6),0)</f>
        <v>4495.5798139900362</v>
      </c>
      <c r="G8" s="21"/>
      <c r="H8" s="21"/>
      <c r="I8" s="21"/>
      <c r="J8" s="21">
        <f>MAX((J5+J6),0)</f>
        <v>195.95217713705625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0.12439784498193354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162.08690887179992</v>
      </c>
      <c r="C12" s="23">
        <f ca="1">C8*C10</f>
        <v>0</v>
      </c>
      <c r="D12" s="23">
        <f>D8*D10</f>
        <v>34.244512983999996</v>
      </c>
      <c r="E12" s="23">
        <f>E8*E10</f>
        <v>3.7271415496137714</v>
      </c>
      <c r="F12" s="23">
        <f>F8*F10</f>
        <v>1200.3198103353398</v>
      </c>
      <c r="G12" s="23"/>
      <c r="H12" s="23"/>
      <c r="I12" s="23"/>
      <c r="J12" s="23">
        <f>J8*J10</f>
        <v>69.367070706517907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0.18172352670636446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138.25867418692454</v>
      </c>
      <c r="C26" s="249">
        <f>B26*'GWP N2O_CH4'!B5</f>
        <v>2903.4321579254151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58.830280065174072</v>
      </c>
      <c r="C27" s="249">
        <f>B27*'GWP N2O_CH4'!B5</f>
        <v>1235.4358813686556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2.732679521618798</v>
      </c>
      <c r="C28" s="249">
        <f>B28*'GWP N2O_CH4'!B4</f>
        <v>847.13065170182733</v>
      </c>
      <c r="D28" s="50"/>
    </row>
    <row r="29" spans="1:4">
      <c r="A29" s="41" t="s">
        <v>277</v>
      </c>
      <c r="B29" s="249">
        <f>B34*'ha_N2O bodem landbouw'!B4</f>
        <v>11.472458123836768</v>
      </c>
      <c r="C29" s="249">
        <f>B29*'GWP N2O_CH4'!B4</f>
        <v>3556.4620183893981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2.8645581575209526E-3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2.5296408370569487E-5</v>
      </c>
      <c r="C5" s="448" t="s">
        <v>211</v>
      </c>
      <c r="D5" s="433">
        <f>SUM(D6:D11)</f>
        <v>4.3171385584475899E-5</v>
      </c>
      <c r="E5" s="433">
        <f>SUM(E6:E11)</f>
        <v>1.5038620865999251E-3</v>
      </c>
      <c r="F5" s="446" t="s">
        <v>211</v>
      </c>
      <c r="G5" s="433">
        <f>SUM(G6:G11)</f>
        <v>0.35075729145594298</v>
      </c>
      <c r="H5" s="433">
        <f>SUM(H6:H11)</f>
        <v>6.6072815136125784E-2</v>
      </c>
      <c r="I5" s="448" t="s">
        <v>211</v>
      </c>
      <c r="J5" s="448" t="s">
        <v>211</v>
      </c>
      <c r="K5" s="448" t="s">
        <v>211</v>
      </c>
      <c r="L5" s="448" t="s">
        <v>211</v>
      </c>
      <c r="M5" s="433">
        <f>SUM(M6:M11)</f>
        <v>1.8844910785887802E-2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3.6521881384919261E-6</v>
      </c>
      <c r="C6" s="887"/>
      <c r="D6" s="887">
        <f>vkm_2011_GW_PW*SUMIFS(TableVerdeelsleutelVkm[CNG],TableVerdeelsleutelVkm[Voertuigtype],"Lichte voertuigen")*SUMIFS(TableECFTransport[EnergieConsumptieFactor (PJ per km)],TableECFTransport[Index],CONCATENATE($A6,"_CNG_CNG"))</f>
        <v>5.1722127013047654E-6</v>
      </c>
      <c r="E6" s="887">
        <f>vkm_2011_GW_PW*SUMIFS(TableVerdeelsleutelVkm[LPG],TableVerdeelsleutelVkm[Voertuigtype],"Lichte voertuigen")*SUMIFS(TableECFTransport[EnergieConsumptieFactor (PJ per km)],TableECFTransport[Index],CONCATENATE($A6,"_LPG_LPG"))</f>
        <v>1.6244217357424382E-4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2.9195306589262046E-2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7.8231173236202271E-3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1.67483178185016E-3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9.5410304206131821E-3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3.3898291988475437E-6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4.305565076036861E-4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5.7396259431715638E-6</v>
      </c>
      <c r="C8" s="887"/>
      <c r="D8" s="436">
        <f>vkm_2011_NGW_PW*SUMIFS(TableVerdeelsleutelVkm[CNG],TableVerdeelsleutelVkm[Voertuigtype],"Lichte voertuigen")*SUMIFS(TableECFTransport[EnergieConsumptieFactor (PJ per km)],TableECFTransport[Index],CONCATENATE($A8,"_CNG_CNG"))</f>
        <v>1.4480941801495092E-5</v>
      </c>
      <c r="E8" s="436">
        <f>vkm_2011_NGW_PW*SUMIFS(TableVerdeelsleutelVkm[LPG],TableVerdeelsleutelVkm[Voertuigtype],"Lichte voertuigen")*SUMIFS(TableECFTransport[EnergieConsumptieFactor (PJ per km)],TableECFTransport[Index],CONCATENATE($A8,"_LPG_LPG"))</f>
        <v>4.1890108607201465E-4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7.1007796171612556E-2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2.113407853614227E-2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4.1698355523158486E-3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1.2183452999392448E-2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4.0961667661036868E-6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5.4979004234686937E-4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1.5904594288905998E-5</v>
      </c>
      <c r="C10" s="887"/>
      <c r="D10" s="436">
        <f>vkm_2011_SW_PW*SUMIFS(TableVerdeelsleutelVkm[CNG],TableVerdeelsleutelVkm[Voertuigtype],"Lichte voertuigen")*SUMIFS(TableECFTransport[EnergieConsumptieFactor (PJ per km)],TableECFTransport[Index],CONCATENATE($A10,"_CNG_CNG"))</f>
        <v>2.3518231081676042E-5</v>
      </c>
      <c r="E10" s="436">
        <f>vkm_2011_SW_PW*SUMIFS(TableVerdeelsleutelVkm[LPG],TableVerdeelsleutelVkm[Voertuigtype],"Lichte voertuigen")*SUMIFS(TableECFTransport[EnergieConsumptieFactor (PJ per km)],TableECFTransport[Index],CONCATENATE($A10,"_LPG_LPG"))</f>
        <v>9.2251882695366667E-4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0.15015894463665641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3.7077991055130009E-2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8.4696342231782781E-3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7.8670760638406334E-2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3.0142225268330421E-5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3.5502626785929602E-3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7.0267801029359687</v>
      </c>
      <c r="C14" s="21"/>
      <c r="D14" s="21">
        <f t="shared" ref="D14:M14" si="0">((D5)*10^9/3600)+D12</f>
        <v>11.992051551243305</v>
      </c>
      <c r="E14" s="21">
        <f t="shared" si="0"/>
        <v>417.73946849997918</v>
      </c>
      <c r="F14" s="21"/>
      <c r="G14" s="21">
        <f t="shared" si="0"/>
        <v>97432.58095998416</v>
      </c>
      <c r="H14" s="21">
        <f t="shared" si="0"/>
        <v>18353.559760034939</v>
      </c>
      <c r="I14" s="21"/>
      <c r="J14" s="21"/>
      <c r="K14" s="21"/>
      <c r="L14" s="21"/>
      <c r="M14" s="21">
        <f t="shared" si="0"/>
        <v>5234.69744052439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0.12439784498193354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0.87411630196716361</v>
      </c>
      <c r="C18" s="23"/>
      <c r="D18" s="23">
        <f t="shared" ref="D18:M18" si="1">D14*D16</f>
        <v>2.4223944133511477</v>
      </c>
      <c r="E18" s="23">
        <f t="shared" si="1"/>
        <v>94.82685934949528</v>
      </c>
      <c r="F18" s="23"/>
      <c r="G18" s="23">
        <f t="shared" si="1"/>
        <v>26014.499116315772</v>
      </c>
      <c r="H18" s="23">
        <f t="shared" si="1"/>
        <v>4570.0363802487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4.888261124701713E-3</v>
      </c>
      <c r="H50" s="323">
        <f t="shared" si="2"/>
        <v>0</v>
      </c>
      <c r="I50" s="323">
        <f t="shared" si="2"/>
        <v>0</v>
      </c>
      <c r="J50" s="323">
        <f t="shared" si="2"/>
        <v>0</v>
      </c>
      <c r="K50" s="323">
        <f t="shared" si="2"/>
        <v>0</v>
      </c>
      <c r="L50" s="323">
        <f t="shared" si="2"/>
        <v>0</v>
      </c>
      <c r="M50" s="323">
        <f t="shared" si="2"/>
        <v>2.1739292849343189E-4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4.888261124701713E-3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2.1739292849343189E-4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1357.8503124171425</v>
      </c>
      <c r="H54" s="21">
        <f t="shared" si="3"/>
        <v>0</v>
      </c>
      <c r="I54" s="21">
        <f t="shared" si="3"/>
        <v>0</v>
      </c>
      <c r="J54" s="21">
        <f t="shared" si="3"/>
        <v>0</v>
      </c>
      <c r="K54" s="21">
        <f t="shared" si="3"/>
        <v>0</v>
      </c>
      <c r="L54" s="21">
        <f t="shared" si="3"/>
        <v>0</v>
      </c>
      <c r="M54" s="21">
        <f t="shared" si="3"/>
        <v>60.386924581508858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0.12439784498193354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362.54603341537705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13022.263999999999</v>
      </c>
      <c r="D10" s="690">
        <f ca="1">tertiair!C16</f>
        <v>0</v>
      </c>
      <c r="E10" s="690">
        <f ca="1">tertiair!D16</f>
        <v>4744.1673180000007</v>
      </c>
      <c r="F10" s="690">
        <f>tertiair!E16</f>
        <v>145.73747667593452</v>
      </c>
      <c r="G10" s="690">
        <f ca="1">tertiair!F16</f>
        <v>2432.3791249168958</v>
      </c>
      <c r="H10" s="690">
        <f>tertiair!G16</f>
        <v>0</v>
      </c>
      <c r="I10" s="690">
        <f>tertiair!H16</f>
        <v>0</v>
      </c>
      <c r="J10" s="690">
        <f>tertiair!I16</f>
        <v>0</v>
      </c>
      <c r="K10" s="690">
        <f>tertiair!J16</f>
        <v>0</v>
      </c>
      <c r="L10" s="690">
        <f>tertiair!K16</f>
        <v>0</v>
      </c>
      <c r="M10" s="690">
        <f ca="1">tertiair!L16</f>
        <v>0</v>
      </c>
      <c r="N10" s="690">
        <f>tertiair!M16</f>
        <v>0</v>
      </c>
      <c r="O10" s="690">
        <f ca="1">tertiair!N16</f>
        <v>1498.5233874654775</v>
      </c>
      <c r="P10" s="690">
        <f>tertiair!O16</f>
        <v>0</v>
      </c>
      <c r="Q10" s="691">
        <f>tertiair!P16</f>
        <v>19.066666666666666</v>
      </c>
      <c r="R10" s="693">
        <f ca="1">SUM(C10:Q10)</f>
        <v>21862.137973724974</v>
      </c>
      <c r="S10" s="67"/>
    </row>
    <row r="11" spans="1:19" s="458" customFormat="1">
      <c r="A11" s="805" t="s">
        <v>225</v>
      </c>
      <c r="B11" s="810"/>
      <c r="C11" s="690">
        <f>huishoudens!B8</f>
        <v>18397.356</v>
      </c>
      <c r="D11" s="690">
        <f>huishoudens!C8</f>
        <v>0</v>
      </c>
      <c r="E11" s="690">
        <f>huishoudens!D8</f>
        <v>23523.574602000001</v>
      </c>
      <c r="F11" s="690">
        <f>huishoudens!E8</f>
        <v>2272.3014858740248</v>
      </c>
      <c r="G11" s="690">
        <f>huishoudens!F8</f>
        <v>36815.167590687925</v>
      </c>
      <c r="H11" s="690">
        <f>huishoudens!G8</f>
        <v>0</v>
      </c>
      <c r="I11" s="690">
        <f>huishoudens!H8</f>
        <v>0</v>
      </c>
      <c r="J11" s="690">
        <f>huishoudens!I8</f>
        <v>0</v>
      </c>
      <c r="K11" s="690">
        <f>huishoudens!J8</f>
        <v>0</v>
      </c>
      <c r="L11" s="690">
        <f>huishoudens!K8</f>
        <v>0</v>
      </c>
      <c r="M11" s="690">
        <f>huishoudens!L8</f>
        <v>0</v>
      </c>
      <c r="N11" s="690">
        <f>huishoudens!M8</f>
        <v>0</v>
      </c>
      <c r="O11" s="690">
        <f>huishoudens!N8</f>
        <v>12043.669753475227</v>
      </c>
      <c r="P11" s="690">
        <f>huishoudens!O8</f>
        <v>101.61666666666667</v>
      </c>
      <c r="Q11" s="691">
        <f>huishoudens!P8</f>
        <v>266.93333333333334</v>
      </c>
      <c r="R11" s="693">
        <f>SUM(C11:Q11)</f>
        <v>93420.619432037187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15097.932999999999</v>
      </c>
      <c r="D13" s="690">
        <f>industrie!C18</f>
        <v>0</v>
      </c>
      <c r="E13" s="690">
        <f>industrie!D18</f>
        <v>20993.464602</v>
      </c>
      <c r="F13" s="690">
        <f>industrie!E18</f>
        <v>3536.0888745669272</v>
      </c>
      <c r="G13" s="690">
        <f>industrie!F18</f>
        <v>9633.6347784945538</v>
      </c>
      <c r="H13" s="690">
        <f>industrie!G18</f>
        <v>0</v>
      </c>
      <c r="I13" s="690">
        <f>industrie!H18</f>
        <v>0</v>
      </c>
      <c r="J13" s="690">
        <f>industrie!I18</f>
        <v>0</v>
      </c>
      <c r="K13" s="690">
        <f>industrie!J18</f>
        <v>0.28302829199899382</v>
      </c>
      <c r="L13" s="690">
        <f>industrie!K18</f>
        <v>0</v>
      </c>
      <c r="M13" s="690">
        <f>industrie!L18</f>
        <v>0</v>
      </c>
      <c r="N13" s="690">
        <f>industrie!M18</f>
        <v>0</v>
      </c>
      <c r="O13" s="690">
        <f>industrie!N18</f>
        <v>4554.1312138577132</v>
      </c>
      <c r="P13" s="690">
        <f>industrie!O18</f>
        <v>0</v>
      </c>
      <c r="Q13" s="691">
        <f>industrie!P18</f>
        <v>0</v>
      </c>
      <c r="R13" s="693">
        <f>SUM(C13:Q13)</f>
        <v>53815.535497211189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46517.553</v>
      </c>
      <c r="D16" s="725">
        <f t="shared" ref="D16:R16" ca="1" si="0">SUM(D9:D15)</f>
        <v>0</v>
      </c>
      <c r="E16" s="725">
        <f t="shared" ca="1" si="0"/>
        <v>49261.206522</v>
      </c>
      <c r="F16" s="725">
        <f t="shared" si="0"/>
        <v>5954.1278371168864</v>
      </c>
      <c r="G16" s="725">
        <f t="shared" ca="1" si="0"/>
        <v>48881.181494099372</v>
      </c>
      <c r="H16" s="725">
        <f t="shared" si="0"/>
        <v>0</v>
      </c>
      <c r="I16" s="725">
        <f t="shared" si="0"/>
        <v>0</v>
      </c>
      <c r="J16" s="725">
        <f t="shared" si="0"/>
        <v>0</v>
      </c>
      <c r="K16" s="725">
        <f t="shared" si="0"/>
        <v>0.28302829199899382</v>
      </c>
      <c r="L16" s="725">
        <f t="shared" si="0"/>
        <v>0</v>
      </c>
      <c r="M16" s="725">
        <f t="shared" ca="1" si="0"/>
        <v>0</v>
      </c>
      <c r="N16" s="725">
        <f t="shared" si="0"/>
        <v>0</v>
      </c>
      <c r="O16" s="725">
        <f t="shared" ca="1" si="0"/>
        <v>18096.324354798417</v>
      </c>
      <c r="P16" s="725">
        <f t="shared" si="0"/>
        <v>101.61666666666667</v>
      </c>
      <c r="Q16" s="725">
        <f t="shared" si="0"/>
        <v>286</v>
      </c>
      <c r="R16" s="725">
        <f t="shared" ca="1" si="0"/>
        <v>169098.29290297334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1357.8503124171425</v>
      </c>
      <c r="I19" s="690">
        <f>transport!H54</f>
        <v>0</v>
      </c>
      <c r="J19" s="690">
        <f>transport!I54</f>
        <v>0</v>
      </c>
      <c r="K19" s="690">
        <f>transport!J54</f>
        <v>0</v>
      </c>
      <c r="L19" s="690">
        <f>transport!K54</f>
        <v>0</v>
      </c>
      <c r="M19" s="690">
        <f>transport!L54</f>
        <v>0</v>
      </c>
      <c r="N19" s="690">
        <f>transport!M54</f>
        <v>60.386924581508858</v>
      </c>
      <c r="O19" s="690">
        <f>transport!N54</f>
        <v>0</v>
      </c>
      <c r="P19" s="690">
        <f>transport!O54</f>
        <v>0</v>
      </c>
      <c r="Q19" s="691">
        <f>transport!P54</f>
        <v>0</v>
      </c>
      <c r="R19" s="693">
        <f>SUM(C19:Q19)</f>
        <v>1418.2372369986513</v>
      </c>
      <c r="S19" s="67"/>
    </row>
    <row r="20" spans="1:19" s="458" customFormat="1">
      <c r="A20" s="805" t="s">
        <v>307</v>
      </c>
      <c r="B20" s="810"/>
      <c r="C20" s="690">
        <f>transport!B14</f>
        <v>7.0267801029359687</v>
      </c>
      <c r="D20" s="690">
        <f>transport!C14</f>
        <v>0</v>
      </c>
      <c r="E20" s="690">
        <f>transport!D14</f>
        <v>11.992051551243305</v>
      </c>
      <c r="F20" s="690">
        <f>transport!E14</f>
        <v>417.73946849997918</v>
      </c>
      <c r="G20" s="690">
        <f>transport!F14</f>
        <v>0</v>
      </c>
      <c r="H20" s="690">
        <f>transport!G14</f>
        <v>97432.58095998416</v>
      </c>
      <c r="I20" s="690">
        <f>transport!H14</f>
        <v>18353.559760034939</v>
      </c>
      <c r="J20" s="690">
        <f>transport!I14</f>
        <v>0</v>
      </c>
      <c r="K20" s="690">
        <f>transport!J14</f>
        <v>0</v>
      </c>
      <c r="L20" s="690">
        <f>transport!K14</f>
        <v>0</v>
      </c>
      <c r="M20" s="690">
        <f>transport!L14</f>
        <v>0</v>
      </c>
      <c r="N20" s="690">
        <f>transport!M14</f>
        <v>5234.69744052439</v>
      </c>
      <c r="O20" s="690">
        <f>transport!N14</f>
        <v>0</v>
      </c>
      <c r="P20" s="690">
        <f>transport!O14</f>
        <v>0</v>
      </c>
      <c r="Q20" s="691">
        <f>transport!P14</f>
        <v>0</v>
      </c>
      <c r="R20" s="693">
        <f>SUM(C20:Q20)</f>
        <v>121457.59646069766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7.0267801029359687</v>
      </c>
      <c r="D22" s="808">
        <f t="shared" ref="D22:R22" si="1">SUM(D18:D21)</f>
        <v>0</v>
      </c>
      <c r="E22" s="808">
        <f t="shared" si="1"/>
        <v>11.992051551243305</v>
      </c>
      <c r="F22" s="808">
        <f t="shared" si="1"/>
        <v>417.73946849997918</v>
      </c>
      <c r="G22" s="808">
        <f t="shared" si="1"/>
        <v>0</v>
      </c>
      <c r="H22" s="808">
        <f t="shared" si="1"/>
        <v>98790.4312724013</v>
      </c>
      <c r="I22" s="808">
        <f t="shared" si="1"/>
        <v>18353.559760034939</v>
      </c>
      <c r="J22" s="808">
        <f t="shared" si="1"/>
        <v>0</v>
      </c>
      <c r="K22" s="808">
        <f t="shared" si="1"/>
        <v>0</v>
      </c>
      <c r="L22" s="808">
        <f t="shared" si="1"/>
        <v>0</v>
      </c>
      <c r="M22" s="808">
        <f t="shared" si="1"/>
        <v>0</v>
      </c>
      <c r="N22" s="808">
        <f t="shared" si="1"/>
        <v>5295.0843651058985</v>
      </c>
      <c r="O22" s="808">
        <f t="shared" si="1"/>
        <v>0</v>
      </c>
      <c r="P22" s="808">
        <f t="shared" si="1"/>
        <v>0</v>
      </c>
      <c r="Q22" s="808">
        <f t="shared" si="1"/>
        <v>0</v>
      </c>
      <c r="R22" s="808">
        <f t="shared" si="1"/>
        <v>122875.83369769632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1302.972</v>
      </c>
      <c r="D24" s="690">
        <f>+landbouw!C8</f>
        <v>0</v>
      </c>
      <c r="E24" s="690">
        <f>+landbouw!D8</f>
        <v>169.52729199999999</v>
      </c>
      <c r="F24" s="690">
        <f>+landbouw!E8</f>
        <v>16.419125769223662</v>
      </c>
      <c r="G24" s="690">
        <f>+landbouw!F8</f>
        <v>4495.5798139900362</v>
      </c>
      <c r="H24" s="690">
        <f>+landbouw!G8</f>
        <v>0</v>
      </c>
      <c r="I24" s="690">
        <f>+landbouw!H8</f>
        <v>0</v>
      </c>
      <c r="J24" s="690">
        <f>+landbouw!I8</f>
        <v>0</v>
      </c>
      <c r="K24" s="690">
        <f>+landbouw!J8</f>
        <v>195.95217713705625</v>
      </c>
      <c r="L24" s="690">
        <f>+landbouw!K8</f>
        <v>0</v>
      </c>
      <c r="M24" s="690">
        <f>+landbouw!L8</f>
        <v>0</v>
      </c>
      <c r="N24" s="690">
        <f>+landbouw!M8</f>
        <v>0</v>
      </c>
      <c r="O24" s="690">
        <f>+landbouw!N8</f>
        <v>0</v>
      </c>
      <c r="P24" s="690">
        <f>+landbouw!O8</f>
        <v>0</v>
      </c>
      <c r="Q24" s="691">
        <f>+landbouw!P8</f>
        <v>0</v>
      </c>
      <c r="R24" s="693">
        <f>SUM(C24:Q24)</f>
        <v>6180.4504088963167</v>
      </c>
      <c r="S24" s="67"/>
    </row>
    <row r="25" spans="1:19" s="458" customFormat="1" ht="15" thickBot="1">
      <c r="A25" s="827" t="s">
        <v>872</v>
      </c>
      <c r="B25" s="1004"/>
      <c r="C25" s="1005">
        <f>IF(Onbekend_ele_kWh="---",0,Onbekend_ele_kWh)/1000+IF(REST_rest_ele_kWh="---",0,REST_rest_ele_kWh)/1000</f>
        <v>542.22</v>
      </c>
      <c r="D25" s="1005"/>
      <c r="E25" s="1005">
        <f>IF(onbekend_gas_kWh="---",0,onbekend_gas_kWh)/1000+IF(REST_rest_gas_kWh="---",0,REST_rest_gas_kWh)/1000</f>
        <v>2573.7420000000002</v>
      </c>
      <c r="F25" s="1005"/>
      <c r="G25" s="1005"/>
      <c r="H25" s="1005"/>
      <c r="I25" s="1005"/>
      <c r="J25" s="1005"/>
      <c r="K25" s="1005"/>
      <c r="L25" s="1005"/>
      <c r="M25" s="1005"/>
      <c r="N25" s="1005"/>
      <c r="O25" s="1005"/>
      <c r="P25" s="1005"/>
      <c r="Q25" s="1006"/>
      <c r="R25" s="693">
        <f>SUM(C25:Q25)</f>
        <v>3115.9620000000004</v>
      </c>
      <c r="S25" s="67"/>
    </row>
    <row r="26" spans="1:19" s="458" customFormat="1" ht="15.75" thickBot="1">
      <c r="A26" s="698" t="s">
        <v>873</v>
      </c>
      <c r="B26" s="813"/>
      <c r="C26" s="808">
        <f>SUM(C24:C25)</f>
        <v>1845.192</v>
      </c>
      <c r="D26" s="808">
        <f t="shared" ref="D26:R26" si="2">SUM(D24:D25)</f>
        <v>0</v>
      </c>
      <c r="E26" s="808">
        <f t="shared" si="2"/>
        <v>2743.269292</v>
      </c>
      <c r="F26" s="808">
        <f t="shared" si="2"/>
        <v>16.419125769223662</v>
      </c>
      <c r="G26" s="808">
        <f t="shared" si="2"/>
        <v>4495.5798139900362</v>
      </c>
      <c r="H26" s="808">
        <f t="shared" si="2"/>
        <v>0</v>
      </c>
      <c r="I26" s="808">
        <f t="shared" si="2"/>
        <v>0</v>
      </c>
      <c r="J26" s="808">
        <f t="shared" si="2"/>
        <v>0</v>
      </c>
      <c r="K26" s="808">
        <f t="shared" si="2"/>
        <v>195.95217713705625</v>
      </c>
      <c r="L26" s="808">
        <f t="shared" si="2"/>
        <v>0</v>
      </c>
      <c r="M26" s="808">
        <f t="shared" si="2"/>
        <v>0</v>
      </c>
      <c r="N26" s="808">
        <f t="shared" si="2"/>
        <v>0</v>
      </c>
      <c r="O26" s="808">
        <f t="shared" si="2"/>
        <v>0</v>
      </c>
      <c r="P26" s="808">
        <f t="shared" si="2"/>
        <v>0</v>
      </c>
      <c r="Q26" s="808">
        <f t="shared" si="2"/>
        <v>0</v>
      </c>
      <c r="R26" s="808">
        <f t="shared" si="2"/>
        <v>9296.4124088963181</v>
      </c>
      <c r="S26" s="67"/>
    </row>
    <row r="27" spans="1:19" s="458" customFormat="1" ht="17.25" thickTop="1" thickBot="1">
      <c r="A27" s="699" t="s">
        <v>116</v>
      </c>
      <c r="B27" s="800"/>
      <c r="C27" s="700">
        <f ca="1">C22+C16+C26</f>
        <v>48369.771780102936</v>
      </c>
      <c r="D27" s="700">
        <f t="shared" ref="D27:R27" ca="1" si="3">D22+D16+D26</f>
        <v>0</v>
      </c>
      <c r="E27" s="700">
        <f t="shared" ca="1" si="3"/>
        <v>52016.46786555124</v>
      </c>
      <c r="F27" s="700">
        <f t="shared" si="3"/>
        <v>6388.2864313860891</v>
      </c>
      <c r="G27" s="700">
        <f t="shared" ca="1" si="3"/>
        <v>53376.761308089408</v>
      </c>
      <c r="H27" s="700">
        <f t="shared" si="3"/>
        <v>98790.4312724013</v>
      </c>
      <c r="I27" s="700">
        <f t="shared" si="3"/>
        <v>18353.559760034939</v>
      </c>
      <c r="J27" s="700">
        <f t="shared" si="3"/>
        <v>0</v>
      </c>
      <c r="K27" s="700">
        <f t="shared" si="3"/>
        <v>196.23520542905524</v>
      </c>
      <c r="L27" s="700">
        <f t="shared" si="3"/>
        <v>0</v>
      </c>
      <c r="M27" s="700">
        <f t="shared" ca="1" si="3"/>
        <v>0</v>
      </c>
      <c r="N27" s="700">
        <f t="shared" si="3"/>
        <v>5295.0843651058985</v>
      </c>
      <c r="O27" s="700">
        <f t="shared" ca="1" si="3"/>
        <v>18096.324354798417</v>
      </c>
      <c r="P27" s="700">
        <f t="shared" si="3"/>
        <v>101.61666666666667</v>
      </c>
      <c r="Q27" s="700">
        <f t="shared" si="3"/>
        <v>286</v>
      </c>
      <c r="R27" s="700">
        <f t="shared" ca="1" si="3"/>
        <v>301270.53900956595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1619.9415783858137</v>
      </c>
      <c r="D40" s="690">
        <f ca="1">tertiair!C20</f>
        <v>0</v>
      </c>
      <c r="E40" s="690">
        <f ca="1">tertiair!D20</f>
        <v>958.32179823600018</v>
      </c>
      <c r="F40" s="690">
        <f>tertiair!E20</f>
        <v>33.082407205437136</v>
      </c>
      <c r="G40" s="690">
        <f ca="1">tertiair!F20</f>
        <v>649.44522635281123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3260.7910101800626</v>
      </c>
    </row>
    <row r="41" spans="1:18">
      <c r="A41" s="818" t="s">
        <v>225</v>
      </c>
      <c r="B41" s="825"/>
      <c r="C41" s="690">
        <f ca="1">huishoudens!B12</f>
        <v>2288.5914397654451</v>
      </c>
      <c r="D41" s="690">
        <f ca="1">huishoudens!C12</f>
        <v>0</v>
      </c>
      <c r="E41" s="690">
        <f>huishoudens!D12</f>
        <v>4751.7620696040003</v>
      </c>
      <c r="F41" s="690">
        <f>huishoudens!E12</f>
        <v>515.8124372934036</v>
      </c>
      <c r="G41" s="690">
        <f>huishoudens!F12</f>
        <v>9829.649746713676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17385.815693376524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1878.1503288816186</v>
      </c>
      <c r="D43" s="690">
        <f ca="1">industrie!C22</f>
        <v>0</v>
      </c>
      <c r="E43" s="690">
        <f>industrie!D22</f>
        <v>4240.6798496040001</v>
      </c>
      <c r="F43" s="690">
        <f>industrie!E22</f>
        <v>802.6921745266925</v>
      </c>
      <c r="G43" s="690">
        <f>industrie!F22</f>
        <v>2572.1804858580458</v>
      </c>
      <c r="H43" s="690">
        <f>industrie!G22</f>
        <v>0</v>
      </c>
      <c r="I43" s="690">
        <f>industrie!H22</f>
        <v>0</v>
      </c>
      <c r="J43" s="690">
        <f>industrie!I22</f>
        <v>0</v>
      </c>
      <c r="K43" s="690">
        <f>industrie!J22</f>
        <v>0.10019201536764381</v>
      </c>
      <c r="L43" s="690">
        <f>industrie!K22</f>
        <v>0</v>
      </c>
      <c r="M43" s="690">
        <f>industrie!L22</f>
        <v>0</v>
      </c>
      <c r="N43" s="690">
        <f>industrie!M22</f>
        <v>0</v>
      </c>
      <c r="O43" s="690">
        <f>industrie!N22</f>
        <v>0</v>
      </c>
      <c r="P43" s="690">
        <f>industrie!O22</f>
        <v>0</v>
      </c>
      <c r="Q43" s="767">
        <f>industrie!P22</f>
        <v>0</v>
      </c>
      <c r="R43" s="845">
        <f t="shared" ca="1" si="4"/>
        <v>9493.8030308857251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5786.6833470328775</v>
      </c>
      <c r="D46" s="725">
        <f t="shared" ref="D46:Q46" ca="1" si="5">SUM(D39:D45)</f>
        <v>0</v>
      </c>
      <c r="E46" s="725">
        <f t="shared" ca="1" si="5"/>
        <v>9950.7637174440006</v>
      </c>
      <c r="F46" s="725">
        <f t="shared" si="5"/>
        <v>1351.5870190255332</v>
      </c>
      <c r="G46" s="725">
        <f t="shared" ca="1" si="5"/>
        <v>13051.275458924532</v>
      </c>
      <c r="H46" s="725">
        <f t="shared" si="5"/>
        <v>0</v>
      </c>
      <c r="I46" s="725">
        <f t="shared" si="5"/>
        <v>0</v>
      </c>
      <c r="J46" s="725">
        <f t="shared" si="5"/>
        <v>0</v>
      </c>
      <c r="K46" s="725">
        <f t="shared" si="5"/>
        <v>0.10019201536764381</v>
      </c>
      <c r="L46" s="725">
        <f t="shared" si="5"/>
        <v>0</v>
      </c>
      <c r="M46" s="725">
        <f t="shared" ca="1" si="5"/>
        <v>0</v>
      </c>
      <c r="N46" s="725">
        <f t="shared" si="5"/>
        <v>0</v>
      </c>
      <c r="O46" s="725">
        <f t="shared" ca="1" si="5"/>
        <v>0</v>
      </c>
      <c r="P46" s="725">
        <f t="shared" si="5"/>
        <v>0</v>
      </c>
      <c r="Q46" s="725">
        <f t="shared" si="5"/>
        <v>0</v>
      </c>
      <c r="R46" s="725">
        <f ca="1">SUM(R39:R45)</f>
        <v>30140.409734442313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362.54603341537705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362.54603341537705</v>
      </c>
    </row>
    <row r="50" spans="1:18">
      <c r="A50" s="821" t="s">
        <v>307</v>
      </c>
      <c r="B50" s="831"/>
      <c r="C50" s="696">
        <f ca="1">transport!B18</f>
        <v>0.87411630196716361</v>
      </c>
      <c r="D50" s="696">
        <f>transport!C18</f>
        <v>0</v>
      </c>
      <c r="E50" s="696">
        <f>transport!D18</f>
        <v>2.4223944133511477</v>
      </c>
      <c r="F50" s="696">
        <f>transport!E18</f>
        <v>94.82685934949528</v>
      </c>
      <c r="G50" s="696">
        <f>transport!F18</f>
        <v>0</v>
      </c>
      <c r="H50" s="696">
        <f>transport!G18</f>
        <v>26014.499116315772</v>
      </c>
      <c r="I50" s="696">
        <f>transport!H18</f>
        <v>4570.0363802487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30682.658866629288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0.87411630196716361</v>
      </c>
      <c r="D52" s="725">
        <f t="shared" ref="D52:Q52" ca="1" si="6">SUM(D48:D51)</f>
        <v>0</v>
      </c>
      <c r="E52" s="725">
        <f t="shared" si="6"/>
        <v>2.4223944133511477</v>
      </c>
      <c r="F52" s="725">
        <f t="shared" si="6"/>
        <v>94.82685934949528</v>
      </c>
      <c r="G52" s="725">
        <f t="shared" si="6"/>
        <v>0</v>
      </c>
      <c r="H52" s="725">
        <f t="shared" si="6"/>
        <v>26377.045149731148</v>
      </c>
      <c r="I52" s="725">
        <f t="shared" si="6"/>
        <v>4570.0363802487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31045.204900044664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162.08690887179992</v>
      </c>
      <c r="D54" s="696">
        <f ca="1">+landbouw!C12</f>
        <v>0</v>
      </c>
      <c r="E54" s="696">
        <f>+landbouw!D12</f>
        <v>34.244512983999996</v>
      </c>
      <c r="F54" s="696">
        <f>+landbouw!E12</f>
        <v>3.7271415496137714</v>
      </c>
      <c r="G54" s="696">
        <f>+landbouw!F12</f>
        <v>1200.3198103353398</v>
      </c>
      <c r="H54" s="696">
        <f>+landbouw!G12</f>
        <v>0</v>
      </c>
      <c r="I54" s="696">
        <f>+landbouw!H12</f>
        <v>0</v>
      </c>
      <c r="J54" s="696">
        <f>+landbouw!I12</f>
        <v>0</v>
      </c>
      <c r="K54" s="696">
        <f>+landbouw!J12</f>
        <v>69.367070706517907</v>
      </c>
      <c r="L54" s="696">
        <f>+landbouw!K12</f>
        <v>0</v>
      </c>
      <c r="M54" s="696">
        <f>+landbouw!L12</f>
        <v>0</v>
      </c>
      <c r="N54" s="696">
        <f>+landbouw!M12</f>
        <v>0</v>
      </c>
      <c r="O54" s="696">
        <f>+landbouw!N12</f>
        <v>0</v>
      </c>
      <c r="P54" s="696">
        <f>+landbouw!O12</f>
        <v>0</v>
      </c>
      <c r="Q54" s="697">
        <f>+landbouw!P12</f>
        <v>0</v>
      </c>
      <c r="R54" s="724">
        <f ca="1">SUM(C54:Q54)</f>
        <v>1469.7454444472714</v>
      </c>
    </row>
    <row r="55" spans="1:18" ht="15" thickBot="1">
      <c r="A55" s="821" t="s">
        <v>872</v>
      </c>
      <c r="B55" s="831"/>
      <c r="C55" s="696">
        <f ca="1">C25*'EF ele_warmte'!B12</f>
        <v>67.450999506104012</v>
      </c>
      <c r="D55" s="696"/>
      <c r="E55" s="696">
        <f>E25*EF_CO2_aardgas</f>
        <v>519.89588400000002</v>
      </c>
      <c r="F55" s="696"/>
      <c r="G55" s="696"/>
      <c r="H55" s="696"/>
      <c r="I55" s="696"/>
      <c r="J55" s="696"/>
      <c r="K55" s="696"/>
      <c r="L55" s="696"/>
      <c r="M55" s="696"/>
      <c r="N55" s="696"/>
      <c r="O55" s="696"/>
      <c r="P55" s="696"/>
      <c r="Q55" s="697"/>
      <c r="R55" s="724">
        <f ca="1">SUM(C55:Q55)</f>
        <v>587.34688350610406</v>
      </c>
    </row>
    <row r="56" spans="1:18" ht="15.75" thickBot="1">
      <c r="A56" s="819" t="s">
        <v>873</v>
      </c>
      <c r="B56" s="832"/>
      <c r="C56" s="725">
        <f ca="1">SUM(C54:C55)</f>
        <v>229.53790837790393</v>
      </c>
      <c r="D56" s="725">
        <f t="shared" ref="D56:Q56" ca="1" si="7">SUM(D54:D55)</f>
        <v>0</v>
      </c>
      <c r="E56" s="725">
        <f t="shared" si="7"/>
        <v>554.14039698400006</v>
      </c>
      <c r="F56" s="725">
        <f t="shared" si="7"/>
        <v>3.7271415496137714</v>
      </c>
      <c r="G56" s="725">
        <f t="shared" si="7"/>
        <v>1200.3198103353398</v>
      </c>
      <c r="H56" s="725">
        <f t="shared" si="7"/>
        <v>0</v>
      </c>
      <c r="I56" s="725">
        <f t="shared" si="7"/>
        <v>0</v>
      </c>
      <c r="J56" s="725">
        <f t="shared" si="7"/>
        <v>0</v>
      </c>
      <c r="K56" s="725">
        <f t="shared" si="7"/>
        <v>69.367070706517907</v>
      </c>
      <c r="L56" s="725">
        <f t="shared" si="7"/>
        <v>0</v>
      </c>
      <c r="M56" s="725">
        <f t="shared" si="7"/>
        <v>0</v>
      </c>
      <c r="N56" s="725">
        <f t="shared" si="7"/>
        <v>0</v>
      </c>
      <c r="O56" s="725">
        <f t="shared" si="7"/>
        <v>0</v>
      </c>
      <c r="P56" s="725">
        <f t="shared" si="7"/>
        <v>0</v>
      </c>
      <c r="Q56" s="726">
        <f t="shared" si="7"/>
        <v>0</v>
      </c>
      <c r="R56" s="727">
        <f ca="1">SUM(R54:R55)</f>
        <v>2057.0923279533754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6017.0953717127486</v>
      </c>
      <c r="D61" s="733">
        <f t="shared" ref="D61:Q61" ca="1" si="8">D46+D52+D56</f>
        <v>0</v>
      </c>
      <c r="E61" s="733">
        <f t="shared" ca="1" si="8"/>
        <v>10507.326508841352</v>
      </c>
      <c r="F61" s="733">
        <f t="shared" si="8"/>
        <v>1450.1410199246423</v>
      </c>
      <c r="G61" s="733">
        <f t="shared" ca="1" si="8"/>
        <v>14251.595269259873</v>
      </c>
      <c r="H61" s="733">
        <f t="shared" si="8"/>
        <v>26377.045149731148</v>
      </c>
      <c r="I61" s="733">
        <f t="shared" si="8"/>
        <v>4570.0363802487</v>
      </c>
      <c r="J61" s="733">
        <f t="shared" si="8"/>
        <v>0</v>
      </c>
      <c r="K61" s="733">
        <f t="shared" si="8"/>
        <v>69.467262721885547</v>
      </c>
      <c r="L61" s="733">
        <f t="shared" si="8"/>
        <v>0</v>
      </c>
      <c r="M61" s="733">
        <f t="shared" ca="1" si="8"/>
        <v>0</v>
      </c>
      <c r="N61" s="733">
        <f t="shared" si="8"/>
        <v>0</v>
      </c>
      <c r="O61" s="733">
        <f t="shared" ca="1" si="8"/>
        <v>0</v>
      </c>
      <c r="P61" s="733">
        <f t="shared" si="8"/>
        <v>0</v>
      </c>
      <c r="Q61" s="733">
        <f t="shared" si="8"/>
        <v>0</v>
      </c>
      <c r="R61" s="733">
        <f ca="1">R46+R52+R56</f>
        <v>63242.706962440352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0.12439784498193354</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16929.421890000001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4213.674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21143.095890000001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16929.421890000001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4213.674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21143.095890000001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18397.356</v>
      </c>
      <c r="C4" s="462">
        <f>huishoudens!C8</f>
        <v>0</v>
      </c>
      <c r="D4" s="462">
        <f>huishoudens!D8</f>
        <v>23523.574602000001</v>
      </c>
      <c r="E4" s="462">
        <f>huishoudens!E8</f>
        <v>2272.3014858740248</v>
      </c>
      <c r="F4" s="462">
        <f>huishoudens!F8</f>
        <v>36815.167590687925</v>
      </c>
      <c r="G4" s="462">
        <f>huishoudens!G8</f>
        <v>0</v>
      </c>
      <c r="H4" s="462">
        <f>huishoudens!H8</f>
        <v>0</v>
      </c>
      <c r="I4" s="462">
        <f>huishoudens!I8</f>
        <v>0</v>
      </c>
      <c r="J4" s="462">
        <f>huishoudens!J8</f>
        <v>0</v>
      </c>
      <c r="K4" s="462">
        <f>huishoudens!K8</f>
        <v>0</v>
      </c>
      <c r="L4" s="462">
        <f>huishoudens!L8</f>
        <v>0</v>
      </c>
      <c r="M4" s="462">
        <f>huishoudens!M8</f>
        <v>0</v>
      </c>
      <c r="N4" s="462">
        <f>huishoudens!N8</f>
        <v>12043.669753475227</v>
      </c>
      <c r="O4" s="462">
        <f>huishoudens!O8</f>
        <v>101.61666666666667</v>
      </c>
      <c r="P4" s="463">
        <f>huishoudens!P8</f>
        <v>266.93333333333334</v>
      </c>
      <c r="Q4" s="464">
        <f>SUM(B4:P4)</f>
        <v>93420.619432037187</v>
      </c>
    </row>
    <row r="5" spans="1:17">
      <c r="A5" s="461" t="s">
        <v>156</v>
      </c>
      <c r="B5" s="462">
        <f ca="1">tertiair!B16</f>
        <v>12411.674999999999</v>
      </c>
      <c r="C5" s="462">
        <f ca="1">tertiair!C16</f>
        <v>0</v>
      </c>
      <c r="D5" s="462">
        <f ca="1">tertiair!D16</f>
        <v>4744.1673180000007</v>
      </c>
      <c r="E5" s="462">
        <f>tertiair!E16</f>
        <v>145.73747667593452</v>
      </c>
      <c r="F5" s="462">
        <f ca="1">tertiair!F16</f>
        <v>2432.3791249168958</v>
      </c>
      <c r="G5" s="462">
        <f>tertiair!G16</f>
        <v>0</v>
      </c>
      <c r="H5" s="462">
        <f>tertiair!H16</f>
        <v>0</v>
      </c>
      <c r="I5" s="462">
        <f>tertiair!I16</f>
        <v>0</v>
      </c>
      <c r="J5" s="462">
        <f>tertiair!J16</f>
        <v>0</v>
      </c>
      <c r="K5" s="462">
        <f>tertiair!K16</f>
        <v>0</v>
      </c>
      <c r="L5" s="462">
        <f ca="1">tertiair!L16</f>
        <v>0</v>
      </c>
      <c r="M5" s="462">
        <f>tertiair!M16</f>
        <v>0</v>
      </c>
      <c r="N5" s="462">
        <f ca="1">tertiair!N16</f>
        <v>1498.5233874654775</v>
      </c>
      <c r="O5" s="462">
        <f>tertiair!O16</f>
        <v>0</v>
      </c>
      <c r="P5" s="463">
        <f>tertiair!P16</f>
        <v>19.066666666666666</v>
      </c>
      <c r="Q5" s="461">
        <f t="shared" ref="Q5:Q14" ca="1" si="0">SUM(B5:P5)</f>
        <v>21251.548973724974</v>
      </c>
    </row>
    <row r="6" spans="1:17">
      <c r="A6" s="461" t="s">
        <v>194</v>
      </c>
      <c r="B6" s="462">
        <f>'openbare verlichting'!B8</f>
        <v>610.58900000000006</v>
      </c>
      <c r="C6" s="462"/>
      <c r="D6" s="462"/>
      <c r="E6" s="462"/>
      <c r="F6" s="462"/>
      <c r="G6" s="462"/>
      <c r="H6" s="462"/>
      <c r="I6" s="462"/>
      <c r="J6" s="462"/>
      <c r="K6" s="462"/>
      <c r="L6" s="462"/>
      <c r="M6" s="462"/>
      <c r="N6" s="462"/>
      <c r="O6" s="462"/>
      <c r="P6" s="463"/>
      <c r="Q6" s="461">
        <f t="shared" si="0"/>
        <v>610.58900000000006</v>
      </c>
    </row>
    <row r="7" spans="1:17">
      <c r="A7" s="461" t="s">
        <v>112</v>
      </c>
      <c r="B7" s="462">
        <f>landbouw!B8</f>
        <v>1302.972</v>
      </c>
      <c r="C7" s="462">
        <f>landbouw!C8</f>
        <v>0</v>
      </c>
      <c r="D7" s="462">
        <f>landbouw!D8</f>
        <v>169.52729199999999</v>
      </c>
      <c r="E7" s="462">
        <f>landbouw!E8</f>
        <v>16.419125769223662</v>
      </c>
      <c r="F7" s="462">
        <f>landbouw!F8</f>
        <v>4495.5798139900362</v>
      </c>
      <c r="G7" s="462">
        <f>landbouw!G8</f>
        <v>0</v>
      </c>
      <c r="H7" s="462">
        <f>landbouw!H8</f>
        <v>0</v>
      </c>
      <c r="I7" s="462">
        <f>landbouw!I8</f>
        <v>0</v>
      </c>
      <c r="J7" s="462">
        <f>landbouw!J8</f>
        <v>195.95217713705625</v>
      </c>
      <c r="K7" s="462">
        <f>landbouw!K8</f>
        <v>0</v>
      </c>
      <c r="L7" s="462">
        <f>landbouw!L8</f>
        <v>0</v>
      </c>
      <c r="M7" s="462">
        <f>landbouw!M8</f>
        <v>0</v>
      </c>
      <c r="N7" s="462">
        <f>landbouw!N8</f>
        <v>0</v>
      </c>
      <c r="O7" s="462">
        <f>landbouw!O8</f>
        <v>0</v>
      </c>
      <c r="P7" s="463">
        <f>landbouw!P8</f>
        <v>0</v>
      </c>
      <c r="Q7" s="461">
        <f t="shared" si="0"/>
        <v>6180.4504088963167</v>
      </c>
    </row>
    <row r="8" spans="1:17">
      <c r="A8" s="461" t="s">
        <v>657</v>
      </c>
      <c r="B8" s="462">
        <f>industrie!B18</f>
        <v>15097.932999999999</v>
      </c>
      <c r="C8" s="462">
        <f>industrie!C18</f>
        <v>0</v>
      </c>
      <c r="D8" s="462">
        <f>industrie!D18</f>
        <v>20993.464602</v>
      </c>
      <c r="E8" s="462">
        <f>industrie!E18</f>
        <v>3536.0888745669272</v>
      </c>
      <c r="F8" s="462">
        <f>industrie!F18</f>
        <v>9633.6347784945538</v>
      </c>
      <c r="G8" s="462">
        <f>industrie!G18</f>
        <v>0</v>
      </c>
      <c r="H8" s="462">
        <f>industrie!H18</f>
        <v>0</v>
      </c>
      <c r="I8" s="462">
        <f>industrie!I18</f>
        <v>0</v>
      </c>
      <c r="J8" s="462">
        <f>industrie!J18</f>
        <v>0.28302829199899382</v>
      </c>
      <c r="K8" s="462">
        <f>industrie!K18</f>
        <v>0</v>
      </c>
      <c r="L8" s="462">
        <f>industrie!L18</f>
        <v>0</v>
      </c>
      <c r="M8" s="462">
        <f>industrie!M18</f>
        <v>0</v>
      </c>
      <c r="N8" s="462">
        <f>industrie!N18</f>
        <v>4554.1312138577132</v>
      </c>
      <c r="O8" s="462">
        <f>industrie!O18</f>
        <v>0</v>
      </c>
      <c r="P8" s="463">
        <f>industrie!P18</f>
        <v>0</v>
      </c>
      <c r="Q8" s="461">
        <f t="shared" si="0"/>
        <v>53815.535497211189</v>
      </c>
    </row>
    <row r="9" spans="1:17" s="467" customFormat="1">
      <c r="A9" s="465" t="s">
        <v>574</v>
      </c>
      <c r="B9" s="466">
        <f>transport!B14</f>
        <v>7.0267801029359687</v>
      </c>
      <c r="C9" s="466">
        <f>transport!C14</f>
        <v>0</v>
      </c>
      <c r="D9" s="466">
        <f>transport!D14</f>
        <v>11.992051551243305</v>
      </c>
      <c r="E9" s="466">
        <f>transport!E14</f>
        <v>417.73946849997918</v>
      </c>
      <c r="F9" s="466">
        <f>transport!F14</f>
        <v>0</v>
      </c>
      <c r="G9" s="466">
        <f>transport!G14</f>
        <v>97432.58095998416</v>
      </c>
      <c r="H9" s="466">
        <f>transport!H14</f>
        <v>18353.559760034939</v>
      </c>
      <c r="I9" s="466">
        <f>transport!I14</f>
        <v>0</v>
      </c>
      <c r="J9" s="466">
        <f>transport!J14</f>
        <v>0</v>
      </c>
      <c r="K9" s="466">
        <f>transport!K14</f>
        <v>0</v>
      </c>
      <c r="L9" s="466">
        <f>transport!L14</f>
        <v>0</v>
      </c>
      <c r="M9" s="466">
        <f>transport!M14</f>
        <v>5234.69744052439</v>
      </c>
      <c r="N9" s="466">
        <f>transport!N14</f>
        <v>0</v>
      </c>
      <c r="O9" s="466">
        <f>transport!O14</f>
        <v>0</v>
      </c>
      <c r="P9" s="466">
        <f>transport!P14</f>
        <v>0</v>
      </c>
      <c r="Q9" s="465">
        <f>SUM(B9:P9)</f>
        <v>121457.59646069766</v>
      </c>
    </row>
    <row r="10" spans="1:17">
      <c r="A10" s="461" t="s">
        <v>564</v>
      </c>
      <c r="B10" s="462">
        <f>transport!B54</f>
        <v>0</v>
      </c>
      <c r="C10" s="462">
        <f>transport!C54</f>
        <v>0</v>
      </c>
      <c r="D10" s="462">
        <f>transport!D54</f>
        <v>0</v>
      </c>
      <c r="E10" s="462">
        <f>transport!E54</f>
        <v>0</v>
      </c>
      <c r="F10" s="462">
        <f>transport!F54</f>
        <v>0</v>
      </c>
      <c r="G10" s="462">
        <f>transport!G54</f>
        <v>1357.8503124171425</v>
      </c>
      <c r="H10" s="462">
        <f>transport!H54</f>
        <v>0</v>
      </c>
      <c r="I10" s="462">
        <f>transport!I54</f>
        <v>0</v>
      </c>
      <c r="J10" s="462">
        <f>transport!J54</f>
        <v>0</v>
      </c>
      <c r="K10" s="462">
        <f>transport!K54</f>
        <v>0</v>
      </c>
      <c r="L10" s="462">
        <f>transport!L54</f>
        <v>0</v>
      </c>
      <c r="M10" s="462">
        <f>transport!M54</f>
        <v>60.386924581508858</v>
      </c>
      <c r="N10" s="462">
        <f>transport!N54</f>
        <v>0</v>
      </c>
      <c r="O10" s="462">
        <f>transport!O54</f>
        <v>0</v>
      </c>
      <c r="P10" s="463">
        <f>transport!P54</f>
        <v>0</v>
      </c>
      <c r="Q10" s="461">
        <f t="shared" si="0"/>
        <v>1418.2372369986513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542.22</v>
      </c>
      <c r="C14" s="469"/>
      <c r="D14" s="469">
        <f>'SEAP template'!E25</f>
        <v>2573.7420000000002</v>
      </c>
      <c r="E14" s="469"/>
      <c r="F14" s="469"/>
      <c r="G14" s="469"/>
      <c r="H14" s="469"/>
      <c r="I14" s="469"/>
      <c r="J14" s="469"/>
      <c r="K14" s="469"/>
      <c r="L14" s="469"/>
      <c r="M14" s="469"/>
      <c r="N14" s="469"/>
      <c r="O14" s="469"/>
      <c r="P14" s="470"/>
      <c r="Q14" s="461">
        <f t="shared" si="0"/>
        <v>3115.9620000000004</v>
      </c>
    </row>
    <row r="15" spans="1:17" s="474" customFormat="1">
      <c r="A15" s="471" t="s">
        <v>568</v>
      </c>
      <c r="B15" s="472">
        <f ca="1">SUM(B4:B14)</f>
        <v>48369.771780102936</v>
      </c>
      <c r="C15" s="472">
        <f t="shared" ref="C15:Q15" ca="1" si="1">SUM(C4:C14)</f>
        <v>0</v>
      </c>
      <c r="D15" s="472">
        <f t="shared" ca="1" si="1"/>
        <v>52016.46786555124</v>
      </c>
      <c r="E15" s="472">
        <f t="shared" si="1"/>
        <v>6388.2864313860891</v>
      </c>
      <c r="F15" s="472">
        <f t="shared" ca="1" si="1"/>
        <v>53376.761308089408</v>
      </c>
      <c r="G15" s="472">
        <f t="shared" si="1"/>
        <v>98790.4312724013</v>
      </c>
      <c r="H15" s="472">
        <f t="shared" si="1"/>
        <v>18353.559760034939</v>
      </c>
      <c r="I15" s="472">
        <f t="shared" si="1"/>
        <v>0</v>
      </c>
      <c r="J15" s="472">
        <f t="shared" si="1"/>
        <v>196.23520542905524</v>
      </c>
      <c r="K15" s="472">
        <f t="shared" si="1"/>
        <v>0</v>
      </c>
      <c r="L15" s="472">
        <f t="shared" ca="1" si="1"/>
        <v>0</v>
      </c>
      <c r="M15" s="472">
        <f t="shared" si="1"/>
        <v>5295.0843651058985</v>
      </c>
      <c r="N15" s="472">
        <f t="shared" ca="1" si="1"/>
        <v>18096.324354798417</v>
      </c>
      <c r="O15" s="472">
        <f t="shared" si="1"/>
        <v>101.61666666666667</v>
      </c>
      <c r="P15" s="472">
        <f t="shared" si="1"/>
        <v>286</v>
      </c>
      <c r="Q15" s="472">
        <f t="shared" ca="1" si="1"/>
        <v>301270.53900956595</v>
      </c>
    </row>
    <row r="17" spans="1:17">
      <c r="A17" s="475" t="s">
        <v>569</v>
      </c>
      <c r="B17" s="781">
        <f ca="1">huishoudens!B10</f>
        <v>0.12439784498193354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2288.5914397654451</v>
      </c>
      <c r="C22" s="462">
        <f t="shared" ref="C22:C32" ca="1" si="3">C4*$C$17</f>
        <v>0</v>
      </c>
      <c r="D22" s="462">
        <f t="shared" ref="D22:D32" si="4">D4*$D$17</f>
        <v>4751.7620696040003</v>
      </c>
      <c r="E22" s="462">
        <f t="shared" ref="E22:E32" si="5">E4*$E$17</f>
        <v>515.8124372934036</v>
      </c>
      <c r="F22" s="462">
        <f t="shared" ref="F22:F32" si="6">F4*$F$17</f>
        <v>9829.649746713676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17385.815693376524</v>
      </c>
    </row>
    <row r="23" spans="1:17">
      <c r="A23" s="461" t="s">
        <v>156</v>
      </c>
      <c r="B23" s="462">
        <f t="shared" ca="1" si="2"/>
        <v>1543.9856226161398</v>
      </c>
      <c r="C23" s="462">
        <f t="shared" ca="1" si="3"/>
        <v>0</v>
      </c>
      <c r="D23" s="462">
        <f t="shared" ca="1" si="4"/>
        <v>958.32179823600018</v>
      </c>
      <c r="E23" s="462">
        <f t="shared" si="5"/>
        <v>33.082407205437136</v>
      </c>
      <c r="F23" s="462">
        <f t="shared" ca="1" si="6"/>
        <v>649.44522635281123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3184.8350544103887</v>
      </c>
    </row>
    <row r="24" spans="1:17">
      <c r="A24" s="461" t="s">
        <v>194</v>
      </c>
      <c r="B24" s="462">
        <f t="shared" ca="1" si="2"/>
        <v>75.955955769673821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75.955955769673821</v>
      </c>
    </row>
    <row r="25" spans="1:17">
      <c r="A25" s="461" t="s">
        <v>112</v>
      </c>
      <c r="B25" s="462">
        <f t="shared" ca="1" si="2"/>
        <v>162.08690887179992</v>
      </c>
      <c r="C25" s="462">
        <f t="shared" ca="1" si="3"/>
        <v>0</v>
      </c>
      <c r="D25" s="462">
        <f t="shared" si="4"/>
        <v>34.244512983999996</v>
      </c>
      <c r="E25" s="462">
        <f t="shared" si="5"/>
        <v>3.7271415496137714</v>
      </c>
      <c r="F25" s="462">
        <f t="shared" si="6"/>
        <v>1200.3198103353398</v>
      </c>
      <c r="G25" s="462">
        <f t="shared" si="7"/>
        <v>0</v>
      </c>
      <c r="H25" s="462">
        <f t="shared" si="8"/>
        <v>0</v>
      </c>
      <c r="I25" s="462">
        <f t="shared" si="9"/>
        <v>0</v>
      </c>
      <c r="J25" s="462">
        <f t="shared" si="10"/>
        <v>69.367070706517907</v>
      </c>
      <c r="K25" s="462">
        <f t="shared" si="11"/>
        <v>0</v>
      </c>
      <c r="L25" s="462">
        <f t="shared" si="12"/>
        <v>0</v>
      </c>
      <c r="M25" s="462">
        <f t="shared" si="13"/>
        <v>0</v>
      </c>
      <c r="N25" s="462">
        <f t="shared" si="14"/>
        <v>0</v>
      </c>
      <c r="O25" s="462">
        <f t="shared" si="15"/>
        <v>0</v>
      </c>
      <c r="P25" s="463">
        <f t="shared" si="16"/>
        <v>0</v>
      </c>
      <c r="Q25" s="461">
        <f t="shared" ca="1" si="17"/>
        <v>1469.7454444472714</v>
      </c>
    </row>
    <row r="26" spans="1:17">
      <c r="A26" s="461" t="s">
        <v>657</v>
      </c>
      <c r="B26" s="462">
        <f t="shared" ca="1" si="2"/>
        <v>1878.1503288816186</v>
      </c>
      <c r="C26" s="462">
        <f t="shared" ca="1" si="3"/>
        <v>0</v>
      </c>
      <c r="D26" s="462">
        <f t="shared" si="4"/>
        <v>4240.6798496040001</v>
      </c>
      <c r="E26" s="462">
        <f t="shared" si="5"/>
        <v>802.6921745266925</v>
      </c>
      <c r="F26" s="462">
        <f t="shared" si="6"/>
        <v>2572.1804858580458</v>
      </c>
      <c r="G26" s="462">
        <f t="shared" si="7"/>
        <v>0</v>
      </c>
      <c r="H26" s="462">
        <f t="shared" si="8"/>
        <v>0</v>
      </c>
      <c r="I26" s="462">
        <f t="shared" si="9"/>
        <v>0</v>
      </c>
      <c r="J26" s="462">
        <f t="shared" si="10"/>
        <v>0.10019201536764381</v>
      </c>
      <c r="K26" s="462">
        <f t="shared" si="11"/>
        <v>0</v>
      </c>
      <c r="L26" s="462">
        <f t="shared" si="12"/>
        <v>0</v>
      </c>
      <c r="M26" s="462">
        <f t="shared" si="13"/>
        <v>0</v>
      </c>
      <c r="N26" s="462">
        <f t="shared" si="14"/>
        <v>0</v>
      </c>
      <c r="O26" s="462">
        <f t="shared" si="15"/>
        <v>0</v>
      </c>
      <c r="P26" s="463">
        <f t="shared" si="16"/>
        <v>0</v>
      </c>
      <c r="Q26" s="461">
        <f t="shared" ca="1" si="17"/>
        <v>9493.8030308857251</v>
      </c>
    </row>
    <row r="27" spans="1:17" s="467" customFormat="1">
      <c r="A27" s="465" t="s">
        <v>574</v>
      </c>
      <c r="B27" s="775">
        <f t="shared" ca="1" si="2"/>
        <v>0.87411630196716361</v>
      </c>
      <c r="C27" s="466">
        <f t="shared" ca="1" si="3"/>
        <v>0</v>
      </c>
      <c r="D27" s="466">
        <f t="shared" si="4"/>
        <v>2.4223944133511477</v>
      </c>
      <c r="E27" s="466">
        <f t="shared" si="5"/>
        <v>94.82685934949528</v>
      </c>
      <c r="F27" s="466">
        <f t="shared" si="6"/>
        <v>0</v>
      </c>
      <c r="G27" s="466">
        <f t="shared" si="7"/>
        <v>26014.499116315772</v>
      </c>
      <c r="H27" s="466">
        <f t="shared" si="8"/>
        <v>4570.0363802487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30682.658866629288</v>
      </c>
    </row>
    <row r="28" spans="1:17">
      <c r="A28" s="461" t="s">
        <v>564</v>
      </c>
      <c r="B28" s="462">
        <f t="shared" ca="1" si="2"/>
        <v>0</v>
      </c>
      <c r="C28" s="462">
        <f t="shared" ca="1" si="3"/>
        <v>0</v>
      </c>
      <c r="D28" s="462">
        <f t="shared" si="4"/>
        <v>0</v>
      </c>
      <c r="E28" s="462">
        <f t="shared" si="5"/>
        <v>0</v>
      </c>
      <c r="F28" s="462">
        <f t="shared" si="6"/>
        <v>0</v>
      </c>
      <c r="G28" s="462">
        <f t="shared" si="7"/>
        <v>362.54603341537705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362.54603341537705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67.450999506104012</v>
      </c>
      <c r="C32" s="462">
        <f t="shared" ca="1" si="3"/>
        <v>0</v>
      </c>
      <c r="D32" s="462">
        <f t="shared" si="4"/>
        <v>519.89588400000002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587.34688350610406</v>
      </c>
    </row>
    <row r="33" spans="1:17" s="474" customFormat="1">
      <c r="A33" s="471" t="s">
        <v>568</v>
      </c>
      <c r="B33" s="472">
        <f ca="1">SUM(B22:B32)</f>
        <v>6017.0953717127486</v>
      </c>
      <c r="C33" s="472">
        <f t="shared" ref="C33:Q33" ca="1" si="18">SUM(C22:C32)</f>
        <v>0</v>
      </c>
      <c r="D33" s="472">
        <f t="shared" ca="1" si="18"/>
        <v>10507.326508841352</v>
      </c>
      <c r="E33" s="472">
        <f t="shared" si="18"/>
        <v>1450.1410199246423</v>
      </c>
      <c r="F33" s="472">
        <f t="shared" ca="1" si="18"/>
        <v>14251.595269259871</v>
      </c>
      <c r="G33" s="472">
        <f t="shared" si="18"/>
        <v>26377.045149731148</v>
      </c>
      <c r="H33" s="472">
        <f t="shared" si="18"/>
        <v>4570.0363802487</v>
      </c>
      <c r="I33" s="472">
        <f t="shared" si="18"/>
        <v>0</v>
      </c>
      <c r="J33" s="472">
        <f t="shared" si="18"/>
        <v>69.467262721885547</v>
      </c>
      <c r="K33" s="472">
        <f t="shared" si="18"/>
        <v>0</v>
      </c>
      <c r="L33" s="472">
        <f t="shared" ca="1" si="18"/>
        <v>0</v>
      </c>
      <c r="M33" s="472">
        <f t="shared" si="18"/>
        <v>0</v>
      </c>
      <c r="N33" s="472">
        <f t="shared" ca="1" si="18"/>
        <v>0</v>
      </c>
      <c r="O33" s="472">
        <f t="shared" si="18"/>
        <v>0</v>
      </c>
      <c r="P33" s="472">
        <f t="shared" si="18"/>
        <v>0</v>
      </c>
      <c r="Q33" s="472">
        <f t="shared" ca="1" si="18"/>
        <v>63242.706962440352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16929.421890000001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4213.674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21143.095890000001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0.12439784498193354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0.12439784498193354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2019-08-12T08:04:40Z</dcterms:modified>
</cp:coreProperties>
</file>