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O18" s="1"/>
  <c r="K20"/>
  <c r="D20"/>
  <c r="B17"/>
  <c r="G12"/>
  <c r="F12"/>
  <c r="E12"/>
  <c r="D12"/>
  <c r="C12"/>
  <c r="G10"/>
  <c r="D10"/>
  <c r="B6"/>
  <c r="B5"/>
  <c r="B4"/>
  <c r="I102" l="1"/>
  <c r="H17" s="1"/>
  <c r="H20" s="1"/>
  <c r="B102"/>
  <c r="C17" s="1"/>
  <c r="C20" s="1"/>
  <c r="C102"/>
  <c r="F102"/>
  <c r="G102"/>
  <c r="O9"/>
  <c r="B10"/>
  <c r="B8"/>
  <c r="C98"/>
  <c r="B20"/>
  <c r="O19"/>
  <c r="D102"/>
  <c r="H102"/>
  <c r="E101"/>
  <c r="E8" s="1"/>
  <c r="E10" s="1"/>
  <c r="E102"/>
  <c r="E17" s="1"/>
  <c r="E20" s="1"/>
  <c r="N6" i="17"/>
  <c r="I101" i="18" l="1"/>
  <c r="H8" s="1"/>
  <c r="H10" s="1"/>
  <c r="H101"/>
  <c r="J8" s="1"/>
  <c r="J10" s="1"/>
  <c r="B101"/>
  <c r="C8" s="1"/>
  <c r="C10" s="1"/>
  <c r="C101"/>
  <c r="D101"/>
  <c r="F101"/>
  <c r="G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J26" s="1"/>
  <c r="I24"/>
  <c r="H24"/>
  <c r="H26" s="1"/>
  <c r="Q50"/>
  <c r="P50"/>
  <c r="O50"/>
  <c r="M50"/>
  <c r="L50"/>
  <c r="K50"/>
  <c r="J50"/>
  <c r="G50"/>
  <c r="D50"/>
  <c r="Q49"/>
  <c r="Q52" s="1"/>
  <c r="P49"/>
  <c r="Q20"/>
  <c r="P20"/>
  <c r="O20"/>
  <c r="M20"/>
  <c r="L20"/>
  <c r="L22" s="1"/>
  <c r="K20"/>
  <c r="J20"/>
  <c r="J22" s="1"/>
  <c r="G20"/>
  <c r="D20"/>
  <c r="D22" s="1"/>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Q22"/>
  <c r="I10" i="18" l="1"/>
  <c r="O8"/>
  <c r="O10" s="1"/>
  <c r="L78" i="14"/>
  <c r="L9" i="59"/>
  <c r="P28" i="48"/>
  <c r="Q11"/>
  <c r="O28"/>
  <c r="K22" i="14"/>
  <c r="K20" i="59"/>
  <c r="H20"/>
  <c r="L20"/>
  <c r="K78" i="14"/>
  <c r="K8" i="59"/>
  <c r="K10" s="1"/>
  <c r="E90" i="14"/>
  <c r="E18" i="59"/>
  <c r="E20" s="1"/>
  <c r="D14" i="48"/>
  <c r="L10" i="59"/>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L10" i="14"/>
  <c r="L16" s="1"/>
  <c r="L27" s="1"/>
  <c r="K5" i="48"/>
  <c r="D30"/>
  <c r="D29"/>
  <c r="D31"/>
  <c r="D24"/>
  <c r="D28"/>
  <c r="D32"/>
  <c r="L27"/>
  <c r="L32"/>
  <c r="L29"/>
  <c r="L28"/>
  <c r="L22"/>
  <c r="L31"/>
  <c r="L30"/>
  <c r="L24"/>
  <c r="P5"/>
  <c r="P23" s="1"/>
  <c r="Q10" i="14"/>
  <c r="K32" i="48"/>
  <c r="K28"/>
  <c r="K26"/>
  <c r="K24"/>
  <c r="K27"/>
  <c r="K29"/>
  <c r="K25"/>
  <c r="K22"/>
  <c r="K31"/>
  <c r="K30"/>
  <c r="B7"/>
  <c r="C24" i="14"/>
  <c r="C26" s="1"/>
  <c r="J15" i="16"/>
  <c r="H29" i="48"/>
  <c r="H26"/>
  <c r="H32"/>
  <c r="H28"/>
  <c r="H24"/>
  <c r="H25"/>
  <c r="H22"/>
  <c r="H30"/>
  <c r="H23"/>
  <c r="E32"/>
  <c r="E31"/>
  <c r="E28"/>
  <c r="E24"/>
  <c r="E29"/>
  <c r="E30"/>
  <c r="M32"/>
  <c r="M26"/>
  <c r="M25"/>
  <c r="M29"/>
  <c r="M22"/>
  <c r="M30"/>
  <c r="M24"/>
  <c r="M23"/>
  <c r="J29"/>
  <c r="J32"/>
  <c r="J27"/>
  <c r="J30"/>
  <c r="J28"/>
  <c r="J31"/>
  <c r="J24"/>
  <c r="P4"/>
  <c r="Q11" i="14"/>
  <c r="O4" i="48"/>
  <c r="P11" i="14"/>
  <c r="I22" i="48"/>
  <c r="I31"/>
  <c r="I26"/>
  <c r="I32"/>
  <c r="I25"/>
  <c r="I27"/>
  <c r="I24"/>
  <c r="I28"/>
  <c r="I30"/>
  <c r="I29"/>
  <c r="N46" i="14"/>
  <c r="D11"/>
  <c r="C4" i="48"/>
  <c r="G32"/>
  <c r="G26"/>
  <c r="G25"/>
  <c r="G29"/>
  <c r="G24"/>
  <c r="G22"/>
  <c r="G30"/>
  <c r="G23"/>
  <c r="C11" i="14"/>
  <c r="B4" i="48"/>
  <c r="F32"/>
  <c r="F27"/>
  <c r="F30"/>
  <c r="F24"/>
  <c r="F29"/>
  <c r="F28"/>
  <c r="F31"/>
  <c r="N32"/>
  <c r="N27"/>
  <c r="N29"/>
  <c r="N31"/>
  <c r="N24"/>
  <c r="N30"/>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C22"/>
  <c r="O22" i="48"/>
  <c r="L63" i="14"/>
  <c r="M12" i="22"/>
  <c r="N18" i="14"/>
  <c r="M13" i="48"/>
  <c r="M31" s="1"/>
  <c r="P22" i="16"/>
  <c r="Q43" i="14" s="1"/>
  <c r="P8" i="48"/>
  <c r="P26" s="1"/>
  <c r="Q13" i="14"/>
  <c r="Q16"/>
  <c r="Q27" s="1"/>
  <c r="E9" i="48"/>
  <c r="F20" i="14"/>
  <c r="F22" s="1"/>
  <c r="K15" i="48"/>
  <c r="K23"/>
  <c r="K33" s="1"/>
  <c r="D9"/>
  <c r="D27" s="1"/>
  <c r="E20" i="14"/>
  <c r="E22" s="1"/>
  <c r="B9" i="48"/>
  <c r="C20" i="14"/>
  <c r="O5" i="48"/>
  <c r="O23" s="1"/>
  <c r="P10" i="14"/>
  <c r="F4" i="48"/>
  <c r="F22" s="1"/>
  <c r="G11" i="14"/>
  <c r="K24"/>
  <c r="K26" s="1"/>
  <c r="J7" i="48"/>
  <c r="J25" s="1"/>
  <c r="J10" i="14"/>
  <c r="J16" s="1"/>
  <c r="J27" s="1"/>
  <c r="I5" i="48"/>
  <c r="P22"/>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M9"/>
  <c r="N20" i="14"/>
  <c r="Q13" i="48"/>
  <c r="G31"/>
  <c r="H20" i="14"/>
  <c r="G9" i="48"/>
  <c r="O8"/>
  <c r="O26" s="1"/>
  <c r="P13" i="14"/>
  <c r="P16" s="1"/>
  <c r="P27" s="1"/>
  <c r="P46"/>
  <c r="P61" s="1"/>
  <c r="P33" i="48"/>
  <c r="R18" i="14"/>
  <c r="P15" i="48"/>
  <c r="M10"/>
  <c r="M28" s="1"/>
  <c r="N19" i="14"/>
  <c r="N22" s="1"/>
  <c r="N27" s="1"/>
  <c r="N63" s="1"/>
  <c r="E7" i="48"/>
  <c r="E25" s="1"/>
  <c r="F24" i="14"/>
  <c r="F26" s="1"/>
  <c r="H19"/>
  <c r="R19" s="1"/>
  <c r="G10" i="48"/>
  <c r="I23"/>
  <c r="I33" s="1"/>
  <c r="I15"/>
  <c r="Q63" i="14"/>
  <c r="O33" i="48"/>
  <c r="O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M27" i="48"/>
  <c r="M33" s="1"/>
  <c r="M15"/>
  <c r="I20" i="14"/>
  <c r="H9" i="48"/>
  <c r="P63" i="14"/>
  <c r="E20" i="15"/>
  <c r="F40" i="14" s="1"/>
  <c r="E5" i="48"/>
  <c r="E23" s="1"/>
  <c r="F10" i="14"/>
  <c r="E22" i="48"/>
  <c r="Q4"/>
  <c r="R11" i="14"/>
  <c r="J5" i="48"/>
  <c r="J23" s="1"/>
  <c r="K10" i="14"/>
  <c r="G28" i="48"/>
  <c r="Q10"/>
  <c r="G27"/>
  <c r="G15"/>
  <c r="J22"/>
  <c r="H22" i="14"/>
  <c r="H27" s="1"/>
  <c r="Q9" i="48"/>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G33" i="48"/>
  <c r="E33"/>
  <c r="E8"/>
  <c r="E26" s="1"/>
  <c r="F13" i="14"/>
  <c r="R20"/>
  <c r="R22" s="1"/>
  <c r="I22"/>
  <c r="I27" s="1"/>
  <c r="J15" i="48"/>
  <c r="J22" i="16"/>
  <c r="K43" i="14" s="1"/>
  <c r="K46" s="1"/>
  <c r="K61" s="1"/>
  <c r="K13"/>
  <c r="K16" s="1"/>
  <c r="K27" s="1"/>
  <c r="J8" i="48"/>
  <c r="J26" s="1"/>
  <c r="J33" s="1"/>
  <c r="H27"/>
  <c r="H33" s="1"/>
  <c r="H15"/>
  <c r="E22" i="16"/>
  <c r="F43" i="14" s="1"/>
  <c r="F46" s="1"/>
  <c r="F61" s="1"/>
  <c r="I63"/>
  <c r="Q5" i="48"/>
  <c r="H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<sst xmlns="http://schemas.openxmlformats.org/spreadsheetml/2006/main" count="2450" uniqueCount="924">
  <si>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</si>
  <si>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</si>
  <si>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</si>
  <si>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</si>
  <si>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</si>
  <si>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</si>
  <si>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</si>
  <si>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</si>
  <si>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</si>
  <si>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</si>
  <si>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</si>
  <si>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</si>
  <si>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</si>
  <si>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</si>
  <si>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</si>
  <si>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</si>
  <si>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</si>
  <si>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</si>
  <si>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</si>
  <si>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</si>
  <si>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</si>
  <si>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</si>
  <si>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</si>
  <si>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</si>
  <si>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</si>
  <si>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</si>
  <si>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</si>
  <si>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</si>
  <si>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</si>
  <si>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</si>
  <si>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</si>
  <si>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</si>
  <si>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</si>
  <si>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</si>
  <si>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</si>
  <si>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</si>
  <si>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</si>
  <si>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</si>
  <si>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</si>
  <si>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</si>
  <si>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</si>
  <si>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</si>
  <si>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</si>
  <si>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</si>
  <si>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</si>
  <si>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</si>
  <si>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</si>
  <si>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</si>
  <si>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</si>
  <si>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</si>
  <si>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</si>
  <si>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</si>
  <si>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</si>
  <si>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</si>
  <si>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</si>
  <si>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</si>
  <si>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</si>
  <si>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</si>
  <si>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</si>
  <si>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</si>
  <si>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</si>
  <si>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</si>
  <si>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</si>
  <si>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</si>
  <si>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</si>
  <si>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</si>
  <si>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</si>
  <si>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</si>
  <si>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</si>
  <si>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</si>
  <si>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</si>
  <si>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</si>
  <si>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</si>
  <si>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</si>
  <si>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</si>
  <si>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</si>
  <si>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</si>
  <si>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</si>
  <si>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</si>
  <si>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</si>
  <si>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</si>
  <si>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</si>
  <si>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</si>
  <si>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</si>
  <si>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</si>
  <si>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</si>
  <si>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</si>
  <si>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</si>
  <si>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</si>
  <si>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</si>
  <si>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</si>
  <si>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</si>
  <si>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</si>
  <si>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</si>
  <si>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</si>
  <si>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</si>
  <si>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</si>
  <si>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</si>
  <si>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</si>
  <si>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</si>
  <si>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</si>
  <si>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</si>
  <si>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</si>
  <si>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</si>
  <si>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</si>
  <si>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</si>
  <si>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</si>
  <si>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</si>
  <si>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</si>
  <si>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</si>
  <si>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</si>
  <si>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</si>
  <si>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</si>
  <si>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</si>
  <si>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</si>
  <si>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</si>
  <si>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</si>
  <si>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</si>
  <si>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</si>
  <si>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</si>
  <si>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</si>
  <si>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</si>
  <si>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</si>
  <si>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</si>
  <si>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</si>
  <si>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</si>
  <si>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</si>
  <si>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</si>
  <si>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</si>
  <si>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</si>
  <si>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</si>
  <si>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</si>
  <si>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</si>
  <si>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</si>
  <si>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</si>
  <si>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</si>
  <si>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</si>
  <si>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</si>
  <si>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</si>
  <si>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</si>
  <si>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</si>
  <si>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</si>
  <si>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</si>
  <si>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</si>
  <si>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</si>
  <si>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</si>
  <si>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</si>
  <si>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</si>
  <si>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</si>
  <si>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</si>
  <si>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</si>
  <si>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</si>
  <si>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</si>
  <si>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</si>
  <si>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</si>
  <si>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</si>
  <si>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</si>
  <si>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</si>
  <si>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</si>
  <si>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</si>
  <si>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</si>
  <si>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</si>
  <si>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</si>
  <si>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</si>
  <si>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</si>
  <si>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</si>
  <si>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</si>
  <si>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</si>
  <si>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</si>
  <si>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</si>
  <si>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</si>
  <si>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</si>
  <si>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</si>
  <si>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</si>
  <si>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</si>
  <si>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</si>
  <si>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</si>
  <si>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</si>
  <si>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</si>
  <si>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</si>
  <si>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</si>
  <si>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</si>
  <si>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</si>
  <si>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</si>
  <si>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</si>
  <si>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</si>
  <si>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</si>
  <si>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</si>
  <si>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</si>
  <si>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</si>
  <si>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</si>
  <si>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</si>
  <si>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</si>
  <si>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</si>
  <si>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</si>
  <si>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</si>
  <si>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</si>
  <si>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</si>
  <si>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</si>
  <si>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</si>
  <si>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</si>
  <si>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</si>
  <si>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</si>
  <si>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</si>
  <si>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</si>
  <si>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</si>
  <si>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</si>
  <si>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</si>
  <si>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</si>
  <si>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</si>
  <si>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</si>
  <si>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</si>
  <si>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</si>
  <si>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</si>
  <si>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</si>
  <si>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</si>
  <si>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</si>
  <si>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</si>
  <si>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</si>
  <si>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</si>
  <si>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</si>
  <si>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</si>
  <si>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</si>
  <si>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</si>
  <si>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</si>
  <si>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</si>
  <si>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</si>
  <si>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</si>
  <si>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</si>
  <si>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</si>
  <si>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</si>
  <si>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</si>
  <si>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</si>
  <si>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</si>
  <si>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</si>
  <si>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</si>
  <si>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</si>
  <si>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</si>
  <si>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</si>
  <si>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</si>
  <si>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</si>
  <si>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</si>
  <si>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</si>
  <si>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</si>
  <si>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</si>
  <si>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</si>
  <si>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</si>
  <si>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</si>
  <si>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</si>
  <si>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</si>
  <si>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</si>
  <si>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</si>
  <si>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</si>
  <si>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</si>
  <si>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</si>
  <si>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</si>
  <si>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</si>
  <si>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</si>
  <si>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</si>
  <si>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</si>
  <si>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</si>
  <si>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</si>
  <si>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</si>
  <si>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</si>
  <si>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</si>
  <si>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</si>
  <si>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</si>
  <si>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</si>
  <si>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</si>
  <si>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</si>
  <si>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</si>
  <si>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</si>
  <si>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</si>
  <si>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</si>
  <si>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</si>
  <si>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</si>
  <si>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</si>
  <si>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</si>
  <si>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</si>
  <si>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</si>
  <si>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</si>
  <si>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</si>
  <si>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</si>
  <si>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</si>
  <si>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</si>
  <si>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</si>
  <si>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</si>
  <si>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</si>
  <si>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</si>
  <si>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</si>
  <si>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</si>
  <si>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</si>
  <si>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</si>
  <si>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</si>
  <si>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</si>
  <si>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</si>
  <si>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</si>
  <si>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</si>
  <si>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</si>
  <si>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</si>
  <si>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</si>
  <si>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</si>
  <si>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</si>
  <si>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</si>
  <si>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</si>
  <si>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</si>
  <si>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</si>
  <si>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</si>
  <si>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</si>
  <si>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</si>
  <si>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</si>
  <si>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</si>
  <si>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</si>
  <si>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</si>
  <si>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</si>
  <si>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</si>
  <si>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</si>
  <si>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</si>
  <si>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</si>
  <si>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</si>
  <si>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</si>
  <si>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</si>
  <si>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</si>
  <si>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</si>
  <si>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</si>
  <si>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</si>
  <si>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</si>
  <si>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</si>
  <si>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</si>
  <si>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</si>
  <si>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</si>
  <si>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</si>
  <si>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</si>
  <si>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</si>
  <si>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</si>
  <si>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</si>
  <si>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</si>
  <si>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</si>
  <si>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</si>
  <si>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</si>
  <si>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</si>
  <si>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</si>
  <si>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</si>
  <si>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</si>
  <si>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</si>
  <si>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</si>
  <si>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</si>
  <si>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</si>
  <si>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</si>
  <si>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</si>
  <si>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</si>
  <si>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</si>
  <si>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</si>
  <si>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</si>
  <si>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</si>
  <si>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</si>
  <si>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</si>
  <si>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</si>
  <si>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</si>
  <si>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</si>
  <si>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</si>
  <si>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</si>
  <si>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</si>
  <si>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</si>
  <si>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</si>
  <si>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</si>
  <si>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</si>
  <si>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</si>
  <si>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</si>
  <si>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</si>
  <si>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</si>
  <si>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</si>
  <si>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</si>
  <si>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</si>
  <si>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</si>
  <si>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</si>
  <si>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</si>
  <si>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</si>
  <si>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</si>
  <si>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</si>
  <si>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</si>
  <si>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</si>
  <si>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</si>
  <si>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</si>
  <si>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</si>
  <si>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</si>
  <si>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</si>
  <si>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</si>
  <si>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</si>
  <si>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</si>
  <si>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</si>
  <si>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</si>
  <si>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</si>
  <si>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</si>
  <si>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</si>
  <si>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</si>
  <si>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</si>
  <si>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</si>
  <si>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</si>
  <si>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</si>
  <si>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</si>
  <si>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</si>
  <si>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</si>
  <si>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</si>
  <si>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</si>
  <si>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</si>
  <si>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</si>
  <si>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</si>
  <si>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</si>
  <si>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</si>
  <si>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</si>
  <si>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</si>
  <si>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</si>
  <si>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</si>
  <si>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</si>
  <si>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</si>
  <si>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</si>
  <si>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</si>
  <si>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</si>
  <si>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</si>
  <si>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</si>
  <si>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</si>
  <si>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</si>
  <si>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</si>
  <si>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</si>
  <si>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</si>
  <si>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</si>
  <si>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</si>
  <si>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</si>
  <si>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</si>
  <si>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</si>
  <si>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</si>
  <si>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</si>
  <si>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</si>
  <si>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</si>
  <si>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</si>
  <si>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</si>
  <si>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</si>
  <si>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</si>
  <si>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</si>
  <si>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</si>
  <si>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</si>
  <si>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</si>
  <si>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</si>
  <si>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</si>
  <si>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</si>
  <si>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</si>
  <si>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</si>
  <si>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</si>
  <si>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</si>
  <si>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</si>
  <si>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</si>
  <si>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</si>
  <si>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</si>
  <si>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</si>
  <si>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</si>
  <si>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</si>
  <si>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</si>
  <si>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</si>
  <si>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</si>
  <si>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</si>
  <si>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</si>
  <si>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</si>
  <si>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</si>
  <si>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</si>
  <si>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</si>
  <si>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</si>
  <si>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</si>
  <si>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</si>
  <si>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</si>
  <si>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</si>
  <si>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</si>
  <si>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</si>
  <si>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</si>
  <si>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</si>
  <si>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</si>
  <si>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</si>
  <si>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</si>
  <si>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</si>
  <si>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</si>
  <si>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</si>
  <si>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</si>
  <si>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</si>
  <si>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</si>
  <si>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</si>
  <si>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</si>
  <si>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</si>
  <si>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</si>
  <si>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</si>
  <si>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</si>
  <si>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</si>
  <si>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</si>
  <si>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</si>
  <si>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</si>
  <si>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</si>
  <si>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</si>
  <si>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</si>
  <si>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</si>
  <si>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</si>
  <si>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</si>
  <si>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</si>
  <si>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</si>
  <si>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</si>
  <si>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</si>
  <si>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</si>
  <si>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</si>
  <si>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</si>
  <si>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</si>
  <si>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</si>
  <si>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</si>
  <si>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</si>
  <si>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</si>
  <si>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</si>
  <si>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</si>
  <si>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</si>
  <si>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</si>
  <si>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</si>
  <si>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</si>
  <si>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</si>
  <si>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</si>
  <si>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</si>
  <si>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</si>
  <si>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</si>
  <si>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</si>
  <si>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</si>
  <si>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</si>
  <si>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</si>
  <si>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</si>
  <si>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</si>
  <si>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</si>
  <si>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</si>
  <si>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</si>
  <si>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</si>
  <si>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</si>
  <si>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</si>
  <si>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</si>
  <si>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</si>
  <si>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</si>
  <si>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</si>
  <si>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</si>
  <si>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</si>
  <si>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</si>
  <si>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</si>
  <si>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</si>
  <si>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</si>
  <si>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</si>
  <si>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</si>
  <si>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</si>
  <si>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</si>
  <si>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</si>
  <si>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</si>
  <si>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</si>
  <si>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</si>
  <si>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</si>
  <si>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</si>
  <si>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</si>
  <si>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</si>
  <si>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</si>
  <si>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</si>
  <si>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</si>
  <si>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</si>
  <si>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</si>
  <si>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</si>
  <si>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</si>
  <si>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</si>
  <si>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</si>
  <si>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</si>
  <si>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</si>
  <si>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</si>
  <si>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</si>
  <si>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</si>
  <si>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</si>
  <si>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</si>
  <si>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</si>
  <si>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</si>
  <si>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</si>
  <si>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</si>
  <si>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</si>
  <si>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</si>
  <si>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</si>
  <si>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</si>
  <si>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</si>
  <si>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</si>
  <si>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</si>
  <si>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</si>
  <si>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</si>
  <si>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</si>
  <si>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</si>
  <si>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</si>
  <si>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</si>
  <si>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</si>
  <si>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</si>
  <si>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</si>
  <si>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</si>
  <si>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</si>
  <si>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</si>
  <si>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</si>
  <si>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</si>
  <si>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</si>
  <si>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</si>
  <si>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</si>
  <si>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</si>
  <si>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</si>
  <si>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</si>
  <si>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</si>
  <si>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</si>
  <si>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</si>
  <si>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</si>
  <si>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</si>
  <si>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</si>
  <si>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</si>
  <si>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</si>
  <si>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</si>
  <si>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</si>
  <si>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</si>
  <si>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</si>
  <si>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</si>
  <si>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</si>
  <si>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</si>
  <si>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</si>
  <si>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</si>
  <si>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</si>
  <si>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</si>
  <si>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</si>
  <si>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</si>
  <si>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</si>
  <si>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</si>
  <si>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</si>
  <si>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</si>
  <si>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</si>
  <si>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</si>
  <si>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</si>
  <si>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</si>
  <si>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</si>
  <si>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</si>
  <si>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</si>
  <si>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</si>
  <si>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</si>
  <si>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</si>
  <si>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</si>
  <si>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</si>
  <si>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</si>
  <si>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</si>
  <si>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</si>
  <si>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</si>
  <si>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</si>
  <si>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</si>
  <si>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</si>
  <si>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</si>
  <si>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</si>
  <si>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</si>
  <si>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</si>
  <si>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</si>
  <si>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</si>
  <si>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</si>
  <si>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</si>
  <si>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</si>
  <si>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</si>
  <si>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</si>
  <si>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</si>
  <si>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</si>
  <si>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</si>
  <si>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</si>
  <si>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</si>
  <si>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</si>
  <si>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</si>
  <si>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</si>
  <si>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</si>
  <si>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</si>
  <si>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</si>
  <si>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</si>
  <si>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</si>
  <si>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</si>
  <si>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</si>
  <si>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</si>
  <si>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</si>
  <si>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</si>
  <si>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</si>
  <si>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</si>
  <si>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</si>
  <si>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</si>
  <si>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</si>
  <si>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</si>
  <si>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</si>
  <si>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</si>
  <si>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</si>
  <si>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</si>
  <si>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</si>
  <si>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</si>
  <si>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</si>
  <si>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</si>
  <si>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</si>
  <si>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</si>
  <si>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</si>
  <si>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</si>
  <si>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</si>
  <si>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</si>
  <si>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</si>
  <si>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</si>
  <si>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</si>
  <si>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</si>
  <si>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</si>
  <si>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</si>
  <si>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</si>
  <si>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</si>
  <si>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</si>
  <si>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</si>
  <si>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</si>
  <si>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</si>
  <si>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</si>
  <si>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</si>
  <si>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</si>
  <si>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</si>
  <si>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</si>
  <si>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</si>
  <si>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</si>
  <si>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</si>
  <si>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</si>
  <si>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</si>
  <si>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</si>
  <si>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</si>
  <si>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</si>
  <si>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</si>
  <si>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</si>
  <si>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</si>
  <si>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</si>
  <si>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</si>
  <si>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</si>
  <si>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</si>
  <si>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</si>
  <si>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</si>
  <si>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</si>
  <si>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</si>
  <si>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</si>
  <si>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</si>
  <si>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</si>
  <si>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</si>
  <si>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</si>
  <si>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</si>
  <si>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</si>
  <si>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</si>
  <si>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</si>
  <si>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</si>
  <si>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</si>
  <si>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</si>
  <si>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</si>
  <si>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</si>
  <si>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</si>
  <si>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</si>
  <si>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</si>
  <si>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</si>
  <si>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</si>
  <si>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</si>
  <si>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</si>
  <si>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</si>
  <si>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</si>
  <si>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</si>
  <si>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</si>
  <si>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</si>
  <si>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</si>
  <si>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</si>
  <si>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</si>
  <si>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</si>
  <si>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</si>
  <si>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</si>
  <si>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</si>
  <si>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</si>
  <si>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</si>
  <si>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</si>
  <si>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</si>
  <si>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</si>
  <si>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</si>
  <si>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</si>
  <si>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</si>
  <si>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</si>
  <si>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</si>
  <si>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</si>
  <si>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</si>
  <si>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</si>
  <si>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</si>
  <si>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</si>
  <si>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</si>
  <si>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</si>
  <si>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</si>
  <si>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</si>
  <si>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</si>
  <si>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</si>
  <si>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</si>
  <si>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</si>
  <si>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</si>
  <si>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</si>
  <si>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</si>
  <si>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</si>
  <si>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</si>
  <si>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</si>
  <si>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</si>
  <si>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</si>
  <si>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</si>
  <si>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</si>
  <si>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</si>
  <si>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</si>
  <si>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</si>
  <si>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</si>
  <si>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</si>
  <si>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</si>
  <si>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</si>
  <si>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</si>
  <si>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</si>
  <si>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</si>
  <si>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</si>
  <si>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</si>
  <si>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</si>
  <si>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</si>
  <si>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</si>
  <si>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</si>
  <si>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</si>
  <si>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</si>
  <si>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</si>
  <si>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</si>
  <si>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</si>
  <si>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</si>
  <si>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</si>
  <si>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</si>
  <si>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</si>
  <si>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</si>
  <si>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</si>
  <si>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</si>
  <si>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</si>
  <si>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</si>
  <si>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</si>
  <si>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</si>
  <si>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</si>
  <si>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</si>
  <si>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</si>
  <si>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</si>
  <si>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</si>
  <si>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</si>
  <si>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</si>
  <si>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</si>
  <si>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</si>
  <si>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</si>
  <si>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</si>
  <si>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</si>
  <si>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</si>
  <si>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</si>
  <si>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</si>
  <si>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</si>
  <si>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</si>
  <si>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</si>
  <si>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</si>
  <si>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</si>
  <si>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</si>
  <si>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</si>
  <si>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</si>
  <si>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</si>
  <si>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</si>
  <si>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</si>
  <si>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</si>
  <si>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</si>
  <si>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</si>
  <si>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</si>
  <si>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</si>
  <si>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</si>
  <si>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</si>
  <si>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</si>
  <si>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</si>
  <si>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</si>
  <si>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</si>
  <si>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</si>
  <si>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</si>
  <si>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</si>
  <si>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</si>
  <si>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</si>
  <si>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</si>
  <si>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</si>
  <si>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</si>
  <si>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</si>
  <si>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</si>
  <si>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</si>
  <si>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</si>
  <si>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</si>
  <si>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</si>
  <si>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</si>
  <si>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</si>
  <si>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</si>
  <si>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</si>
  <si>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</si>
  <si>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</si>
  <si>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</si>
  <si>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</si>
  <si>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</si>
  <si>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</si>
  <si>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</si>
  <si>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</si>
  <si>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</si>
  <si>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</si>
  <si>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</si>
  <si>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</si>
  <si>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</si>
  <si>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</si>
  <si>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</si>
  <si>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</si>
  <si>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</si>
  <si>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</si>
  <si>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</si>
  <si>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</si>
  <si>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46013</t>
  </si>
  <si>
    <t>KRUIBEKE</t>
  </si>
  <si>
    <t>Cultuurgrond (ha)</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</si>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</sst>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137201.70281464918</c:v>
                </c:pt>
                <c:pt idx="1">
                  <c:v>35248.957674423655</c:v>
                </c:pt>
                <c:pt idx="2">
                  <c:v>1293.479</c:v>
                </c:pt>
                <c:pt idx="3">
                  <c:v>11129.25782839619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137201.70281464918</c:v>
                </c:pt>
                <c:pt idx="1">
                  <c:v>35248.957674423655</c:v>
                </c:pt>
                <c:pt idx="2">
                  <c:v>1293.479</c:v>
                </c:pt>
                <c:pt idx="3">
                  <c:v>11129.25782839619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22545.459714271703</c:v>
                </c:pt>
                <c:pt idx="2">
                  <c:v>6253.8258594467834</c:v>
                </c:pt>
                <c:pt idx="3">
                  <c:v>183.56958281625427</c:v>
                </c:pt>
                <c:pt idx="4">
                  <c:v>2209.8370808083823</c:v>
                </c:pt>
                <c:pt idx="5">
                  <c:v>6294.8673862925343</c:v>
                </c:pt>
                <c:pt idx="6">
                  <c:v>40405.623525902622</c:v>
                </c:pt>
                <c:pt idx="7">
                  <c:v>380.13008905439131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22545.459714271703</c:v>
                </c:pt>
                <c:pt idx="2">
                  <c:v>6253.8258594467834</c:v>
                </c:pt>
                <c:pt idx="3">
                  <c:v>183.56958281625427</c:v>
                </c:pt>
                <c:pt idx="4">
                  <c:v>2209.8370808083823</c:v>
                </c:pt>
                <c:pt idx="5">
                  <c:v>6294.8673862925343</c:v>
                </c:pt>
                <c:pt idx="6">
                  <c:v>40405.623525902622</c:v>
                </c:pt>
                <c:pt idx="7">
                  <c:v>380.13008905439131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46013</v>
      </c>
      <c r="B6" s="398"/>
      <c r="C6" s="399"/>
    </row>
    <row r="7" spans="1:7" s="396" customFormat="1" ht="15.75" customHeight="1">
      <c r="A7" s="400" t="str">
        <f>txtMunicipality</f>
        <v>KRUIBEKE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0.14191926024021592</v>
      </c>
      <c r="C17" s="512">
        <f ca="1">'EF ele_warmte'!B22</f>
        <v>0.11553351573187415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0.14191926024021592</v>
      </c>
      <c r="C29" s="513">
        <f ca="1">'EF ele_warmte'!B22</f>
        <v>0.11553351573187415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46013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6599</v>
      </c>
      <c r="C9" s="338">
        <v>6925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1682</v>
      </c>
    </row>
    <row r="15" spans="1:6">
      <c r="A15" s="1295" t="s">
        <v>184</v>
      </c>
      <c r="B15" s="335">
        <v>23</v>
      </c>
    </row>
    <row r="16" spans="1:6">
      <c r="A16" s="1295" t="s">
        <v>6</v>
      </c>
      <c r="B16" s="335">
        <v>1071</v>
      </c>
    </row>
    <row r="17" spans="1:6">
      <c r="A17" s="1295" t="s">
        <v>7</v>
      </c>
      <c r="B17" s="335">
        <v>453</v>
      </c>
    </row>
    <row r="18" spans="1:6">
      <c r="A18" s="1295" t="s">
        <v>8</v>
      </c>
      <c r="B18" s="335">
        <v>903</v>
      </c>
    </row>
    <row r="19" spans="1:6">
      <c r="A19" s="1295" t="s">
        <v>9</v>
      </c>
      <c r="B19" s="335">
        <v>778</v>
      </c>
    </row>
    <row r="20" spans="1:6">
      <c r="A20" s="1295" t="s">
        <v>10</v>
      </c>
      <c r="B20" s="335">
        <v>514</v>
      </c>
    </row>
    <row r="21" spans="1:6">
      <c r="A21" s="1295" t="s">
        <v>11</v>
      </c>
      <c r="B21" s="335">
        <v>6203</v>
      </c>
    </row>
    <row r="22" spans="1:6">
      <c r="A22" s="1295" t="s">
        <v>12</v>
      </c>
      <c r="B22" s="335">
        <v>22984</v>
      </c>
    </row>
    <row r="23" spans="1:6">
      <c r="A23" s="1295" t="s">
        <v>13</v>
      </c>
      <c r="B23" s="335">
        <v>356</v>
      </c>
    </row>
    <row r="24" spans="1:6">
      <c r="A24" s="1295" t="s">
        <v>14</v>
      </c>
      <c r="B24" s="335">
        <v>36</v>
      </c>
    </row>
    <row r="25" spans="1:6">
      <c r="A25" s="1295" t="s">
        <v>15</v>
      </c>
      <c r="B25" s="335">
        <v>1703</v>
      </c>
    </row>
    <row r="26" spans="1:6">
      <c r="A26" s="1295" t="s">
        <v>16</v>
      </c>
      <c r="B26" s="335">
        <v>42</v>
      </c>
    </row>
    <row r="27" spans="1:6">
      <c r="A27" s="1295" t="s">
        <v>17</v>
      </c>
      <c r="B27" s="335">
        <v>0</v>
      </c>
    </row>
    <row r="28" spans="1:6" s="341" customFormat="1">
      <c r="A28" s="1296" t="s">
        <v>18</v>
      </c>
      <c r="B28" s="1296">
        <v>3125</v>
      </c>
    </row>
    <row r="29" spans="1:6">
      <c r="A29" s="1296" t="s">
        <v>909</v>
      </c>
      <c r="B29" s="1296">
        <v>59</v>
      </c>
      <c r="C29" s="341"/>
      <c r="D29" s="341"/>
      <c r="E29" s="341"/>
      <c r="F29" s="341"/>
    </row>
    <row r="30" spans="1:6">
      <c r="A30" s="1291" t="s">
        <v>910</v>
      </c>
      <c r="B30" s="1291">
        <v>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32703.1217219891</v>
      </c>
    </row>
    <row r="37" spans="1:6">
      <c r="A37" s="1295" t="s">
        <v>25</v>
      </c>
      <c r="B37" s="1295" t="s">
        <v>28</v>
      </c>
      <c r="C37" s="335">
        <v>0</v>
      </c>
      <c r="D37" s="335">
        <v>0</v>
      </c>
      <c r="E37" s="335">
        <v>0</v>
      </c>
      <c r="F37" s="335">
        <v>0</v>
      </c>
    </row>
    <row r="38" spans="1:6">
      <c r="A38" s="1295" t="s">
        <v>25</v>
      </c>
      <c r="B38" s="1295" t="s">
        <v>29</v>
      </c>
      <c r="C38" s="335">
        <v>0</v>
      </c>
      <c r="D38" s="335">
        <v>0</v>
      </c>
      <c r="E38" s="335">
        <v>3</v>
      </c>
      <c r="F38" s="335">
        <v>7151</v>
      </c>
    </row>
    <row r="39" spans="1:6">
      <c r="A39" s="1295" t="s">
        <v>30</v>
      </c>
      <c r="B39" s="1295" t="s">
        <v>31</v>
      </c>
      <c r="C39" s="335">
        <v>5240</v>
      </c>
      <c r="D39" s="335">
        <v>95254317.263737693</v>
      </c>
      <c r="E39" s="335">
        <v>6568</v>
      </c>
      <c r="F39" s="335">
        <v>27510493.165725701</v>
      </c>
    </row>
    <row r="40" spans="1:6">
      <c r="A40" s="1295" t="s">
        <v>30</v>
      </c>
      <c r="B40" s="1295" t="s">
        <v>29</v>
      </c>
      <c r="C40" s="335">
        <v>0</v>
      </c>
      <c r="D40" s="335">
        <v>0</v>
      </c>
      <c r="E40" s="335">
        <v>0</v>
      </c>
      <c r="F40" s="335">
        <v>0</v>
      </c>
    </row>
    <row r="41" spans="1:6">
      <c r="A41" s="1295" t="s">
        <v>32</v>
      </c>
      <c r="B41" s="1295" t="s">
        <v>33</v>
      </c>
      <c r="C41" s="335">
        <v>50</v>
      </c>
      <c r="D41" s="335">
        <v>1531403.9244728</v>
      </c>
      <c r="E41" s="335">
        <v>111</v>
      </c>
      <c r="F41" s="335">
        <v>1131574.0087581801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13</v>
      </c>
      <c r="F44" s="335">
        <v>313089.72733765101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9714607.5083835609</v>
      </c>
      <c r="E48" s="335">
        <v>49</v>
      </c>
      <c r="F48" s="335">
        <v>3473095.6983395</v>
      </c>
    </row>
    <row r="49" spans="1:6">
      <c r="A49" s="1295" t="s">
        <v>32</v>
      </c>
      <c r="B49" s="1295" t="s">
        <v>40</v>
      </c>
      <c r="C49" s="335">
        <v>0</v>
      </c>
      <c r="D49" s="335">
        <v>0</v>
      </c>
      <c r="E49" s="335">
        <v>0</v>
      </c>
      <c r="F49" s="335">
        <v>0</v>
      </c>
    </row>
    <row r="50" spans="1:6">
      <c r="A50" s="1295" t="s">
        <v>32</v>
      </c>
      <c r="B50" s="1295" t="s">
        <v>41</v>
      </c>
      <c r="C50" s="335">
        <v>7</v>
      </c>
      <c r="D50" s="335">
        <v>621273.66605258302</v>
      </c>
      <c r="E50" s="335">
        <v>11</v>
      </c>
      <c r="F50" s="335">
        <v>5147681.5702734804</v>
      </c>
    </row>
    <row r="51" spans="1:6">
      <c r="A51" s="1295" t="s">
        <v>42</v>
      </c>
      <c r="B51" s="1295" t="s">
        <v>43</v>
      </c>
      <c r="C51" s="335">
        <v>10</v>
      </c>
      <c r="D51" s="335">
        <v>200994.29920616801</v>
      </c>
      <c r="E51" s="335">
        <v>83</v>
      </c>
      <c r="F51" s="335">
        <v>1904142.5424631301</v>
      </c>
    </row>
    <row r="52" spans="1:6">
      <c r="A52" s="1295" t="s">
        <v>42</v>
      </c>
      <c r="B52" s="1295" t="s">
        <v>29</v>
      </c>
      <c r="C52" s="335">
        <v>5</v>
      </c>
      <c r="D52" s="335">
        <v>77920.247851584296</v>
      </c>
      <c r="E52" s="335">
        <v>3</v>
      </c>
      <c r="F52" s="335">
        <v>55707.145526856701</v>
      </c>
    </row>
    <row r="53" spans="1:6">
      <c r="A53" s="1295" t="s">
        <v>44</v>
      </c>
      <c r="B53" s="1295" t="s">
        <v>45</v>
      </c>
      <c r="C53" s="335">
        <v>103</v>
      </c>
      <c r="D53" s="335">
        <v>2860982.5051657399</v>
      </c>
      <c r="E53" s="335">
        <v>190</v>
      </c>
      <c r="F53" s="335">
        <v>1137714.00809187</v>
      </c>
    </row>
    <row r="54" spans="1:6">
      <c r="A54" s="1295" t="s">
        <v>46</v>
      </c>
      <c r="B54" s="1295" t="s">
        <v>47</v>
      </c>
      <c r="C54" s="335">
        <v>0</v>
      </c>
      <c r="D54" s="335">
        <v>0</v>
      </c>
      <c r="E54" s="335">
        <v>1</v>
      </c>
      <c r="F54" s="335">
        <v>1293479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v>
      </c>
      <c r="D57" s="335">
        <v>739269.20690770203</v>
      </c>
      <c r="E57" s="335">
        <v>61</v>
      </c>
      <c r="F57" s="335">
        <v>1311125.6939435599</v>
      </c>
    </row>
    <row r="58" spans="1:6">
      <c r="A58" s="1295" t="s">
        <v>49</v>
      </c>
      <c r="B58" s="1295" t="s">
        <v>51</v>
      </c>
      <c r="C58" s="335">
        <v>10</v>
      </c>
      <c r="D58" s="335">
        <v>271990.10881387</v>
      </c>
      <c r="E58" s="335">
        <v>17</v>
      </c>
      <c r="F58" s="335">
        <v>160274.66418916499</v>
      </c>
    </row>
    <row r="59" spans="1:6">
      <c r="A59" s="1295" t="s">
        <v>49</v>
      </c>
      <c r="B59" s="1295" t="s">
        <v>52</v>
      </c>
      <c r="C59" s="335">
        <v>70</v>
      </c>
      <c r="D59" s="335">
        <v>3036441.57685989</v>
      </c>
      <c r="E59" s="335">
        <v>149</v>
      </c>
      <c r="F59" s="335">
        <v>5156468.0712303901</v>
      </c>
    </row>
    <row r="60" spans="1:6">
      <c r="A60" s="1295" t="s">
        <v>49</v>
      </c>
      <c r="B60" s="1295" t="s">
        <v>53</v>
      </c>
      <c r="C60" s="335">
        <v>41</v>
      </c>
      <c r="D60" s="335">
        <v>2419538.66673639</v>
      </c>
      <c r="E60" s="335">
        <v>47</v>
      </c>
      <c r="F60" s="335">
        <v>1195675.22152447</v>
      </c>
    </row>
    <row r="61" spans="1:6">
      <c r="A61" s="1295" t="s">
        <v>49</v>
      </c>
      <c r="B61" s="1295" t="s">
        <v>54</v>
      </c>
      <c r="C61" s="335">
        <v>149</v>
      </c>
      <c r="D61" s="335">
        <v>8105627.0891417405</v>
      </c>
      <c r="E61" s="335">
        <v>298</v>
      </c>
      <c r="F61" s="335">
        <v>4076325.8763625599</v>
      </c>
    </row>
    <row r="62" spans="1:6">
      <c r="A62" s="1295" t="s">
        <v>49</v>
      </c>
      <c r="B62" s="1295" t="s">
        <v>55</v>
      </c>
      <c r="C62" s="335">
        <v>0</v>
      </c>
      <c r="D62" s="335">
        <v>0</v>
      </c>
      <c r="E62" s="335">
        <v>13</v>
      </c>
      <c r="F62" s="335">
        <v>367750.05563266599</v>
      </c>
    </row>
    <row r="63" spans="1:6">
      <c r="A63" s="1295" t="s">
        <v>49</v>
      </c>
      <c r="B63" s="1295" t="s">
        <v>29</v>
      </c>
      <c r="C63" s="335">
        <v>81</v>
      </c>
      <c r="D63" s="335">
        <v>4785565.4076930499</v>
      </c>
      <c r="E63" s="335">
        <v>83</v>
      </c>
      <c r="F63" s="335">
        <v>1545406.51148689</v>
      </c>
    </row>
    <row r="64" spans="1:6">
      <c r="A64" s="1295" t="s">
        <v>56</v>
      </c>
      <c r="B64" s="1295" t="s">
        <v>57</v>
      </c>
      <c r="C64" s="335">
        <v>0</v>
      </c>
      <c r="D64" s="335">
        <v>0</v>
      </c>
      <c r="E64" s="335">
        <v>0</v>
      </c>
      <c r="F64" s="335">
        <v>0</v>
      </c>
    </row>
    <row r="65" spans="1:6">
      <c r="A65" s="1295" t="s">
        <v>56</v>
      </c>
      <c r="B65" s="1295" t="s">
        <v>29</v>
      </c>
      <c r="C65" s="335">
        <v>6</v>
      </c>
      <c r="D65" s="335">
        <v>198154.37626637501</v>
      </c>
      <c r="E65" s="335">
        <v>3</v>
      </c>
      <c r="F65" s="335">
        <v>16932.395664430001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260809.66192964799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32229626</v>
      </c>
      <c r="E73" s="335">
        <v>27935499.542987224</v>
      </c>
    </row>
    <row r="74" spans="1:6">
      <c r="A74" s="1295" t="s">
        <v>64</v>
      </c>
      <c r="B74" s="1295" t="s">
        <v>727</v>
      </c>
      <c r="C74" s="1295" t="s">
        <v>728</v>
      </c>
      <c r="D74" s="335">
        <v>3439571.9979297547</v>
      </c>
      <c r="E74" s="335">
        <v>3147654.7360984501</v>
      </c>
    </row>
    <row r="75" spans="1:6">
      <c r="A75" s="1295" t="s">
        <v>65</v>
      </c>
      <c r="B75" s="1295" t="s">
        <v>725</v>
      </c>
      <c r="C75" s="1295" t="s">
        <v>729</v>
      </c>
      <c r="D75" s="335">
        <v>15322991</v>
      </c>
      <c r="E75" s="335">
        <v>16400935.886866452</v>
      </c>
    </row>
    <row r="76" spans="1:6">
      <c r="A76" s="1295" t="s">
        <v>65</v>
      </c>
      <c r="B76" s="1295" t="s">
        <v>727</v>
      </c>
      <c r="C76" s="1295" t="s">
        <v>730</v>
      </c>
      <c r="D76" s="335">
        <v>1364572.9979297549</v>
      </c>
      <c r="E76" s="335">
        <v>1389364.7018404072</v>
      </c>
    </row>
    <row r="77" spans="1:6">
      <c r="A77" s="1295" t="s">
        <v>66</v>
      </c>
      <c r="B77" s="1295" t="s">
        <v>725</v>
      </c>
      <c r="C77" s="1295" t="s">
        <v>731</v>
      </c>
      <c r="D77" s="335">
        <v>84098750</v>
      </c>
      <c r="E77" s="335">
        <v>87713931.956496045</v>
      </c>
    </row>
    <row r="78" spans="1:6">
      <c r="A78" s="1291" t="s">
        <v>66</v>
      </c>
      <c r="B78" s="1291" t="s">
        <v>727</v>
      </c>
      <c r="C78" s="1291" t="s">
        <v>732</v>
      </c>
      <c r="D78" s="1291">
        <v>21267104</v>
      </c>
      <c r="E78" s="1291">
        <v>22392271.446752328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392854.00414049037</v>
      </c>
      <c r="C83" s="335">
        <v>392057.77863058838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15273.282789999999</v>
      </c>
    </row>
    <row r="91" spans="1:6">
      <c r="A91" s="1295" t="s">
        <v>68</v>
      </c>
      <c r="B91" s="335">
        <v>3041.759</v>
      </c>
    </row>
    <row r="92" spans="1:6">
      <c r="A92" s="1291" t="s">
        <v>69</v>
      </c>
      <c r="B92" s="338">
        <v>1301.269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3655</v>
      </c>
    </row>
    <row r="98" spans="1:6">
      <c r="A98" s="1295" t="s">
        <v>72</v>
      </c>
      <c r="B98" s="335">
        <v>0</v>
      </c>
    </row>
    <row r="99" spans="1:6">
      <c r="A99" s="1295" t="s">
        <v>73</v>
      </c>
      <c r="B99" s="335">
        <v>30</v>
      </c>
    </row>
    <row r="100" spans="1:6">
      <c r="A100" s="1295" t="s">
        <v>74</v>
      </c>
      <c r="B100" s="335">
        <v>641</v>
      </c>
    </row>
    <row r="101" spans="1:6">
      <c r="A101" s="1295" t="s">
        <v>75</v>
      </c>
      <c r="B101" s="335">
        <v>139</v>
      </c>
    </row>
    <row r="102" spans="1:6">
      <c r="A102" s="1295" t="s">
        <v>76</v>
      </c>
      <c r="B102" s="335">
        <v>145</v>
      </c>
    </row>
    <row r="103" spans="1:6">
      <c r="A103" s="1295" t="s">
        <v>77</v>
      </c>
      <c r="B103" s="335">
        <v>202</v>
      </c>
    </row>
    <row r="104" spans="1:6">
      <c r="A104" s="1295" t="s">
        <v>78</v>
      </c>
      <c r="B104" s="335">
        <v>883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13</v>
      </c>
      <c r="C123" s="335">
        <v>28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113</v>
      </c>
    </row>
    <row r="130" spans="1:6">
      <c r="A130" s="1295" t="s">
        <v>295</v>
      </c>
      <c r="B130" s="335">
        <v>2</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58828.950645019715</v>
      </c>
      <c r="C3" s="43" t="s">
        <v>170</v>
      </c>
      <c r="D3" s="43"/>
      <c r="E3" s="156"/>
      <c r="F3" s="43"/>
      <c r="G3" s="43"/>
      <c r="H3" s="43"/>
      <c r="I3" s="43"/>
      <c r="J3" s="43"/>
      <c r="K3" s="96"/>
    </row>
    <row r="4" spans="1:11">
      <c r="A4" s="366" t="s">
        <v>171</v>
      </c>
      <c r="B4" s="49">
        <f>IF(ISERROR('SEAP template'!B78+'SEAP template'!C78),0,'SEAP template'!B78+'SEAP template'!C78)</f>
        <v>22622.31079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347.29374829001381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0.14191926024021592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412.80125170998633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3573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0.11553351573187415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1293.479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1293.479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0.14191926024021592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183.56958281625427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27510.4931657257</v>
      </c>
      <c r="C5" s="17">
        <f>IF(ISERROR('Eigen informatie GS &amp; warmtenet'!B57),0,'Eigen informatie GS &amp; warmtenet'!B57)</f>
        <v>0</v>
      </c>
      <c r="D5" s="30">
        <f>(SUM(HH_hh_gas_kWh,HH_rest_gas_kWh)/1000)*0.902</f>
        <v>85919.394171891414</v>
      </c>
      <c r="E5" s="17">
        <f>B46*B57</f>
        <v>1001.3674032487096</v>
      </c>
      <c r="F5" s="17">
        <f>B51*B62</f>
        <v>0</v>
      </c>
      <c r="G5" s="18"/>
      <c r="H5" s="17"/>
      <c r="I5" s="17"/>
      <c r="J5" s="17">
        <f>B50*B61+C50*C61</f>
        <v>1769.7137428809492</v>
      </c>
      <c r="K5" s="17"/>
      <c r="L5" s="17"/>
      <c r="M5" s="17"/>
      <c r="N5" s="17">
        <f>B48*B59+C48*C59</f>
        <v>17393.781997569047</v>
      </c>
      <c r="O5" s="17">
        <f>B69*B70*B71</f>
        <v>221.99333333333334</v>
      </c>
      <c r="P5" s="17">
        <f>B77*B78*B79/1000-B77*B78*B79/1000/B80</f>
        <v>343.2</v>
      </c>
    </row>
    <row r="6" spans="1:16">
      <c r="A6" s="16" t="s">
        <v>634</v>
      </c>
      <c r="B6" s="783">
        <f>kWh_PV_kleiner_dan_10kW</f>
        <v>3041.759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30552.252165725702</v>
      </c>
      <c r="C8" s="21">
        <f>C5</f>
        <v>0</v>
      </c>
      <c r="D8" s="21">
        <f>D5</f>
        <v>85919.394171891414</v>
      </c>
      <c r="E8" s="21">
        <f>E5</f>
        <v>1001.3674032487096</v>
      </c>
      <c r="F8" s="21">
        <f>F5</f>
        <v>0</v>
      </c>
      <c r="G8" s="21"/>
      <c r="H8" s="21"/>
      <c r="I8" s="21"/>
      <c r="J8" s="21">
        <f>J5</f>
        <v>1769.7137428809492</v>
      </c>
      <c r="K8" s="21"/>
      <c r="L8" s="21">
        <f>L5</f>
        <v>0</v>
      </c>
      <c r="M8" s="21">
        <f>M5</f>
        <v>0</v>
      </c>
      <c r="N8" s="21">
        <f>N5</f>
        <v>17393.781997569047</v>
      </c>
      <c r="O8" s="21">
        <f>O5</f>
        <v>221.99333333333334</v>
      </c>
      <c r="P8" s="21">
        <f>P5</f>
        <v>343.2</v>
      </c>
    </row>
    <row r="9" spans="1:16">
      <c r="B9" s="19"/>
      <c r="C9" s="19"/>
      <c r="D9" s="261"/>
      <c r="E9" s="19"/>
      <c r="F9" s="19"/>
      <c r="G9" s="19"/>
      <c r="H9" s="19"/>
      <c r="I9" s="19"/>
      <c r="J9" s="19"/>
      <c r="K9" s="19"/>
      <c r="L9" s="19"/>
      <c r="M9" s="19"/>
      <c r="N9" s="19"/>
      <c r="O9" s="19"/>
      <c r="P9" s="19"/>
    </row>
    <row r="10" spans="1:16">
      <c r="A10" s="24" t="s">
        <v>214</v>
      </c>
      <c r="B10" s="25">
        <f ca="1">'EF ele_warmte'!B12</f>
        <v>0.14191926024021592</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4335.9530260323263</v>
      </c>
      <c r="C12" s="23">
        <f ca="1">C10*C8</f>
        <v>0</v>
      </c>
      <c r="D12" s="23">
        <f>D8*D10</f>
        <v>17355.717622722066</v>
      </c>
      <c r="E12" s="23">
        <f>E10*E8</f>
        <v>227.3104005374571</v>
      </c>
      <c r="F12" s="23">
        <f>F10*F8</f>
        <v>0</v>
      </c>
      <c r="G12" s="23"/>
      <c r="H12" s="23"/>
      <c r="I12" s="23"/>
      <c r="J12" s="23">
        <f>J10*J8</f>
        <v>626.47866497985603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3655</v>
      </c>
      <c r="C18" s="168" t="s">
        <v>111</v>
      </c>
      <c r="D18" s="230"/>
      <c r="E18" s="15"/>
    </row>
    <row r="19" spans="1:7">
      <c r="A19" s="173" t="s">
        <v>72</v>
      </c>
      <c r="B19" s="37">
        <f>aantalw2001_ander</f>
        <v>0</v>
      </c>
      <c r="C19" s="168" t="s">
        <v>111</v>
      </c>
      <c r="D19" s="231"/>
      <c r="E19" s="15"/>
    </row>
    <row r="20" spans="1:7">
      <c r="A20" s="173" t="s">
        <v>73</v>
      </c>
      <c r="B20" s="37">
        <f>aantalw2001_propaan</f>
        <v>30</v>
      </c>
      <c r="C20" s="169">
        <f>IF(ISERROR(B20/SUM($B$20,$B$21,$B$22)*100),0,B20/SUM($B$20,$B$21,$B$22)*100)</f>
        <v>3.7037037037037033</v>
      </c>
      <c r="D20" s="231"/>
      <c r="E20" s="15"/>
    </row>
    <row r="21" spans="1:7">
      <c r="A21" s="173" t="s">
        <v>74</v>
      </c>
      <c r="B21" s="37">
        <f>aantalw2001_elektriciteit</f>
        <v>641</v>
      </c>
      <c r="C21" s="169">
        <f>IF(ISERROR(B21/SUM($B$20,$B$21,$B$22)*100),0,B21/SUM($B$20,$B$21,$B$22)*100)</f>
        <v>79.135802469135811</v>
      </c>
      <c r="D21" s="231"/>
      <c r="E21" s="15"/>
    </row>
    <row r="22" spans="1:7">
      <c r="A22" s="173" t="s">
        <v>75</v>
      </c>
      <c r="B22" s="37">
        <f>aantalw2001_hout</f>
        <v>139</v>
      </c>
      <c r="C22" s="169">
        <f>IF(ISERROR(B22/SUM($B$20,$B$21,$B$22)*100),0,B22/SUM($B$20,$B$21,$B$22)*100)</f>
        <v>17.160493827160494</v>
      </c>
      <c r="D22" s="231"/>
      <c r="E22" s="15"/>
    </row>
    <row r="23" spans="1:7">
      <c r="A23" s="173" t="s">
        <v>76</v>
      </c>
      <c r="B23" s="37">
        <f>aantalw2001_niet_gespec</f>
        <v>145</v>
      </c>
      <c r="C23" s="168" t="s">
        <v>111</v>
      </c>
      <c r="D23" s="230"/>
      <c r="E23" s="15"/>
    </row>
    <row r="24" spans="1:7">
      <c r="A24" s="173" t="s">
        <v>77</v>
      </c>
      <c r="B24" s="37">
        <f>aantalw2001_steenkool</f>
        <v>202</v>
      </c>
      <c r="C24" s="168" t="s">
        <v>111</v>
      </c>
      <c r="D24" s="231"/>
      <c r="E24" s="15"/>
    </row>
    <row r="25" spans="1:7">
      <c r="A25" s="173" t="s">
        <v>78</v>
      </c>
      <c r="B25" s="37">
        <f>aantalw2001_stookolie</f>
        <v>883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6599</v>
      </c>
      <c r="C28" s="36"/>
      <c r="D28" s="230"/>
    </row>
    <row r="29" spans="1:7" s="15" customFormat="1">
      <c r="A29" s="232" t="s">
        <v>746</v>
      </c>
      <c r="B29" s="37">
        <f>SUM(HH_hh_gas_aantal,HH_rest_gas_aantal)</f>
        <v>5240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5240</v>
      </c>
      <c r="C32" s="169">
        <f>IF(ISERROR(B32/SUM($B$32,$B$34,$B$35,$B$36,$B$38,$B$39)*100),0,B32/SUM($B$32,$B$34,$B$35,$B$36,$B$38,$B$39)*100)</f>
        <v>79.62315757483664</v>
      </c>
      <c r="D32" s="235"/>
      <c r="G32" s="15"/>
    </row>
    <row r="33" spans="1:7">
      <c r="A33" s="173" t="s">
        <v>72</v>
      </c>
      <c r="B33" s="34" t="s">
        <v>111</v>
      </c>
      <c r="C33" s="169"/>
      <c r="D33" s="235"/>
      <c r="G33" s="15"/>
    </row>
    <row r="34" spans="1:7">
      <c r="A34" s="173" t="s">
        <v>73</v>
      </c>
      <c r="B34" s="33">
        <f>IF((($B$28-$B$32-$B$39-$B$77-$B$38)*C20/100)&lt;0,0,($B$28-$B$32-$B$39-$B$77-$B$38)*C20/100)</f>
        <v>48.05555555555555</v>
      </c>
      <c r="C34" s="169">
        <f>IF(ISERROR(B34/SUM($B$32,$B$34,$B$35,$B$36,$B$38,$B$39)*100),0,B34/SUM($B$32,$B$34,$B$35,$B$36,$B$38,$B$39)*100)</f>
        <v>0.73021661685998396</v>
      </c>
      <c r="D34" s="235"/>
      <c r="G34" s="15"/>
    </row>
    <row r="35" spans="1:7">
      <c r="A35" s="173" t="s">
        <v>74</v>
      </c>
      <c r="B35" s="33">
        <f>IF((($B$28-$B$32-$B$39-$B$77-$B$38)*C21/100)&lt;0,0,($B$28-$B$32-$B$39-$B$77-$B$38)*C21/100)</f>
        <v>1026.7870370370372</v>
      </c>
      <c r="C35" s="169">
        <f>IF(ISERROR(B35/SUM($B$32,$B$34,$B$35,$B$36,$B$38,$B$39)*100),0,B35/SUM($B$32,$B$34,$B$35,$B$36,$B$38,$B$39)*100)</f>
        <v>15.602295046908326</v>
      </c>
      <c r="D35" s="235"/>
      <c r="G35" s="15"/>
    </row>
    <row r="36" spans="1:7">
      <c r="A36" s="173" t="s">
        <v>75</v>
      </c>
      <c r="B36" s="33">
        <f>IF((($B$28-$B$32-$B$39-$B$77-$B$38)*C22/100)&lt;0,0,($B$28-$B$32-$B$39-$B$77-$B$38)*C22/100)</f>
        <v>222.65740740740742</v>
      </c>
      <c r="C36" s="169">
        <f>IF(ISERROR(B36/SUM($B$32,$B$34,$B$35,$B$36,$B$38,$B$39)*100),0,B36/SUM($B$32,$B$34,$B$35,$B$36,$B$38,$B$39)*100)</f>
        <v>3.3833369914512592</v>
      </c>
      <c r="D36" s="235"/>
      <c r="G36" s="15"/>
    </row>
    <row r="37" spans="1:7">
      <c r="A37" s="173" t="s">
        <v>76</v>
      </c>
      <c r="B37" s="34" t="s">
        <v>111</v>
      </c>
      <c r="C37" s="169"/>
      <c r="D37" s="175"/>
      <c r="G37" s="15"/>
    </row>
    <row r="38" spans="1:7">
      <c r="A38" s="173" t="s">
        <v>77</v>
      </c>
      <c r="B38" s="33">
        <f>IF((B24-(B29-B18)*0.1)&lt;0,0,B24-(B29-B18)*0.1)</f>
        <v>43.5</v>
      </c>
      <c r="C38" s="169">
        <f>IF(ISERROR(B38/SUM($B$32,$B$34,$B$35,$B$36,$B$38,$B$39)*100),0,B38/SUM($B$32,$B$34,$B$35,$B$36,$B$38,$B$39)*100)</f>
        <v>0.66099376994377745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5240</v>
      </c>
      <c r="C44" s="34" t="s">
        <v>111</v>
      </c>
      <c r="D44" s="176"/>
    </row>
    <row r="45" spans="1:7">
      <c r="A45" s="173" t="s">
        <v>72</v>
      </c>
      <c r="B45" s="33" t="str">
        <f t="shared" si="0"/>
        <v>-</v>
      </c>
      <c r="C45" s="34" t="s">
        <v>111</v>
      </c>
      <c r="D45" s="176"/>
    </row>
    <row r="46" spans="1:7">
      <c r="A46" s="173" t="s">
        <v>73</v>
      </c>
      <c r="B46" s="33">
        <f t="shared" si="0"/>
        <v>48.05555555555555</v>
      </c>
      <c r="C46" s="34" t="s">
        <v>111</v>
      </c>
      <c r="D46" s="176"/>
    </row>
    <row r="47" spans="1:7">
      <c r="A47" s="173" t="s">
        <v>74</v>
      </c>
      <c r="B47" s="33">
        <f t="shared" si="0"/>
        <v>1026.7870370370372</v>
      </c>
      <c r="C47" s="34" t="s">
        <v>111</v>
      </c>
      <c r="D47" s="176"/>
    </row>
    <row r="48" spans="1:7">
      <c r="A48" s="173" t="s">
        <v>75</v>
      </c>
      <c r="B48" s="33">
        <f t="shared" si="0"/>
        <v>222.65740740740742</v>
      </c>
      <c r="C48" s="33">
        <f>B48*10</f>
        <v>2226.5740740740744</v>
      </c>
      <c r="D48" s="236"/>
    </row>
    <row r="49" spans="1:6">
      <c r="A49" s="173" t="s">
        <v>76</v>
      </c>
      <c r="B49" s="33" t="str">
        <f t="shared" si="0"/>
        <v>-</v>
      </c>
      <c r="C49" s="34" t="s">
        <v>111</v>
      </c>
      <c r="D49" s="236"/>
    </row>
    <row r="50" spans="1:6">
      <c r="A50" s="173" t="s">
        <v>77</v>
      </c>
      <c r="B50" s="33">
        <f t="shared" si="0"/>
        <v>43.5</v>
      </c>
      <c r="C50" s="33">
        <f>B50*2</f>
        <v>87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13813.026094369699</v>
      </c>
      <c r="C5" s="17">
        <f>IF(ISERROR('Eigen informatie GS &amp; warmtenet'!B58),0,'Eigen informatie GS &amp; warmtenet'!B58)</f>
        <v>0</v>
      </c>
      <c r="D5" s="30">
        <f>SUM(D6:D12)</f>
        <v>17461.305714649687</v>
      </c>
      <c r="E5" s="17">
        <f>SUM(E6:E12)</f>
        <v>182.79932474388306</v>
      </c>
      <c r="F5" s="17">
        <f>SUM(F6:F12)</f>
        <v>2714.652484565313</v>
      </c>
      <c r="G5" s="18"/>
      <c r="H5" s="17"/>
      <c r="I5" s="17"/>
      <c r="J5" s="17">
        <f>SUM(J6:J12)</f>
        <v>0</v>
      </c>
      <c r="K5" s="17"/>
      <c r="L5" s="17"/>
      <c r="M5" s="17"/>
      <c r="N5" s="17">
        <f>SUM(N6:N12)</f>
        <v>1054.9807227617428</v>
      </c>
      <c r="O5" s="17">
        <f>B38*B39*B40</f>
        <v>3.1266666666666669</v>
      </c>
      <c r="P5" s="17">
        <f>B46*B47*B48/1000-B46*B47*B48/1000/B49</f>
        <v>19.066666666666666</v>
      </c>
      <c r="R5" s="32"/>
    </row>
    <row r="6" spans="1:18">
      <c r="A6" s="32" t="s">
        <v>54</v>
      </c>
      <c r="B6" s="37">
        <f>B26</f>
        <v>4076.3258763625599</v>
      </c>
      <c r="C6" s="33"/>
      <c r="D6" s="37">
        <f>IF(ISERROR(TER_kantoor_gas_kWh/1000),0,TER_kantoor_gas_kWh/1000)*0.902</f>
        <v>7311.2756344058507</v>
      </c>
      <c r="E6" s="33">
        <f>$C$26*'E Balans VL '!I12/100/3.6*1000000</f>
        <v>15.837389038139625</v>
      </c>
      <c r="F6" s="33">
        <f>$C$26*('E Balans VL '!L12+'E Balans VL '!N12)/100/3.6*1000000</f>
        <v>619.97207418647008</v>
      </c>
      <c r="G6" s="34"/>
      <c r="H6" s="33"/>
      <c r="I6" s="33"/>
      <c r="J6" s="33">
        <f>$C$26*('E Balans VL '!D12+'E Balans VL '!E12)/100/3.6*1000000</f>
        <v>0</v>
      </c>
      <c r="K6" s="33"/>
      <c r="L6" s="33"/>
      <c r="M6" s="33"/>
      <c r="N6" s="33">
        <f>$C$26*'E Balans VL '!Y12/100/3.6*1000000</f>
        <v>2.2465438896896397</v>
      </c>
      <c r="O6" s="33"/>
      <c r="P6" s="33"/>
      <c r="R6" s="32"/>
    </row>
    <row r="7" spans="1:18">
      <c r="A7" s="32" t="s">
        <v>53</v>
      </c>
      <c r="B7" s="37">
        <f t="shared" ref="B7:B12" si="0">B27</f>
        <v>1195.6752215244701</v>
      </c>
      <c r="C7" s="33"/>
      <c r="D7" s="37">
        <f>IF(ISERROR(TER_horeca_gas_kWh/1000),0,TER_horeca_gas_kWh/1000)*0.902</f>
        <v>2182.4238773962238</v>
      </c>
      <c r="E7" s="33">
        <f>$C$27*'E Balans VL '!I9/100/3.6*1000000</f>
        <v>67.352704899063809</v>
      </c>
      <c r="F7" s="33">
        <f>$C$27*('E Balans VL '!L9+'E Balans VL '!N9)/100/3.6*1000000</f>
        <v>344.76115027345219</v>
      </c>
      <c r="G7" s="34"/>
      <c r="H7" s="33"/>
      <c r="I7" s="33"/>
      <c r="J7" s="33">
        <f>$C$27*('E Balans VL '!D9+'E Balans VL '!E9)/100/3.6*1000000</f>
        <v>0</v>
      </c>
      <c r="K7" s="33"/>
      <c r="L7" s="33"/>
      <c r="M7" s="33"/>
      <c r="N7" s="33">
        <f>$C$27*'E Balans VL '!Y9/100/3.6*1000000</f>
        <v>0.33011971534986356</v>
      </c>
      <c r="O7" s="33"/>
      <c r="P7" s="33"/>
      <c r="R7" s="32"/>
    </row>
    <row r="8" spans="1:18">
      <c r="A8" s="6" t="s">
        <v>52</v>
      </c>
      <c r="B8" s="37">
        <f t="shared" si="0"/>
        <v>5156.4680712303898</v>
      </c>
      <c r="C8" s="33"/>
      <c r="D8" s="37">
        <f>IF(ISERROR(TER_handel_gas_kWh/1000),0,TER_handel_gas_kWh/1000)*0.902</f>
        <v>2738.8703023276212</v>
      </c>
      <c r="E8" s="33">
        <f>$C$28*'E Balans VL '!I13/100/3.6*1000000</f>
        <v>74.322199062352624</v>
      </c>
      <c r="F8" s="33">
        <f>$C$28*('E Balans VL '!L13+'E Balans VL '!N13)/100/3.6*1000000</f>
        <v>895.79859001082957</v>
      </c>
      <c r="G8" s="34"/>
      <c r="H8" s="33"/>
      <c r="I8" s="33"/>
      <c r="J8" s="33">
        <f>$C$28*('E Balans VL '!D13+'E Balans VL '!E13)/100/3.6*1000000</f>
        <v>0</v>
      </c>
      <c r="K8" s="33"/>
      <c r="L8" s="33"/>
      <c r="M8" s="33"/>
      <c r="N8" s="33">
        <f>$C$28*'E Balans VL '!Y13/100/3.6*1000000</f>
        <v>15.449352371257039</v>
      </c>
      <c r="O8" s="33"/>
      <c r="P8" s="33"/>
      <c r="R8" s="32"/>
    </row>
    <row r="9" spans="1:18">
      <c r="A9" s="32" t="s">
        <v>51</v>
      </c>
      <c r="B9" s="37">
        <f t="shared" si="0"/>
        <v>160.27466418916498</v>
      </c>
      <c r="C9" s="33"/>
      <c r="D9" s="37">
        <f>IF(ISERROR(TER_gezond_gas_kWh/1000),0,TER_gezond_gas_kWh/1000)*0.902</f>
        <v>245.33507815011075</v>
      </c>
      <c r="E9" s="33">
        <f>$C$29*'E Balans VL '!I10/100/3.6*1000000</f>
        <v>0.17121488302141663</v>
      </c>
      <c r="F9" s="33">
        <f>$C$29*('E Balans VL '!L10+'E Balans VL '!N10)/100/3.6*1000000</f>
        <v>26.145668659080322</v>
      </c>
      <c r="G9" s="34"/>
      <c r="H9" s="33"/>
      <c r="I9" s="33"/>
      <c r="J9" s="33">
        <f>$C$29*('E Balans VL '!D10+'E Balans VL '!E10)/100/3.6*1000000</f>
        <v>0</v>
      </c>
      <c r="K9" s="33"/>
      <c r="L9" s="33"/>
      <c r="M9" s="33"/>
      <c r="N9" s="33">
        <f>$C$29*'E Balans VL '!Y10/100/3.6*1000000</f>
        <v>1.6499362169285408</v>
      </c>
      <c r="O9" s="33"/>
      <c r="P9" s="33"/>
      <c r="R9" s="32"/>
    </row>
    <row r="10" spans="1:18">
      <c r="A10" s="32" t="s">
        <v>50</v>
      </c>
      <c r="B10" s="37">
        <f t="shared" si="0"/>
        <v>1311.1256939435598</v>
      </c>
      <c r="C10" s="33"/>
      <c r="D10" s="37">
        <f>IF(ISERROR(TER_ander_gas_kWh/1000),0,TER_ander_gas_kWh/1000)*0.902</f>
        <v>666.82082463074721</v>
      </c>
      <c r="E10" s="33">
        <f>$C$30*'E Balans VL '!I14/100/3.6*1000000</f>
        <v>6.0296676294234475</v>
      </c>
      <c r="F10" s="33">
        <f>$C$30*('E Balans VL '!L14+'E Balans VL '!N14)/100/3.6*1000000</f>
        <v>392.98572709633459</v>
      </c>
      <c r="G10" s="34"/>
      <c r="H10" s="33"/>
      <c r="I10" s="33"/>
      <c r="J10" s="33">
        <f>$C$30*('E Balans VL '!D14+'E Balans VL '!E14)/100/3.6*1000000</f>
        <v>0</v>
      </c>
      <c r="K10" s="33"/>
      <c r="L10" s="33"/>
      <c r="M10" s="33"/>
      <c r="N10" s="33">
        <f>$C$30*'E Balans VL '!Y14/100/3.6*1000000</f>
        <v>912.63003139961813</v>
      </c>
      <c r="O10" s="33"/>
      <c r="P10" s="33"/>
      <c r="R10" s="32"/>
    </row>
    <row r="11" spans="1:18">
      <c r="A11" s="32" t="s">
        <v>55</v>
      </c>
      <c r="B11" s="37">
        <f t="shared" si="0"/>
        <v>367.75005563266598</v>
      </c>
      <c r="C11" s="33"/>
      <c r="D11" s="37">
        <f>IF(ISERROR(TER_onderwijs_gas_kWh/1000),0,TER_onderwijs_gas_kWh/1000)*0.902</f>
        <v>0</v>
      </c>
      <c r="E11" s="33">
        <f>$C$31*'E Balans VL '!I11/100/3.6*1000000</f>
        <v>0.34113653895980561</v>
      </c>
      <c r="F11" s="33">
        <f>$C$31*('E Balans VL '!L11+'E Balans VL '!N11)/100/3.6*1000000</f>
        <v>129.1821424164028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1545.4065114868899</v>
      </c>
      <c r="C12" s="33"/>
      <c r="D12" s="37">
        <f>IF(ISERROR(TER_rest_gas_kWh/1000),0,TER_rest_gas_kWh/1000)*0.902</f>
        <v>4316.5799977391307</v>
      </c>
      <c r="E12" s="33">
        <f>$C$32*'E Balans VL '!I8/100/3.6*1000000</f>
        <v>18.745012692922348</v>
      </c>
      <c r="F12" s="33">
        <f>$C$32*('E Balans VL '!L8+'E Balans VL '!N8)/100/3.6*1000000</f>
        <v>305.80713192274374</v>
      </c>
      <c r="G12" s="34"/>
      <c r="H12" s="33"/>
      <c r="I12" s="33"/>
      <c r="J12" s="33">
        <f>$C$32*('E Balans VL '!D8+'E Balans VL '!E8)/100/3.6*1000000</f>
        <v>0</v>
      </c>
      <c r="K12" s="33"/>
      <c r="L12" s="33"/>
      <c r="M12" s="33"/>
      <c r="N12" s="33">
        <f>$C$32*'E Balans VL '!Y8/100/3.6*1000000</f>
        <v>122.67473916889962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13813.026094369699</v>
      </c>
      <c r="C16" s="21">
        <f t="shared" ca="1" si="1"/>
        <v>0</v>
      </c>
      <c r="D16" s="21">
        <f t="shared" ca="1" si="1"/>
        <v>17461.305714649687</v>
      </c>
      <c r="E16" s="21">
        <f t="shared" si="1"/>
        <v>182.79932474388306</v>
      </c>
      <c r="F16" s="21">
        <f t="shared" ca="1" si="1"/>
        <v>2714.652484565313</v>
      </c>
      <c r="G16" s="21">
        <f t="shared" si="1"/>
        <v>0</v>
      </c>
      <c r="H16" s="21">
        <f t="shared" si="1"/>
        <v>0</v>
      </c>
      <c r="I16" s="21">
        <f t="shared" si="1"/>
        <v>0</v>
      </c>
      <c r="J16" s="21">
        <f t="shared" si="1"/>
        <v>0</v>
      </c>
      <c r="K16" s="21">
        <f t="shared" si="1"/>
        <v>0</v>
      </c>
      <c r="L16" s="21">
        <f t="shared" ca="1" si="1"/>
        <v>0</v>
      </c>
      <c r="M16" s="21">
        <f t="shared" si="1"/>
        <v>0</v>
      </c>
      <c r="N16" s="21">
        <f t="shared" ca="1" si="1"/>
        <v>1054.9807227617428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0.14191926024021592</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1960.3344449917468</v>
      </c>
      <c r="C20" s="23">
        <f t="shared" ref="C20:P20" ca="1" si="2">C16*C18</f>
        <v>0</v>
      </c>
      <c r="D20" s="23">
        <f t="shared" ca="1" si="2"/>
        <v>3527.1837543592369</v>
      </c>
      <c r="E20" s="23">
        <f t="shared" si="2"/>
        <v>41.495446716861458</v>
      </c>
      <c r="F20" s="23">
        <f t="shared" ca="1" si="2"/>
        <v>724.81221337893862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4076.3258763625599</v>
      </c>
      <c r="C26" s="39">
        <f>IF(ISERROR(B26*3.6/1000000/'E Balans VL '!Z12*100),0,B26*3.6/1000000/'E Balans VL '!Z12*100)</f>
        <v>8.6583180763294104E-2</v>
      </c>
      <c r="D26" s="239" t="s">
        <v>692</v>
      </c>
      <c r="F26" s="6"/>
    </row>
    <row r="27" spans="1:18">
      <c r="A27" s="233" t="s">
        <v>53</v>
      </c>
      <c r="B27" s="33">
        <f>IF(ISERROR(TER_horeca_ele_kWh/1000),0,TER_horeca_ele_kWh/1000)</f>
        <v>1195.6752215244701</v>
      </c>
      <c r="C27" s="39">
        <f>IF(ISERROR(B27*3.6/1000000/'E Balans VL '!Z9*100),0,B27*3.6/1000000/'E Balans VL '!Z9*100)</f>
        <v>9.2971030229242954E-2</v>
      </c>
      <c r="D27" s="239" t="s">
        <v>692</v>
      </c>
      <c r="F27" s="6"/>
    </row>
    <row r="28" spans="1:18">
      <c r="A28" s="173" t="s">
        <v>52</v>
      </c>
      <c r="B28" s="33">
        <f>IF(ISERROR(TER_handel_ele_kWh/1000),0,TER_handel_ele_kWh/1000)</f>
        <v>5156.4680712303898</v>
      </c>
      <c r="C28" s="39">
        <f>IF(ISERROR(B28*3.6/1000000/'E Balans VL '!Z13*100),0,B28*3.6/1000000/'E Balans VL '!Z13*100)</f>
        <v>0.14753262007375281</v>
      </c>
      <c r="D28" s="239" t="s">
        <v>692</v>
      </c>
      <c r="F28" s="6"/>
    </row>
    <row r="29" spans="1:18">
      <c r="A29" s="233" t="s">
        <v>51</v>
      </c>
      <c r="B29" s="33">
        <f>IF(ISERROR(TER_gezond_ele_kWh/1000),0,TER_gezond_ele_kWh/1000)</f>
        <v>160.27466418916498</v>
      </c>
      <c r="C29" s="39">
        <f>IF(ISERROR(B29*3.6/1000000/'E Balans VL '!Z10*100),0,B29*3.6/1000000/'E Balans VL '!Z10*100)</f>
        <v>1.7473662733148258E-2</v>
      </c>
      <c r="D29" s="239" t="s">
        <v>692</v>
      </c>
      <c r="F29" s="6"/>
    </row>
    <row r="30" spans="1:18">
      <c r="A30" s="233" t="s">
        <v>50</v>
      </c>
      <c r="B30" s="33">
        <f>IF(ISERROR(TER_ander_ele_kWh/1000),0,TER_ander_ele_kWh/1000)</f>
        <v>1311.1256939435598</v>
      </c>
      <c r="C30" s="39">
        <f>IF(ISERROR(B30*3.6/1000000/'E Balans VL '!Z14*100),0,B30*3.6/1000000/'E Balans VL '!Z14*100)</f>
        <v>9.594520406465816E-2</v>
      </c>
      <c r="D30" s="239" t="s">
        <v>692</v>
      </c>
      <c r="F30" s="6"/>
    </row>
    <row r="31" spans="1:18">
      <c r="A31" s="233" t="s">
        <v>55</v>
      </c>
      <c r="B31" s="33">
        <f>IF(ISERROR(TER_onderwijs_ele_kWh/1000),0,TER_onderwijs_ele_kWh/1000)</f>
        <v>367.75005563266598</v>
      </c>
      <c r="C31" s="39">
        <f>IF(ISERROR(B31*3.6/1000000/'E Balans VL '!Z11*100),0,B31*3.6/1000000/'E Balans VL '!Z11*100)</f>
        <v>7.3862871757482032E-2</v>
      </c>
      <c r="D31" s="239" t="s">
        <v>692</v>
      </c>
    </row>
    <row r="32" spans="1:18">
      <c r="A32" s="233" t="s">
        <v>260</v>
      </c>
      <c r="B32" s="33">
        <f>IF(ISERROR(TER_rest_ele_kWh/1000),0,TER_rest_ele_kWh/1000)</f>
        <v>1545.4065114868899</v>
      </c>
      <c r="C32" s="39">
        <f>IF(ISERROR(B32*3.6/1000000/'E Balans VL '!Z8*100),0,B32*3.6/1000000/'E Balans VL '!Z8*100)</f>
        <v>1.2594125209058218E-2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10065.441004708811</v>
      </c>
      <c r="C5" s="17">
        <f>IF(ISERROR('Eigen informatie GS &amp; warmtenet'!B59),0,'Eigen informatie GS &amp; warmtenet'!B59)</f>
        <v>0</v>
      </c>
      <c r="D5" s="30">
        <f>SUM(D6:D15)</f>
        <v>10704.291159215867</v>
      </c>
      <c r="E5" s="17">
        <f>SUM(E6:E15)</f>
        <v>928.89674584809802</v>
      </c>
      <c r="F5" s="17">
        <f>SUM(F6:F15)</f>
        <v>9326.1638161435749</v>
      </c>
      <c r="G5" s="18"/>
      <c r="H5" s="17"/>
      <c r="I5" s="17"/>
      <c r="J5" s="17">
        <f>SUM(J6:J15)</f>
        <v>8.9698602634611326</v>
      </c>
      <c r="K5" s="17"/>
      <c r="L5" s="17"/>
      <c r="M5" s="17"/>
      <c r="N5" s="17">
        <f>SUM(N6:N15)</f>
        <v>2571.7542369798134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313.08972733765103</v>
      </c>
      <c r="C8" s="33"/>
      <c r="D8" s="37">
        <f>IF( ISERROR(IND_metaal_Gas_kWH/1000),0,IND_metaal_Gas_kWH/1000)*0.902</f>
        <v>0</v>
      </c>
      <c r="E8" s="33">
        <f>C30*'E Balans VL '!I18/100/3.6*1000000</f>
        <v>8.9931121638025804</v>
      </c>
      <c r="F8" s="33">
        <f>C30*'E Balans VL '!L18/100/3.6*1000000+C30*'E Balans VL '!N18/100/3.6*1000000</f>
        <v>80.30149348128171</v>
      </c>
      <c r="G8" s="34"/>
      <c r="H8" s="33"/>
      <c r="I8" s="33"/>
      <c r="J8" s="40">
        <f>C30*'E Balans VL '!D18/100/3.6*1000000+C30*'E Balans VL '!E18/100/3.6*1000000</f>
        <v>0</v>
      </c>
      <c r="K8" s="33"/>
      <c r="L8" s="33"/>
      <c r="M8" s="33"/>
      <c r="N8" s="33">
        <f>C30*'E Balans VL '!Y18/100/3.6*1000000</f>
        <v>8.5010252038979015</v>
      </c>
      <c r="O8" s="33"/>
      <c r="P8" s="33"/>
      <c r="R8" s="32"/>
    </row>
    <row r="9" spans="1:18">
      <c r="A9" s="6" t="s">
        <v>33</v>
      </c>
      <c r="B9" s="37">
        <f t="shared" si="0"/>
        <v>1131.5740087581801</v>
      </c>
      <c r="C9" s="33"/>
      <c r="D9" s="37">
        <f>IF( ISERROR(IND_andere_gas_kWh/1000),0,IND_andere_gas_kWh/1000)*0.902</f>
        <v>1381.3263398744657</v>
      </c>
      <c r="E9" s="33">
        <f>C31*'E Balans VL '!I19/100/3.6*1000000</f>
        <v>306.28926211491864</v>
      </c>
      <c r="F9" s="33">
        <f>C31*'E Balans VL '!L19/100/3.6*1000000+C31*'E Balans VL '!N19/100/3.6*1000000</f>
        <v>753.74803537675109</v>
      </c>
      <c r="G9" s="34"/>
      <c r="H9" s="33"/>
      <c r="I9" s="33"/>
      <c r="J9" s="40">
        <f>C31*'E Balans VL '!D19/100/3.6*1000000+C31*'E Balans VL '!E19/100/3.6*1000000</f>
        <v>0</v>
      </c>
      <c r="K9" s="33"/>
      <c r="L9" s="33"/>
      <c r="M9" s="33"/>
      <c r="N9" s="33">
        <f>C31*'E Balans VL '!Y19/100/3.6*1000000</f>
        <v>369.44011680602569</v>
      </c>
      <c r="O9" s="33"/>
      <c r="P9" s="33"/>
      <c r="R9" s="32"/>
    </row>
    <row r="10" spans="1:18">
      <c r="A10" s="6" t="s">
        <v>41</v>
      </c>
      <c r="B10" s="37">
        <f t="shared" si="0"/>
        <v>5147.6815702734802</v>
      </c>
      <c r="C10" s="33"/>
      <c r="D10" s="37">
        <f>IF( ISERROR(IND_voed_gas_kWh/1000),0,IND_voed_gas_kWh/1000)*0.902</f>
        <v>560.38884677942997</v>
      </c>
      <c r="E10" s="33">
        <f>C32*'E Balans VL '!I20/100/3.6*1000000</f>
        <v>419.85673536217149</v>
      </c>
      <c r="F10" s="33">
        <f>C32*'E Balans VL '!L20/100/3.6*1000000+C32*'E Balans VL '!N20/100/3.6*1000000</f>
        <v>7675.6602598723393</v>
      </c>
      <c r="G10" s="34"/>
      <c r="H10" s="33"/>
      <c r="I10" s="33"/>
      <c r="J10" s="40">
        <f>C32*'E Balans VL '!D20/100/3.6*1000000+C32*'E Balans VL '!E20/100/3.6*1000000</f>
        <v>6.8097578727524838E-2</v>
      </c>
      <c r="K10" s="33"/>
      <c r="L10" s="33"/>
      <c r="M10" s="33"/>
      <c r="N10" s="33">
        <f>C32*'E Balans VL '!Y20/100/3.6*1000000</f>
        <v>1512.207203249812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3473.0956983394999</v>
      </c>
      <c r="C15" s="33"/>
      <c r="D15" s="37">
        <f>IF( ISERROR(IND_rest_gas_kWh/1000),0,IND_rest_gas_kWh/1000)*0.902</f>
        <v>8762.5759725619719</v>
      </c>
      <c r="E15" s="33">
        <f>C37*'E Balans VL '!I15/100/3.6*1000000</f>
        <v>193.75763620720531</v>
      </c>
      <c r="F15" s="33">
        <f>C37*'E Balans VL '!L15/100/3.6*1000000+C37*'E Balans VL '!N15/100/3.6*1000000</f>
        <v>816.45402741320254</v>
      </c>
      <c r="G15" s="34"/>
      <c r="H15" s="33"/>
      <c r="I15" s="33"/>
      <c r="J15" s="40">
        <f>C37*'E Balans VL '!D15/100/3.6*1000000+C37*'E Balans VL '!E15/100/3.6*1000000</f>
        <v>8.9017626847336082</v>
      </c>
      <c r="K15" s="33"/>
      <c r="L15" s="33"/>
      <c r="M15" s="33"/>
      <c r="N15" s="33">
        <f>C37*'E Balans VL '!Y15/100/3.6*1000000</f>
        <v>681.60589172007792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10065.441004708811</v>
      </c>
      <c r="C18" s="21">
        <f>C5+C16</f>
        <v>0</v>
      </c>
      <c r="D18" s="21">
        <f>MAX((D5+D16),0)</f>
        <v>10704.291159215867</v>
      </c>
      <c r="E18" s="21">
        <f>MAX((E5+E16),0)</f>
        <v>928.89674584809802</v>
      </c>
      <c r="F18" s="21">
        <f>MAX((F5+F16),0)</f>
        <v>9326.1638161435749</v>
      </c>
      <c r="G18" s="21"/>
      <c r="H18" s="21"/>
      <c r="I18" s="21"/>
      <c r="J18" s="21">
        <f>MAX((J5+J16),0)</f>
        <v>8.9698602634611326</v>
      </c>
      <c r="K18" s="21"/>
      <c r="L18" s="21">
        <f>MAX((L5+L16),0)</f>
        <v>0</v>
      </c>
      <c r="M18" s="21"/>
      <c r="N18" s="21">
        <f>MAX((N5+N16),0)</f>
        <v>2571.7542369798134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0.14191926024021592</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1428.4799413798103</v>
      </c>
      <c r="C22" s="23">
        <f ca="1">C18*C20</f>
        <v>0</v>
      </c>
      <c r="D22" s="23">
        <f>D18*D20</f>
        <v>2162.2668141616055</v>
      </c>
      <c r="E22" s="23">
        <f>E18*E20</f>
        <v>210.85956130751825</v>
      </c>
      <c r="F22" s="23">
        <f>F18*F20</f>
        <v>2490.0857389103348</v>
      </c>
      <c r="G22" s="23"/>
      <c r="H22" s="23"/>
      <c r="I22" s="23"/>
      <c r="J22" s="23">
        <f>J18*J20</f>
        <v>3.1753305332652406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313.08972733765103</v>
      </c>
      <c r="C30" s="39">
        <f>IF(ISERROR(B30*3.6/1000000/'E Balans VL '!Z18*100),0,B30*3.6/1000000/'E Balans VL '!Z18*100)</f>
        <v>3.0807229937089311E-2</v>
      </c>
      <c r="D30" s="239" t="s">
        <v>692</v>
      </c>
    </row>
    <row r="31" spans="1:18">
      <c r="A31" s="6" t="s">
        <v>33</v>
      </c>
      <c r="B31" s="37">
        <f>IF( ISERROR(IND_ander_ele_kWh/1000),0,IND_ander_ele_kWh/1000)</f>
        <v>1131.5740087581801</v>
      </c>
      <c r="C31" s="39">
        <f>IF(ISERROR(B31*3.6/1000000/'E Balans VL '!Z19*100),0,B31*3.6/1000000/'E Balans VL '!Z19*100)</f>
        <v>4.9279145433723623E-2</v>
      </c>
      <c r="D31" s="239" t="s">
        <v>692</v>
      </c>
    </row>
    <row r="32" spans="1:18">
      <c r="A32" s="173" t="s">
        <v>41</v>
      </c>
      <c r="B32" s="37">
        <f>IF( ISERROR(IND_voed_ele_kWh/1000),0,IND_voed_ele_kWh/1000)</f>
        <v>5147.6815702734802</v>
      </c>
      <c r="C32" s="39">
        <f>IF(ISERROR(B32*3.6/1000000/'E Balans VL '!Z20*100),0,B32*3.6/1000000/'E Balans VL '!Z20*100)</f>
        <v>0.97669834031505887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3473.0956983394999</v>
      </c>
      <c r="C37" s="39">
        <f>IF(ISERROR(B37*3.6/1000000/'E Balans VL '!Z15*100),0,B37*3.6/1000000/'E Balans VL '!Z15*100)</f>
        <v>2.6764468196534979E-2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1959.8496879899867</v>
      </c>
      <c r="C5" s="17">
        <f>'Eigen informatie GS &amp; warmtenet'!B60</f>
        <v>0</v>
      </c>
      <c r="D5" s="30">
        <f>IF(ISERROR(SUM(LB_lb_gas_kWh,LB_rest_gas_kWh)/1000),0,SUM(LB_lb_gas_kWh,LB_rest_gas_kWh)/1000)*0.902</f>
        <v>251.58092144609259</v>
      </c>
      <c r="E5" s="17">
        <f>B17*'E Balans VL '!I25/3.6*1000000/100</f>
        <v>24.696630868415696</v>
      </c>
      <c r="F5" s="17">
        <f>B17*('E Balans VL '!L25/3.6*1000000+'E Balans VL '!N25/3.6*1000000)/100</f>
        <v>6761.9723952490558</v>
      </c>
      <c r="G5" s="18"/>
      <c r="H5" s="17"/>
      <c r="I5" s="17"/>
      <c r="J5" s="17">
        <f>('E Balans VL '!D25+'E Balans VL '!E25)/3.6*1000000*landbouw!B17/100</f>
        <v>294.73911428873237</v>
      </c>
      <c r="K5" s="17"/>
      <c r="L5" s="17">
        <f>L6*(-1)</f>
        <v>4455</v>
      </c>
      <c r="M5" s="17"/>
      <c r="N5" s="17">
        <f>N6*(-1)</f>
        <v>0</v>
      </c>
      <c r="O5" s="17"/>
      <c r="P5" s="17"/>
      <c r="R5" s="32"/>
    </row>
    <row r="6" spans="1:18">
      <c r="A6" s="16" t="s">
        <v>497</v>
      </c>
      <c r="B6" s="17" t="s">
        <v>211</v>
      </c>
      <c r="C6" s="17">
        <f>'lokale energieproductie'!O92+'lokale energieproductie'!O61</f>
        <v>3573</v>
      </c>
      <c r="D6" s="312">
        <f>('lokale energieproductie'!P61+'lokale energieproductie'!P92)*(-1)</f>
        <v>-1800.0000000000005</v>
      </c>
      <c r="E6" s="250"/>
      <c r="F6" s="312">
        <f>('lokale energieproductie'!S61+'lokale energieproductie'!S92)*(-1)</f>
        <v>-1485</v>
      </c>
      <c r="G6" s="251"/>
      <c r="H6" s="250"/>
      <c r="I6" s="250"/>
      <c r="J6" s="250"/>
      <c r="K6" s="250"/>
      <c r="L6" s="312">
        <f>('lokale energieproductie'!T61+'lokale energieproductie'!U61+'lokale energieproductie'!T92+'lokale energieproductie'!U92)*(-1)</f>
        <v>-4455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1959.8496879899867</v>
      </c>
      <c r="C8" s="21">
        <f>C5+C6</f>
        <v>3573</v>
      </c>
      <c r="D8" s="21">
        <f>MAX((D5+D6),0)</f>
        <v>0</v>
      </c>
      <c r="E8" s="21">
        <f>MAX((E5+E6),0)</f>
        <v>24.696630868415696</v>
      </c>
      <c r="F8" s="21">
        <f>MAX((F5+F6),0)</f>
        <v>5276.9723952490558</v>
      </c>
      <c r="G8" s="21"/>
      <c r="H8" s="21"/>
      <c r="I8" s="21"/>
      <c r="J8" s="21">
        <f>MAX((J5+J6),0)</f>
        <v>294.73911428873237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0.14191926024021592</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278.14041790155687</v>
      </c>
      <c r="C12" s="23">
        <f ca="1">C8*C10</f>
        <v>412.80125170998633</v>
      </c>
      <c r="D12" s="23">
        <f>D8*D10</f>
        <v>0</v>
      </c>
      <c r="E12" s="23">
        <f>E8*E10</f>
        <v>5.6061352071303627</v>
      </c>
      <c r="F12" s="23">
        <f>F8*F10</f>
        <v>1408.9516295314979</v>
      </c>
      <c r="G12" s="23"/>
      <c r="H12" s="23"/>
      <c r="I12" s="23"/>
      <c r="J12" s="23">
        <f>J8*J10</f>
        <v>104.33764645821125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0.2733372605980085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334.79304886447005</v>
      </c>
      <c r="C26" s="249">
        <f>B26*'GWP N2O_CH4'!B5</f>
        <v>7030.6540261538712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195.43106873641983</v>
      </c>
      <c r="C27" s="249">
        <f>B27*'GWP N2O_CH4'!B5</f>
        <v>4104.0524434648169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4.4778393621811299</v>
      </c>
      <c r="C28" s="249">
        <f>B28*'GWP N2O_CH4'!B4</f>
        <v>1388.1302022761502</v>
      </c>
      <c r="D28" s="50"/>
    </row>
    <row r="29" spans="1:4">
      <c r="A29" s="41" t="s">
        <v>277</v>
      </c>
      <c r="B29" s="249">
        <f>B34*'ha_N2O bodem landbouw'!B4</f>
        <v>10.019041829851217</v>
      </c>
      <c r="C29" s="249">
        <f>B29*'GWP N2O_CH4'!B4</f>
        <v>3105.9029672538773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2.5016546318537081E-3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2.5879262881131388E-5</v>
      </c>
      <c r="C5" s="448" t="s">
        <v>211</v>
      </c>
      <c r="D5" s="433">
        <f>SUM(D6:D11)</f>
        <v>4.1017250662979485E-5</v>
      </c>
      <c r="E5" s="433">
        <f>SUM(E6:E11)</f>
        <v>1.4605166172820187E-3</v>
      </c>
      <c r="F5" s="446" t="s">
        <v>211</v>
      </c>
      <c r="G5" s="433">
        <f>SUM(G6:G11)</f>
        <v>0.48448315164201217</v>
      </c>
      <c r="H5" s="433">
        <f>SUM(H6:H11)</f>
        <v>6.3292159366391917E-2</v>
      </c>
      <c r="I5" s="448" t="s">
        <v>211</v>
      </c>
      <c r="J5" s="448" t="s">
        <v>211</v>
      </c>
      <c r="K5" s="448" t="s">
        <v>211</v>
      </c>
      <c r="L5" s="448" t="s">
        <v>211</v>
      </c>
      <c r="M5" s="433">
        <f>SUM(M6:M11)</f>
        <v>2.4750180685223458E-2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6.3355131269890051E-6</v>
      </c>
      <c r="C6" s="887"/>
      <c r="D6" s="887">
        <f>vkm_2011_GW_PW*SUMIFS(TableVerdeelsleutelVkm[CNG],TableVerdeelsleutelVkm[Voertuigtype],"Lichte voertuigen")*SUMIFS(TableECFTransport[EnergieConsumptieFactor (PJ per km)],TableECFTransport[Index],CONCATENATE($A6,"_CNG_CNG"))</f>
        <v>8.9723256913666388E-6</v>
      </c>
      <c r="E6" s="887">
        <f>vkm_2011_GW_PW*SUMIFS(TableVerdeelsleutelVkm[LPG],TableVerdeelsleutelVkm[Voertuigtype],"Lichte voertuigen")*SUMIFS(TableECFTransport[EnergieConsumptieFactor (PJ per km)],TableECFTransport[Index],CONCATENATE($A6,"_LPG_LPG"))</f>
        <v>2.8179121228984942E-4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5.0645596866517296E-2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1.3570895205370486E-2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2.9053592906611797E-3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3.2468694149245476E-2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1.1535790435986181E-5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1.4652094106259992E-3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3.0121047828862299E-6</v>
      </c>
      <c r="C8" s="887"/>
      <c r="D8" s="436">
        <f>vkm_2011_NGW_PW*SUMIFS(TableVerdeelsleutelVkm[CNG],TableVerdeelsleutelVkm[Voertuigtype],"Lichte voertuigen")*SUMIFS(TableECFTransport[EnergieConsumptieFactor (PJ per km)],TableECFTransport[Index],CONCATENATE($A8,"_CNG_CNG"))</f>
        <v>7.5994698074136698E-6</v>
      </c>
      <c r="E8" s="436">
        <f>vkm_2011_NGW_PW*SUMIFS(TableVerdeelsleutelVkm[LPG],TableVerdeelsleutelVkm[Voertuigtype],"Lichte voertuigen")*SUMIFS(TableECFTransport[EnergieConsumptieFactor (PJ per km)],TableECFTransport[Index],CONCATENATE($A8,"_LPG_LPG"))</f>
        <v>2.1983557420059485E-4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3.726426157181572E-2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1.1090976950569641E-2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2.1882927102457308E-3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1.6431738484318507E-2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5.524471682381738E-6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7.4149801354153491E-4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1.6531644971256153E-5</v>
      </c>
      <c r="C10" s="887"/>
      <c r="D10" s="436">
        <f>vkm_2011_SW_PW*SUMIFS(TableVerdeelsleutelVkm[CNG],TableVerdeelsleutelVkm[Voertuigtype],"Lichte voertuigen")*SUMIFS(TableECFTransport[EnergieConsumptieFactor (PJ per km)],TableECFTransport[Index],CONCATENATE($A10,"_CNG_CNG"))</f>
        <v>2.4445455164199178E-5</v>
      </c>
      <c r="E10" s="436">
        <f>vkm_2011_SW_PW*SUMIFS(TableVerdeelsleutelVkm[LPG],TableVerdeelsleutelVkm[Voertuigtype],"Lichte voertuigen")*SUMIFS(TableECFTransport[EnergieConsumptieFactor (PJ per km)],TableECFTransport[Index],CONCATENATE($A10,"_LPG_LPG"))</f>
        <v>9.588898307915743E-4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0.15607907481948496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3.8539818950199901E-2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8.8035559707204131E-3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0.19159378575063024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7.3407998133532718E-5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8.6462652894285976E-3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7.1886841336476079</v>
      </c>
      <c r="C14" s="21"/>
      <c r="D14" s="21">
        <f t="shared" ref="D14:M14" si="0">((D5)*10^9/3600)+D12</f>
        <v>11.393680739716524</v>
      </c>
      <c r="E14" s="21">
        <f t="shared" si="0"/>
        <v>405.69906035611632</v>
      </c>
      <c r="F14" s="21"/>
      <c r="G14" s="21">
        <f t="shared" si="0"/>
        <v>134578.65323389228</v>
      </c>
      <c r="H14" s="21">
        <f t="shared" si="0"/>
        <v>17581.155379553311</v>
      </c>
      <c r="I14" s="21"/>
      <c r="J14" s="21"/>
      <c r="K14" s="21"/>
      <c r="L14" s="21"/>
      <c r="M14" s="21">
        <f t="shared" si="0"/>
        <v>6875.050190339849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0.14191926024021592</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1.020212734347846</v>
      </c>
      <c r="C18" s="23"/>
      <c r="D18" s="23">
        <f t="shared" ref="D18:M18" si="1">D14*D16</f>
        <v>2.3015235094227382</v>
      </c>
      <c r="E18" s="23">
        <f t="shared" si="1"/>
        <v>92.093686700838404</v>
      </c>
      <c r="F18" s="23"/>
      <c r="G18" s="23">
        <f t="shared" si="1"/>
        <v>35932.500413449241</v>
      </c>
      <c r="H18" s="23">
        <f t="shared" si="1"/>
        <v>4377.7076895087748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5.1253495153401078E-3</v>
      </c>
      <c r="H50" s="323">
        <f t="shared" si="2"/>
        <v>0</v>
      </c>
      <c r="I50" s="323">
        <f t="shared" si="2"/>
        <v>0</v>
      </c>
      <c r="J50" s="323">
        <f t="shared" si="2"/>
        <v>0</v>
      </c>
      <c r="K50" s="323">
        <f t="shared" si="2"/>
        <v>0</v>
      </c>
      <c r="L50" s="323">
        <f t="shared" si="2"/>
        <v>0</v>
      </c>
      <c r="M50" s="323">
        <f t="shared" si="2"/>
        <v>2.2793682912349909E-4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5.1253495153401078E-3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2.2793682912349909E-4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1423.7081987055853</v>
      </c>
      <c r="H54" s="21">
        <f t="shared" si="3"/>
        <v>0</v>
      </c>
      <c r="I54" s="21">
        <f t="shared" si="3"/>
        <v>0</v>
      </c>
      <c r="J54" s="21">
        <f t="shared" si="3"/>
        <v>0</v>
      </c>
      <c r="K54" s="21">
        <f t="shared" si="3"/>
        <v>0</v>
      </c>
      <c r="L54" s="21">
        <f t="shared" si="3"/>
        <v>0</v>
      </c>
      <c r="M54" s="21">
        <f t="shared" si="3"/>
        <v>63.315785867638631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0.14191926024021592</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380.13008905439131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15106.505094369699</v>
      </c>
      <c r="D10" s="690">
        <f ca="1">tertiair!C16</f>
        <v>0</v>
      </c>
      <c r="E10" s="690">
        <f ca="1">tertiair!D16</f>
        <v>17461.305714649687</v>
      </c>
      <c r="F10" s="690">
        <f>tertiair!E16</f>
        <v>182.79932474388306</v>
      </c>
      <c r="G10" s="690">
        <f ca="1">tertiair!F16</f>
        <v>2714.652484565313</v>
      </c>
      <c r="H10" s="690">
        <f>tertiair!G16</f>
        <v>0</v>
      </c>
      <c r="I10" s="690">
        <f>tertiair!H16</f>
        <v>0</v>
      </c>
      <c r="J10" s="690">
        <f>tertiair!I16</f>
        <v>0</v>
      </c>
      <c r="K10" s="690">
        <f>tertiair!J16</f>
        <v>0</v>
      </c>
      <c r="L10" s="690">
        <f>tertiair!K16</f>
        <v>0</v>
      </c>
      <c r="M10" s="690">
        <f ca="1">tertiair!L16</f>
        <v>0</v>
      </c>
      <c r="N10" s="690">
        <f>tertiair!M16</f>
        <v>0</v>
      </c>
      <c r="O10" s="690">
        <f ca="1">tertiair!N16</f>
        <v>1054.9807227617428</v>
      </c>
      <c r="P10" s="690">
        <f>tertiair!O16</f>
        <v>3.1266666666666669</v>
      </c>
      <c r="Q10" s="691">
        <f>tertiair!P16</f>
        <v>19.066666666666666</v>
      </c>
      <c r="R10" s="693">
        <f ca="1">SUM(C10:Q10)</f>
        <v>36542.436674423654</v>
      </c>
      <c r="S10" s="67"/>
    </row>
    <row r="11" spans="1:19" s="458" customFormat="1">
      <c r="A11" s="805" t="s">
        <v>225</v>
      </c>
      <c r="B11" s="810"/>
      <c r="C11" s="690">
        <f>huishoudens!B8</f>
        <v>30552.252165725702</v>
      </c>
      <c r="D11" s="690">
        <f>huishoudens!C8</f>
        <v>0</v>
      </c>
      <c r="E11" s="690">
        <f>huishoudens!D8</f>
        <v>85919.394171891414</v>
      </c>
      <c r="F11" s="690">
        <f>huishoudens!E8</f>
        <v>1001.3674032487096</v>
      </c>
      <c r="G11" s="690">
        <f>huishoudens!F8</f>
        <v>0</v>
      </c>
      <c r="H11" s="690">
        <f>huishoudens!G8</f>
        <v>0</v>
      </c>
      <c r="I11" s="690">
        <f>huishoudens!H8</f>
        <v>0</v>
      </c>
      <c r="J11" s="690">
        <f>huishoudens!I8</f>
        <v>0</v>
      </c>
      <c r="K11" s="690">
        <f>huishoudens!J8</f>
        <v>1769.7137428809492</v>
      </c>
      <c r="L11" s="690">
        <f>huishoudens!K8</f>
        <v>0</v>
      </c>
      <c r="M11" s="690">
        <f>huishoudens!L8</f>
        <v>0</v>
      </c>
      <c r="N11" s="690">
        <f>huishoudens!M8</f>
        <v>0</v>
      </c>
      <c r="O11" s="690">
        <f>huishoudens!N8</f>
        <v>17393.781997569047</v>
      </c>
      <c r="P11" s="690">
        <f>huishoudens!O8</f>
        <v>221.99333333333334</v>
      </c>
      <c r="Q11" s="691">
        <f>huishoudens!P8</f>
        <v>343.2</v>
      </c>
      <c r="R11" s="693">
        <f>SUM(C11:Q11)</f>
        <v>137201.70281464918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10065.441004708811</v>
      </c>
      <c r="D13" s="690">
        <f>industrie!C18</f>
        <v>0</v>
      </c>
      <c r="E13" s="690">
        <f>industrie!D18</f>
        <v>10704.291159215867</v>
      </c>
      <c r="F13" s="690">
        <f>industrie!E18</f>
        <v>928.89674584809802</v>
      </c>
      <c r="G13" s="690">
        <f>industrie!F18</f>
        <v>9326.1638161435749</v>
      </c>
      <c r="H13" s="690">
        <f>industrie!G18</f>
        <v>0</v>
      </c>
      <c r="I13" s="690">
        <f>industrie!H18</f>
        <v>0</v>
      </c>
      <c r="J13" s="690">
        <f>industrie!I18</f>
        <v>0</v>
      </c>
      <c r="K13" s="690">
        <f>industrie!J18</f>
        <v>8.9698602634611326</v>
      </c>
      <c r="L13" s="690">
        <f>industrie!K18</f>
        <v>0</v>
      </c>
      <c r="M13" s="690">
        <f>industrie!L18</f>
        <v>0</v>
      </c>
      <c r="N13" s="690">
        <f>industrie!M18</f>
        <v>0</v>
      </c>
      <c r="O13" s="690">
        <f>industrie!N18</f>
        <v>2571.7542369798134</v>
      </c>
      <c r="P13" s="690">
        <f>industrie!O18</f>
        <v>0</v>
      </c>
      <c r="Q13" s="691">
        <f>industrie!P18</f>
        <v>0</v>
      </c>
      <c r="R13" s="693">
        <f>SUM(C13:Q13)</f>
        <v>33605.516823159625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55724.19826480421</v>
      </c>
      <c r="D16" s="725">
        <f t="shared" ref="D16:R16" ca="1" si="0">SUM(D9:D15)</f>
        <v>0</v>
      </c>
      <c r="E16" s="725">
        <f t="shared" ca="1" si="0"/>
        <v>114084.99104575696</v>
      </c>
      <c r="F16" s="725">
        <f t="shared" si="0"/>
        <v>2113.0634738406907</v>
      </c>
      <c r="G16" s="725">
        <f t="shared" ca="1" si="0"/>
        <v>12040.816300708888</v>
      </c>
      <c r="H16" s="725">
        <f t="shared" si="0"/>
        <v>0</v>
      </c>
      <c r="I16" s="725">
        <f t="shared" si="0"/>
        <v>0</v>
      </c>
      <c r="J16" s="725">
        <f t="shared" si="0"/>
        <v>0</v>
      </c>
      <c r="K16" s="725">
        <f t="shared" si="0"/>
        <v>1778.6836031444104</v>
      </c>
      <c r="L16" s="725">
        <f t="shared" si="0"/>
        <v>0</v>
      </c>
      <c r="M16" s="725">
        <f t="shared" ca="1" si="0"/>
        <v>0</v>
      </c>
      <c r="N16" s="725">
        <f t="shared" si="0"/>
        <v>0</v>
      </c>
      <c r="O16" s="725">
        <f t="shared" ca="1" si="0"/>
        <v>21020.516957310603</v>
      </c>
      <c r="P16" s="725">
        <f t="shared" si="0"/>
        <v>225.12</v>
      </c>
      <c r="Q16" s="725">
        <f t="shared" si="0"/>
        <v>362.26666666666665</v>
      </c>
      <c r="R16" s="725">
        <f t="shared" ca="1" si="0"/>
        <v>207349.65631223246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1423.7081987055853</v>
      </c>
      <c r="I19" s="690">
        <f>transport!H54</f>
        <v>0</v>
      </c>
      <c r="J19" s="690">
        <f>transport!I54</f>
        <v>0</v>
      </c>
      <c r="K19" s="690">
        <f>transport!J54</f>
        <v>0</v>
      </c>
      <c r="L19" s="690">
        <f>transport!K54</f>
        <v>0</v>
      </c>
      <c r="M19" s="690">
        <f>transport!L54</f>
        <v>0</v>
      </c>
      <c r="N19" s="690">
        <f>transport!M54</f>
        <v>63.315785867638631</v>
      </c>
      <c r="O19" s="690">
        <f>transport!N54</f>
        <v>0</v>
      </c>
      <c r="P19" s="690">
        <f>transport!O54</f>
        <v>0</v>
      </c>
      <c r="Q19" s="691">
        <f>transport!P54</f>
        <v>0</v>
      </c>
      <c r="R19" s="693">
        <f>SUM(C19:Q19)</f>
        <v>1487.023984573224</v>
      </c>
      <c r="S19" s="67"/>
    </row>
    <row r="20" spans="1:19" s="458" customFormat="1">
      <c r="A20" s="805" t="s">
        <v>307</v>
      </c>
      <c r="B20" s="810"/>
      <c r="C20" s="690">
        <f>transport!B14</f>
        <v>7.1886841336476079</v>
      </c>
      <c r="D20" s="690">
        <f>transport!C14</f>
        <v>0</v>
      </c>
      <c r="E20" s="690">
        <f>transport!D14</f>
        <v>11.393680739716524</v>
      </c>
      <c r="F20" s="690">
        <f>transport!E14</f>
        <v>405.69906035611632</v>
      </c>
      <c r="G20" s="690">
        <f>transport!F14</f>
        <v>0</v>
      </c>
      <c r="H20" s="690">
        <f>transport!G14</f>
        <v>134578.65323389228</v>
      </c>
      <c r="I20" s="690">
        <f>transport!H14</f>
        <v>17581.155379553311</v>
      </c>
      <c r="J20" s="690">
        <f>transport!I14</f>
        <v>0</v>
      </c>
      <c r="K20" s="690">
        <f>transport!J14</f>
        <v>0</v>
      </c>
      <c r="L20" s="690">
        <f>transport!K14</f>
        <v>0</v>
      </c>
      <c r="M20" s="690">
        <f>transport!L14</f>
        <v>0</v>
      </c>
      <c r="N20" s="690">
        <f>transport!M14</f>
        <v>6875.050190339849</v>
      </c>
      <c r="O20" s="690">
        <f>transport!N14</f>
        <v>0</v>
      </c>
      <c r="P20" s="690">
        <f>transport!O14</f>
        <v>0</v>
      </c>
      <c r="Q20" s="691">
        <f>transport!P14</f>
        <v>0</v>
      </c>
      <c r="R20" s="693">
        <f>SUM(C20:Q20)</f>
        <v>159459.14022901491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7.1886841336476079</v>
      </c>
      <c r="D22" s="808">
        <f t="shared" ref="D22:R22" si="1">SUM(D18:D21)</f>
        <v>0</v>
      </c>
      <c r="E22" s="808">
        <f t="shared" si="1"/>
        <v>11.393680739716524</v>
      </c>
      <c r="F22" s="808">
        <f t="shared" si="1"/>
        <v>405.69906035611632</v>
      </c>
      <c r="G22" s="808">
        <f t="shared" si="1"/>
        <v>0</v>
      </c>
      <c r="H22" s="808">
        <f t="shared" si="1"/>
        <v>136002.36143259786</v>
      </c>
      <c r="I22" s="808">
        <f t="shared" si="1"/>
        <v>17581.155379553311</v>
      </c>
      <c r="J22" s="808">
        <f t="shared" si="1"/>
        <v>0</v>
      </c>
      <c r="K22" s="808">
        <f t="shared" si="1"/>
        <v>0</v>
      </c>
      <c r="L22" s="808">
        <f t="shared" si="1"/>
        <v>0</v>
      </c>
      <c r="M22" s="808">
        <f t="shared" si="1"/>
        <v>0</v>
      </c>
      <c r="N22" s="808">
        <f t="shared" si="1"/>
        <v>6938.3659762074876</v>
      </c>
      <c r="O22" s="808">
        <f t="shared" si="1"/>
        <v>0</v>
      </c>
      <c r="P22" s="808">
        <f t="shared" si="1"/>
        <v>0</v>
      </c>
      <c r="Q22" s="808">
        <f t="shared" si="1"/>
        <v>0</v>
      </c>
      <c r="R22" s="808">
        <f t="shared" si="1"/>
        <v>160946.16421358814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1959.8496879899867</v>
      </c>
      <c r="D24" s="690">
        <f>+landbouw!C8</f>
        <v>3573</v>
      </c>
      <c r="E24" s="690">
        <f>+landbouw!D8</f>
        <v>0</v>
      </c>
      <c r="F24" s="690">
        <f>+landbouw!E8</f>
        <v>24.696630868415696</v>
      </c>
      <c r="G24" s="690">
        <f>+landbouw!F8</f>
        <v>5276.9723952490558</v>
      </c>
      <c r="H24" s="690">
        <f>+landbouw!G8</f>
        <v>0</v>
      </c>
      <c r="I24" s="690">
        <f>+landbouw!H8</f>
        <v>0</v>
      </c>
      <c r="J24" s="690">
        <f>+landbouw!I8</f>
        <v>0</v>
      </c>
      <c r="K24" s="690">
        <f>+landbouw!J8</f>
        <v>294.73911428873237</v>
      </c>
      <c r="L24" s="690">
        <f>+landbouw!K8</f>
        <v>0</v>
      </c>
      <c r="M24" s="690">
        <f>+landbouw!L8</f>
        <v>0</v>
      </c>
      <c r="N24" s="690">
        <f>+landbouw!M8</f>
        <v>0</v>
      </c>
      <c r="O24" s="690">
        <f>+landbouw!N8</f>
        <v>0</v>
      </c>
      <c r="P24" s="690">
        <f>+landbouw!O8</f>
        <v>0</v>
      </c>
      <c r="Q24" s="691">
        <f>+landbouw!P8</f>
        <v>0</v>
      </c>
      <c r="R24" s="693">
        <f>SUM(C24:Q24)</f>
        <v>11129.25782839619</v>
      </c>
      <c r="S24" s="67"/>
    </row>
    <row r="25" spans="1:19" s="458" customFormat="1" ht="15" thickBot="1">
      <c r="A25" s="827" t="s">
        <v>872</v>
      </c>
      <c r="B25" s="1004"/>
      <c r="C25" s="1005">
        <f>IF(Onbekend_ele_kWh="---",0,Onbekend_ele_kWh)/1000+IF(REST_rest_ele_kWh="---",0,REST_rest_ele_kWh)/1000</f>
        <v>1137.71400809187</v>
      </c>
      <c r="D25" s="1005"/>
      <c r="E25" s="1005">
        <f>IF(onbekend_gas_kWh="---",0,onbekend_gas_kWh)/1000+IF(REST_rest_gas_kWh="---",0,REST_rest_gas_kWh)/1000</f>
        <v>2860.9825051657399</v>
      </c>
      <c r="F25" s="1005"/>
      <c r="G25" s="1005"/>
      <c r="H25" s="1005"/>
      <c r="I25" s="1005"/>
      <c r="J25" s="1005"/>
      <c r="K25" s="1005"/>
      <c r="L25" s="1005"/>
      <c r="M25" s="1005"/>
      <c r="N25" s="1005"/>
      <c r="O25" s="1005"/>
      <c r="P25" s="1005"/>
      <c r="Q25" s="1006"/>
      <c r="R25" s="693">
        <f>SUM(C25:Q25)</f>
        <v>3998.6965132576097</v>
      </c>
      <c r="S25" s="67"/>
    </row>
    <row r="26" spans="1:19" s="458" customFormat="1" ht="15.75" thickBot="1">
      <c r="A26" s="698" t="s">
        <v>873</v>
      </c>
      <c r="B26" s="813"/>
      <c r="C26" s="808">
        <f>SUM(C24:C25)</f>
        <v>3097.5636960818565</v>
      </c>
      <c r="D26" s="808">
        <f t="shared" ref="D26:R26" si="2">SUM(D24:D25)</f>
        <v>3573</v>
      </c>
      <c r="E26" s="808">
        <f t="shared" si="2"/>
        <v>2860.9825051657399</v>
      </c>
      <c r="F26" s="808">
        <f t="shared" si="2"/>
        <v>24.696630868415696</v>
      </c>
      <c r="G26" s="808">
        <f t="shared" si="2"/>
        <v>5276.9723952490558</v>
      </c>
      <c r="H26" s="808">
        <f t="shared" si="2"/>
        <v>0</v>
      </c>
      <c r="I26" s="808">
        <f t="shared" si="2"/>
        <v>0</v>
      </c>
      <c r="J26" s="808">
        <f t="shared" si="2"/>
        <v>0</v>
      </c>
      <c r="K26" s="808">
        <f t="shared" si="2"/>
        <v>294.73911428873237</v>
      </c>
      <c r="L26" s="808">
        <f t="shared" si="2"/>
        <v>0</v>
      </c>
      <c r="M26" s="808">
        <f t="shared" si="2"/>
        <v>0</v>
      </c>
      <c r="N26" s="808">
        <f t="shared" si="2"/>
        <v>0</v>
      </c>
      <c r="O26" s="808">
        <f t="shared" si="2"/>
        <v>0</v>
      </c>
      <c r="P26" s="808">
        <f t="shared" si="2"/>
        <v>0</v>
      </c>
      <c r="Q26" s="808">
        <f t="shared" si="2"/>
        <v>0</v>
      </c>
      <c r="R26" s="808">
        <f t="shared" si="2"/>
        <v>15127.9543416538</v>
      </c>
      <c r="S26" s="67"/>
    </row>
    <row r="27" spans="1:19" s="458" customFormat="1" ht="17.25" thickTop="1" thickBot="1">
      <c r="A27" s="699" t="s">
        <v>116</v>
      </c>
      <c r="B27" s="800"/>
      <c r="C27" s="700">
        <f ca="1">C22+C16+C26</f>
        <v>58828.950645019715</v>
      </c>
      <c r="D27" s="700">
        <f t="shared" ref="D27:R27" ca="1" si="3">D22+D16+D26</f>
        <v>3573</v>
      </c>
      <c r="E27" s="700">
        <f t="shared" ca="1" si="3"/>
        <v>116957.36723166241</v>
      </c>
      <c r="F27" s="700">
        <f t="shared" si="3"/>
        <v>2543.4591650652228</v>
      </c>
      <c r="G27" s="700">
        <f t="shared" ca="1" si="3"/>
        <v>17317.788695957945</v>
      </c>
      <c r="H27" s="700">
        <f t="shared" si="3"/>
        <v>136002.36143259786</v>
      </c>
      <c r="I27" s="700">
        <f t="shared" si="3"/>
        <v>17581.155379553311</v>
      </c>
      <c r="J27" s="700">
        <f t="shared" si="3"/>
        <v>0</v>
      </c>
      <c r="K27" s="700">
        <f t="shared" si="3"/>
        <v>2073.4227174331427</v>
      </c>
      <c r="L27" s="700">
        <f t="shared" si="3"/>
        <v>0</v>
      </c>
      <c r="M27" s="700">
        <f t="shared" ca="1" si="3"/>
        <v>0</v>
      </c>
      <c r="N27" s="700">
        <f t="shared" si="3"/>
        <v>6938.3659762074876</v>
      </c>
      <c r="O27" s="700">
        <f t="shared" ca="1" si="3"/>
        <v>21020.516957310603</v>
      </c>
      <c r="P27" s="700">
        <f t="shared" si="3"/>
        <v>225.12</v>
      </c>
      <c r="Q27" s="700">
        <f t="shared" si="3"/>
        <v>362.26666666666665</v>
      </c>
      <c r="R27" s="700">
        <f t="shared" ca="1" si="3"/>
        <v>383423.77486747439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2143.904027808001</v>
      </c>
      <c r="D40" s="690">
        <f ca="1">tertiair!C20</f>
        <v>0</v>
      </c>
      <c r="E40" s="690">
        <f ca="1">tertiair!D20</f>
        <v>3527.1837543592369</v>
      </c>
      <c r="F40" s="690">
        <f>tertiair!E20</f>
        <v>41.495446716861458</v>
      </c>
      <c r="G40" s="690">
        <f ca="1">tertiair!F20</f>
        <v>724.81221337893862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6437.3954422630386</v>
      </c>
    </row>
    <row r="41" spans="1:18">
      <c r="A41" s="818" t="s">
        <v>225</v>
      </c>
      <c r="B41" s="825"/>
      <c r="C41" s="690">
        <f ca="1">huishoudens!B12</f>
        <v>4335.9530260323263</v>
      </c>
      <c r="D41" s="690">
        <f ca="1">huishoudens!C12</f>
        <v>0</v>
      </c>
      <c r="E41" s="690">
        <f>huishoudens!D12</f>
        <v>17355.717622722066</v>
      </c>
      <c r="F41" s="690">
        <f>huishoudens!E12</f>
        <v>227.3104005374571</v>
      </c>
      <c r="G41" s="690">
        <f>huishoudens!F12</f>
        <v>0</v>
      </c>
      <c r="H41" s="690">
        <f>huishoudens!G12</f>
        <v>0</v>
      </c>
      <c r="I41" s="690">
        <f>huishoudens!H12</f>
        <v>0</v>
      </c>
      <c r="J41" s="690">
        <f>huishoudens!I12</f>
        <v>0</v>
      </c>
      <c r="K41" s="690">
        <f>huishoudens!J12</f>
        <v>626.47866497985603</v>
      </c>
      <c r="L41" s="690">
        <f>huishoudens!K12</f>
        <v>0</v>
      </c>
      <c r="M41" s="690">
        <f>huishoudens!L12</f>
        <v>0</v>
      </c>
      <c r="N41" s="690">
        <f>huishoudens!M12</f>
        <v>0</v>
      </c>
      <c r="O41" s="690">
        <f>huishoudens!N12</f>
        <v>0</v>
      </c>
      <c r="P41" s="690">
        <f>huishoudens!O12</f>
        <v>0</v>
      </c>
      <c r="Q41" s="767">
        <f>huishoudens!P12</f>
        <v>0</v>
      </c>
      <c r="R41" s="846">
        <f t="shared" ca="1" si="4"/>
        <v>22545.459714271703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1428.4799413798103</v>
      </c>
      <c r="D43" s="690">
        <f ca="1">industrie!C22</f>
        <v>0</v>
      </c>
      <c r="E43" s="690">
        <f>industrie!D22</f>
        <v>2162.2668141616055</v>
      </c>
      <c r="F43" s="690">
        <f>industrie!E22</f>
        <v>210.85956130751825</v>
      </c>
      <c r="G43" s="690">
        <f>industrie!F22</f>
        <v>2490.0857389103348</v>
      </c>
      <c r="H43" s="690">
        <f>industrie!G22</f>
        <v>0</v>
      </c>
      <c r="I43" s="690">
        <f>industrie!H22</f>
        <v>0</v>
      </c>
      <c r="J43" s="690">
        <f>industrie!I22</f>
        <v>0</v>
      </c>
      <c r="K43" s="690">
        <f>industrie!J22</f>
        <v>3.1753305332652406</v>
      </c>
      <c r="L43" s="690">
        <f>industrie!K22</f>
        <v>0</v>
      </c>
      <c r="M43" s="690">
        <f>industrie!L22</f>
        <v>0</v>
      </c>
      <c r="N43" s="690">
        <f>industrie!M22</f>
        <v>0</v>
      </c>
      <c r="O43" s="690">
        <f>industrie!N22</f>
        <v>0</v>
      </c>
      <c r="P43" s="690">
        <f>industrie!O22</f>
        <v>0</v>
      </c>
      <c r="Q43" s="767">
        <f>industrie!P22</f>
        <v>0</v>
      </c>
      <c r="R43" s="845">
        <f t="shared" ca="1" si="4"/>
        <v>6294.8673862925343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7908.3369952201374</v>
      </c>
      <c r="D46" s="725">
        <f t="shared" ref="D46:Q46" ca="1" si="5">SUM(D39:D45)</f>
        <v>0</v>
      </c>
      <c r="E46" s="725">
        <f t="shared" ca="1" si="5"/>
        <v>23045.168191242909</v>
      </c>
      <c r="F46" s="725">
        <f t="shared" si="5"/>
        <v>479.66540856183678</v>
      </c>
      <c r="G46" s="725">
        <f t="shared" ca="1" si="5"/>
        <v>3214.8979522892732</v>
      </c>
      <c r="H46" s="725">
        <f t="shared" si="5"/>
        <v>0</v>
      </c>
      <c r="I46" s="725">
        <f t="shared" si="5"/>
        <v>0</v>
      </c>
      <c r="J46" s="725">
        <f t="shared" si="5"/>
        <v>0</v>
      </c>
      <c r="K46" s="725">
        <f t="shared" si="5"/>
        <v>629.65399551312123</v>
      </c>
      <c r="L46" s="725">
        <f t="shared" si="5"/>
        <v>0</v>
      </c>
      <c r="M46" s="725">
        <f t="shared" ca="1" si="5"/>
        <v>0</v>
      </c>
      <c r="N46" s="725">
        <f t="shared" si="5"/>
        <v>0</v>
      </c>
      <c r="O46" s="725">
        <f t="shared" ca="1" si="5"/>
        <v>0</v>
      </c>
      <c r="P46" s="725">
        <f t="shared" si="5"/>
        <v>0</v>
      </c>
      <c r="Q46" s="725">
        <f t="shared" si="5"/>
        <v>0</v>
      </c>
      <c r="R46" s="725">
        <f ca="1">SUM(R39:R45)</f>
        <v>35277.722542827272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380.13008905439131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380.13008905439131</v>
      </c>
    </row>
    <row r="50" spans="1:18">
      <c r="A50" s="821" t="s">
        <v>307</v>
      </c>
      <c r="B50" s="831"/>
      <c r="C50" s="696">
        <f ca="1">transport!B18</f>
        <v>1.020212734347846</v>
      </c>
      <c r="D50" s="696">
        <f>transport!C18</f>
        <v>0</v>
      </c>
      <c r="E50" s="696">
        <f>transport!D18</f>
        <v>2.3015235094227382</v>
      </c>
      <c r="F50" s="696">
        <f>transport!E18</f>
        <v>92.093686700838404</v>
      </c>
      <c r="G50" s="696">
        <f>transport!F18</f>
        <v>0</v>
      </c>
      <c r="H50" s="696">
        <f>transport!G18</f>
        <v>35932.500413449241</v>
      </c>
      <c r="I50" s="696">
        <f>transport!H18</f>
        <v>4377.7076895087748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40405.623525902622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1.020212734347846</v>
      </c>
      <c r="D52" s="725">
        <f t="shared" ref="D52:Q52" ca="1" si="6">SUM(D48:D51)</f>
        <v>0</v>
      </c>
      <c r="E52" s="725">
        <f t="shared" si="6"/>
        <v>2.3015235094227382</v>
      </c>
      <c r="F52" s="725">
        <f t="shared" si="6"/>
        <v>92.093686700838404</v>
      </c>
      <c r="G52" s="725">
        <f t="shared" si="6"/>
        <v>0</v>
      </c>
      <c r="H52" s="725">
        <f t="shared" si="6"/>
        <v>36312.630502503634</v>
      </c>
      <c r="I52" s="725">
        <f t="shared" si="6"/>
        <v>4377.7076895087748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40785.753614957015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278.14041790155687</v>
      </c>
      <c r="D54" s="696">
        <f ca="1">+landbouw!C12</f>
        <v>412.80125170998633</v>
      </c>
      <c r="E54" s="696">
        <f>+landbouw!D12</f>
        <v>0</v>
      </c>
      <c r="F54" s="696">
        <f>+landbouw!E12</f>
        <v>5.6061352071303627</v>
      </c>
      <c r="G54" s="696">
        <f>+landbouw!F12</f>
        <v>1408.9516295314979</v>
      </c>
      <c r="H54" s="696">
        <f>+landbouw!G12</f>
        <v>0</v>
      </c>
      <c r="I54" s="696">
        <f>+landbouw!H12</f>
        <v>0</v>
      </c>
      <c r="J54" s="696">
        <f>+landbouw!I12</f>
        <v>0</v>
      </c>
      <c r="K54" s="696">
        <f>+landbouw!J12</f>
        <v>104.33764645821125</v>
      </c>
      <c r="L54" s="696">
        <f>+landbouw!K12</f>
        <v>0</v>
      </c>
      <c r="M54" s="696">
        <f>+landbouw!L12</f>
        <v>0</v>
      </c>
      <c r="N54" s="696">
        <f>+landbouw!M12</f>
        <v>0</v>
      </c>
      <c r="O54" s="696">
        <f>+landbouw!N12</f>
        <v>0</v>
      </c>
      <c r="P54" s="696">
        <f>+landbouw!O12</f>
        <v>0</v>
      </c>
      <c r="Q54" s="697">
        <f>+landbouw!P12</f>
        <v>0</v>
      </c>
      <c r="R54" s="724">
        <f ca="1">SUM(C54:Q54)</f>
        <v>2209.8370808083823</v>
      </c>
    </row>
    <row r="55" spans="1:18" ht="15" thickBot="1">
      <c r="A55" s="821" t="s">
        <v>872</v>
      </c>
      <c r="B55" s="831"/>
      <c r="C55" s="696">
        <f ca="1">C25*'EF ele_warmte'!B12</f>
        <v>161.46353039332922</v>
      </c>
      <c r="D55" s="696"/>
      <c r="E55" s="696">
        <f>E25*EF_CO2_aardgas</f>
        <v>577.9184660434795</v>
      </c>
      <c r="F55" s="696"/>
      <c r="G55" s="696"/>
      <c r="H55" s="696"/>
      <c r="I55" s="696"/>
      <c r="J55" s="696"/>
      <c r="K55" s="696"/>
      <c r="L55" s="696"/>
      <c r="M55" s="696"/>
      <c r="N55" s="696"/>
      <c r="O55" s="696"/>
      <c r="P55" s="696"/>
      <c r="Q55" s="697"/>
      <c r="R55" s="724">
        <f ca="1">SUM(C55:Q55)</f>
        <v>739.38199643680878</v>
      </c>
    </row>
    <row r="56" spans="1:18" ht="15.75" thickBot="1">
      <c r="A56" s="819" t="s">
        <v>873</v>
      </c>
      <c r="B56" s="832"/>
      <c r="C56" s="725">
        <f ca="1">SUM(C54:C55)</f>
        <v>439.6039482948861</v>
      </c>
      <c r="D56" s="725">
        <f t="shared" ref="D56:Q56" ca="1" si="7">SUM(D54:D55)</f>
        <v>412.80125170998633</v>
      </c>
      <c r="E56" s="725">
        <f t="shared" si="7"/>
        <v>577.9184660434795</v>
      </c>
      <c r="F56" s="725">
        <f t="shared" si="7"/>
        <v>5.6061352071303627</v>
      </c>
      <c r="G56" s="725">
        <f t="shared" si="7"/>
        <v>1408.9516295314979</v>
      </c>
      <c r="H56" s="725">
        <f t="shared" si="7"/>
        <v>0</v>
      </c>
      <c r="I56" s="725">
        <f t="shared" si="7"/>
        <v>0</v>
      </c>
      <c r="J56" s="725">
        <f t="shared" si="7"/>
        <v>0</v>
      </c>
      <c r="K56" s="725">
        <f t="shared" si="7"/>
        <v>104.33764645821125</v>
      </c>
      <c r="L56" s="725">
        <f t="shared" si="7"/>
        <v>0</v>
      </c>
      <c r="M56" s="725">
        <f t="shared" si="7"/>
        <v>0</v>
      </c>
      <c r="N56" s="725">
        <f t="shared" si="7"/>
        <v>0</v>
      </c>
      <c r="O56" s="725">
        <f t="shared" si="7"/>
        <v>0</v>
      </c>
      <c r="P56" s="725">
        <f t="shared" si="7"/>
        <v>0</v>
      </c>
      <c r="Q56" s="726">
        <f t="shared" si="7"/>
        <v>0</v>
      </c>
      <c r="R56" s="727">
        <f ca="1">SUM(R54:R55)</f>
        <v>2949.2190772451913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8348.9611562493719</v>
      </c>
      <c r="D61" s="733">
        <f t="shared" ref="D61:Q61" ca="1" si="8">D46+D52+D56</f>
        <v>412.80125170998633</v>
      </c>
      <c r="E61" s="733">
        <f t="shared" ca="1" si="8"/>
        <v>23625.388180795813</v>
      </c>
      <c r="F61" s="733">
        <f t="shared" si="8"/>
        <v>577.36523046980551</v>
      </c>
      <c r="G61" s="733">
        <f t="shared" ca="1" si="8"/>
        <v>4623.8495818207712</v>
      </c>
      <c r="H61" s="733">
        <f t="shared" si="8"/>
        <v>36312.630502503634</v>
      </c>
      <c r="I61" s="733">
        <f t="shared" si="8"/>
        <v>4377.7076895087748</v>
      </c>
      <c r="J61" s="733">
        <f t="shared" si="8"/>
        <v>0</v>
      </c>
      <c r="K61" s="733">
        <f t="shared" si="8"/>
        <v>733.99164197133246</v>
      </c>
      <c r="L61" s="733">
        <f t="shared" si="8"/>
        <v>0</v>
      </c>
      <c r="M61" s="733">
        <f t="shared" ca="1" si="8"/>
        <v>0</v>
      </c>
      <c r="N61" s="733">
        <f t="shared" si="8"/>
        <v>0</v>
      </c>
      <c r="O61" s="733">
        <f t="shared" ca="1" si="8"/>
        <v>0</v>
      </c>
      <c r="P61" s="733">
        <f t="shared" si="8"/>
        <v>0</v>
      </c>
      <c r="Q61" s="733">
        <f t="shared" si="8"/>
        <v>0</v>
      </c>
      <c r="R61" s="733">
        <f ca="1">R46+R52+R56</f>
        <v>79012.695235029474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0.14191926024021592</v>
      </c>
      <c r="D63" s="776">
        <f t="shared" ca="1" si="9"/>
        <v>0.11553351573187415</v>
      </c>
      <c r="E63" s="1011">
        <f t="shared" ca="1" si="9"/>
        <v>0.20200000000000004</v>
      </c>
      <c r="F63" s="776">
        <f t="shared" si="9"/>
        <v>0.22699999999999998</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15273.282789999999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4343.0280000000002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1730.1976744186045</v>
      </c>
      <c r="C76" s="743">
        <f>'lokale energieproductie'!B8*IFERROR(SUM(D76:H76)/SUM(D76:O76),0)</f>
        <v>1275.8023255813955</v>
      </c>
      <c r="D76" s="1021">
        <f>'lokale energieproductie'!C8</f>
        <v>822.43502051983614</v>
      </c>
      <c r="E76" s="1022">
        <f>'lokale energieproductie'!D8</f>
        <v>0</v>
      </c>
      <c r="F76" s="1022">
        <f>'lokale energieproductie'!E8</f>
        <v>678.50889192886461</v>
      </c>
      <c r="G76" s="1022">
        <f>'lokale energieproductie'!F8</f>
        <v>0</v>
      </c>
      <c r="H76" s="1022">
        <f>'lokale energieproductie'!G8</f>
        <v>0</v>
      </c>
      <c r="I76" s="1022">
        <f>'lokale energieproductie'!I8</f>
        <v>2035.5266757865938</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347.29374829001381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21346.508464418603</v>
      </c>
      <c r="C78" s="748">
        <f>SUM(C72:C77)</f>
        <v>1275.8023255813955</v>
      </c>
      <c r="D78" s="749">
        <f t="shared" ref="D78:H78" si="10">SUM(D76:D77)</f>
        <v>822.43502051983614</v>
      </c>
      <c r="E78" s="749">
        <f t="shared" si="10"/>
        <v>0</v>
      </c>
      <c r="F78" s="749">
        <f t="shared" si="10"/>
        <v>678.50889192886461</v>
      </c>
      <c r="G78" s="749">
        <f t="shared" si="10"/>
        <v>0</v>
      </c>
      <c r="H78" s="749">
        <f t="shared" si="10"/>
        <v>0</v>
      </c>
      <c r="I78" s="749">
        <f>SUM(I76:I77)</f>
        <v>2035.5266757865938</v>
      </c>
      <c r="J78" s="749">
        <f>SUM(J76:J77)</f>
        <v>0</v>
      </c>
      <c r="K78" s="749">
        <f t="shared" ref="K78:L78" si="11">SUM(K76:K77)</f>
        <v>0</v>
      </c>
      <c r="L78" s="749">
        <f t="shared" si="11"/>
        <v>0</v>
      </c>
      <c r="M78" s="749">
        <f>SUM(M76:M77)</f>
        <v>0</v>
      </c>
      <c r="N78" s="749">
        <f>SUM(N76:N77)</f>
        <v>0</v>
      </c>
      <c r="O78" s="856">
        <f>SUM(O76:O77)</f>
        <v>0</v>
      </c>
      <c r="P78" s="750">
        <v>0</v>
      </c>
      <c r="Q78" s="750">
        <f>SUM(Q76:Q77)</f>
        <v>347.29374829001381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2056.5523255813951</v>
      </c>
      <c r="C87" s="759">
        <f>'lokale energieproductie'!B17*IFERROR(SUM(D87:H87)/SUM(D87:O87),0)</f>
        <v>1516.4476744186045</v>
      </c>
      <c r="D87" s="770">
        <f>'lokale energieproductie'!C17</f>
        <v>977.56497948016431</v>
      </c>
      <c r="E87" s="770">
        <f>'lokale energieproductie'!D17</f>
        <v>0</v>
      </c>
      <c r="F87" s="770">
        <f>'lokale energieproductie'!E17</f>
        <v>806.49110807113539</v>
      </c>
      <c r="G87" s="770">
        <f>'lokale energieproductie'!F17</f>
        <v>0</v>
      </c>
      <c r="H87" s="770">
        <f>'lokale energieproductie'!G17</f>
        <v>0</v>
      </c>
      <c r="I87" s="770">
        <f>'lokale energieproductie'!I17</f>
        <v>2419.4733242134062</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412.80125170998633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2056.5523255813951</v>
      </c>
      <c r="C90" s="748">
        <f>SUM(C87:C89)</f>
        <v>1516.4476744186045</v>
      </c>
      <c r="D90" s="748">
        <f t="shared" ref="D90:H90" si="12">SUM(D87:D89)</f>
        <v>977.56497948016431</v>
      </c>
      <c r="E90" s="748">
        <f t="shared" si="12"/>
        <v>0</v>
      </c>
      <c r="F90" s="748">
        <f t="shared" si="12"/>
        <v>806.49110807113539</v>
      </c>
      <c r="G90" s="748">
        <f t="shared" si="12"/>
        <v>0</v>
      </c>
      <c r="H90" s="748">
        <f t="shared" si="12"/>
        <v>0</v>
      </c>
      <c r="I90" s="748">
        <f>SUM(I87:I89)</f>
        <v>2419.4733242134062</v>
      </c>
      <c r="J90" s="748">
        <f>SUM(J87:J89)</f>
        <v>0</v>
      </c>
      <c r="K90" s="748">
        <f t="shared" ref="K90:L90" si="13">SUM(K87:K89)</f>
        <v>0</v>
      </c>
      <c r="L90" s="748">
        <f t="shared" si="13"/>
        <v>0</v>
      </c>
      <c r="M90" s="748">
        <f>SUM(M87:M89)</f>
        <v>0</v>
      </c>
      <c r="N90" s="748">
        <f>SUM(N87:N89)</f>
        <v>0</v>
      </c>
      <c r="O90" s="748">
        <f>SUM(O87:O89)</f>
        <v>0</v>
      </c>
      <c r="P90" s="748">
        <v>0</v>
      </c>
      <c r="Q90" s="748">
        <f>SUM(Q87:Q89)</f>
        <v>412.80125170998633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15273.282789999999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4343.0280000000002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3006</v>
      </c>
      <c r="C8" s="560">
        <f>B101</f>
        <v>822.43502051983614</v>
      </c>
      <c r="D8" s="1028"/>
      <c r="E8" s="1028">
        <f>E101</f>
        <v>678.50889192886461</v>
      </c>
      <c r="F8" s="1029"/>
      <c r="G8" s="561"/>
      <c r="H8" s="1028">
        <f>I101</f>
        <v>0</v>
      </c>
      <c r="I8" s="1028">
        <f>G101+F101</f>
        <v>2035.5266757865938</v>
      </c>
      <c r="J8" s="1028">
        <f>H101+D101+C101</f>
        <v>0</v>
      </c>
      <c r="K8" s="1028"/>
      <c r="L8" s="1028"/>
      <c r="M8" s="1028"/>
      <c r="N8" s="562"/>
      <c r="O8" s="563">
        <f>C8*$C$12+D8*$D$12+E8*$E$12+F8*$F$12+G8*$G$12+H8*$H$12+I8*$I$12+J8*$J$12</f>
        <v>347.29374829001381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22622.31079</v>
      </c>
      <c r="C10" s="573">
        <f t="shared" ref="C10:L10" si="0">SUM(C8:C9)</f>
        <v>822.43502051983614</v>
      </c>
      <c r="D10" s="573">
        <f t="shared" si="0"/>
        <v>0</v>
      </c>
      <c r="E10" s="573">
        <f t="shared" si="0"/>
        <v>678.50889192886461</v>
      </c>
      <c r="F10" s="573">
        <f t="shared" si="0"/>
        <v>0</v>
      </c>
      <c r="G10" s="573">
        <f t="shared" si="0"/>
        <v>0</v>
      </c>
      <c r="H10" s="573">
        <f t="shared" si="0"/>
        <v>0</v>
      </c>
      <c r="I10" s="573">
        <f t="shared" si="0"/>
        <v>2035.5266757865938</v>
      </c>
      <c r="J10" s="573">
        <f t="shared" si="0"/>
        <v>0</v>
      </c>
      <c r="K10" s="573">
        <f t="shared" si="0"/>
        <v>0</v>
      </c>
      <c r="L10" s="573">
        <f t="shared" si="0"/>
        <v>0</v>
      </c>
      <c r="M10" s="1031"/>
      <c r="N10" s="1031"/>
      <c r="O10" s="574">
        <f>SUM(O4:O9)</f>
        <v>347.29374829001381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3573</v>
      </c>
      <c r="C17" s="585">
        <f>B102</f>
        <v>977.56497948016431</v>
      </c>
      <c r="D17" s="586"/>
      <c r="E17" s="586">
        <f>E102</f>
        <v>806.49110807113539</v>
      </c>
      <c r="F17" s="1034"/>
      <c r="G17" s="587"/>
      <c r="H17" s="585">
        <f>I102</f>
        <v>0</v>
      </c>
      <c r="I17" s="586">
        <f>G102+F102</f>
        <v>2419.4733242134062</v>
      </c>
      <c r="J17" s="586">
        <f>H102+D102+C102</f>
        <v>0</v>
      </c>
      <c r="K17" s="586"/>
      <c r="L17" s="586"/>
      <c r="M17" s="586"/>
      <c r="N17" s="1035"/>
      <c r="O17" s="588">
        <f>C17*$C$22+E17*$E$22+H17*$H$22+I17*$I$22+J17*$J$22+D17*$D$22+F17*$F$22+G17*$G$22+K17*$K$22+L17*$L$22</f>
        <v>412.80125170998633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3573</v>
      </c>
      <c r="C20" s="572">
        <f>SUM(C17:C19)</f>
        <v>977.56497948016431</v>
      </c>
      <c r="D20" s="572">
        <f t="shared" ref="D20:L20" si="1">SUM(D17:D19)</f>
        <v>0</v>
      </c>
      <c r="E20" s="572">
        <f t="shared" si="1"/>
        <v>806.49110807113539</v>
      </c>
      <c r="F20" s="572">
        <f t="shared" si="1"/>
        <v>0</v>
      </c>
      <c r="G20" s="572">
        <f t="shared" si="1"/>
        <v>0</v>
      </c>
      <c r="H20" s="572">
        <f t="shared" si="1"/>
        <v>0</v>
      </c>
      <c r="I20" s="572">
        <f t="shared" si="1"/>
        <v>2419.4733242134062</v>
      </c>
      <c r="J20" s="572">
        <f t="shared" si="1"/>
        <v>0</v>
      </c>
      <c r="K20" s="572">
        <f t="shared" si="1"/>
        <v>0</v>
      </c>
      <c r="L20" s="572">
        <f t="shared" si="1"/>
        <v>0</v>
      </c>
      <c r="M20" s="572"/>
      <c r="N20" s="572"/>
      <c r="O20" s="592">
        <f>SUM(O17:O19)</f>
        <v>412.80125170998633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46013</v>
      </c>
      <c r="C28" s="791">
        <v>9150</v>
      </c>
      <c r="D28" s="644" t="s">
        <v>913</v>
      </c>
      <c r="E28" s="643" t="s">
        <v>914</v>
      </c>
      <c r="F28" s="643" t="s">
        <v>915</v>
      </c>
      <c r="G28" s="643" t="s">
        <v>916</v>
      </c>
      <c r="H28" s="643" t="s">
        <v>917</v>
      </c>
      <c r="I28" s="643" t="s">
        <v>914</v>
      </c>
      <c r="J28" s="790">
        <v>40142</v>
      </c>
      <c r="K28" s="790">
        <v>40142</v>
      </c>
      <c r="L28" s="643" t="s">
        <v>918</v>
      </c>
      <c r="M28" s="643">
        <v>528</v>
      </c>
      <c r="N28" s="643">
        <v>2376</v>
      </c>
      <c r="O28" s="643">
        <v>2673</v>
      </c>
      <c r="P28" s="643">
        <v>0</v>
      </c>
      <c r="Q28" s="643">
        <v>0</v>
      </c>
      <c r="R28" s="643">
        <v>0</v>
      </c>
      <c r="S28" s="643">
        <v>1485</v>
      </c>
      <c r="T28" s="643">
        <v>4455</v>
      </c>
      <c r="U28" s="643">
        <v>0</v>
      </c>
      <c r="V28" s="643">
        <v>0</v>
      </c>
      <c r="W28" s="643">
        <v>0</v>
      </c>
      <c r="X28" s="643">
        <v>10</v>
      </c>
      <c r="Y28" s="643" t="s">
        <v>112</v>
      </c>
      <c r="Z28" s="645" t="s">
        <v>112</v>
      </c>
    </row>
    <row r="29" spans="1:26" s="597" customFormat="1" ht="25.5">
      <c r="A29" s="596"/>
      <c r="B29" s="791">
        <v>46013</v>
      </c>
      <c r="C29" s="791">
        <v>9150</v>
      </c>
      <c r="D29" s="644" t="s">
        <v>919</v>
      </c>
      <c r="E29" s="643" t="s">
        <v>920</v>
      </c>
      <c r="F29" s="643" t="s">
        <v>921</v>
      </c>
      <c r="G29" s="643" t="s">
        <v>916</v>
      </c>
      <c r="H29" s="643" t="s">
        <v>922</v>
      </c>
      <c r="I29" s="643" t="s">
        <v>920</v>
      </c>
      <c r="J29" s="790">
        <v>40991</v>
      </c>
      <c r="K29" s="790">
        <v>41091</v>
      </c>
      <c r="L29" s="643" t="s">
        <v>923</v>
      </c>
      <c r="M29" s="643">
        <v>140</v>
      </c>
      <c r="N29" s="643">
        <v>630.00000000000011</v>
      </c>
      <c r="O29" s="643">
        <v>900.00000000000023</v>
      </c>
      <c r="P29" s="643">
        <v>1800.0000000000005</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668</v>
      </c>
      <c r="N58" s="601">
        <f>SUM(N28:N57)</f>
        <v>3006</v>
      </c>
      <c r="O58" s="601">
        <f t="shared" ref="O58:W58" si="2">SUM(O28:O57)</f>
        <v>3573</v>
      </c>
      <c r="P58" s="601">
        <f t="shared" si="2"/>
        <v>1800.0000000000005</v>
      </c>
      <c r="Q58" s="601">
        <f t="shared" si="2"/>
        <v>0</v>
      </c>
      <c r="R58" s="601">
        <f t="shared" si="2"/>
        <v>0</v>
      </c>
      <c r="S58" s="601">
        <f t="shared" si="2"/>
        <v>1485</v>
      </c>
      <c r="T58" s="601">
        <f t="shared" si="2"/>
        <v>4455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668</v>
      </c>
      <c r="N61" s="606">
        <f t="shared" si="4"/>
        <v>3006</v>
      </c>
      <c r="O61" s="606">
        <f t="shared" si="4"/>
        <v>3573</v>
      </c>
      <c r="P61" s="606">
        <f t="shared" si="4"/>
        <v>1800.0000000000005</v>
      </c>
      <c r="Q61" s="606">
        <f t="shared" si="4"/>
        <v>0</v>
      </c>
      <c r="R61" s="606">
        <f t="shared" si="4"/>
        <v>0</v>
      </c>
      <c r="S61" s="606">
        <f t="shared" si="4"/>
        <v>1485</v>
      </c>
      <c r="T61" s="606">
        <f t="shared" si="4"/>
        <v>4455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0.54309165526675784</v>
      </c>
      <c r="C98" s="626">
        <f>IF(ISERROR(N58/(O58+N58)),0,N58/(N58+O58))</f>
        <v>0.45690834473324216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822.43502051983614</v>
      </c>
      <c r="C101" s="635">
        <f t="shared" si="9"/>
        <v>0</v>
      </c>
      <c r="D101" s="635">
        <f t="shared" si="9"/>
        <v>0</v>
      </c>
      <c r="E101" s="635">
        <f t="shared" si="9"/>
        <v>678.50889192886461</v>
      </c>
      <c r="F101" s="635">
        <f t="shared" si="9"/>
        <v>2035.5266757865938</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977.56497948016431</v>
      </c>
      <c r="C102" s="638">
        <f t="shared" si="10"/>
        <v>0</v>
      </c>
      <c r="D102" s="638">
        <f t="shared" si="10"/>
        <v>0</v>
      </c>
      <c r="E102" s="638">
        <f t="shared" si="10"/>
        <v>806.49110807113539</v>
      </c>
      <c r="F102" s="638">
        <f t="shared" si="10"/>
        <v>2419.4733242134062</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30552.252165725702</v>
      </c>
      <c r="C4" s="462">
        <f>huishoudens!C8</f>
        <v>0</v>
      </c>
      <c r="D4" s="462">
        <f>huishoudens!D8</f>
        <v>85919.394171891414</v>
      </c>
      <c r="E4" s="462">
        <f>huishoudens!E8</f>
        <v>1001.3674032487096</v>
      </c>
      <c r="F4" s="462">
        <f>huishoudens!F8</f>
        <v>0</v>
      </c>
      <c r="G4" s="462">
        <f>huishoudens!G8</f>
        <v>0</v>
      </c>
      <c r="H4" s="462">
        <f>huishoudens!H8</f>
        <v>0</v>
      </c>
      <c r="I4" s="462">
        <f>huishoudens!I8</f>
        <v>0</v>
      </c>
      <c r="J4" s="462">
        <f>huishoudens!J8</f>
        <v>1769.7137428809492</v>
      </c>
      <c r="K4" s="462">
        <f>huishoudens!K8</f>
        <v>0</v>
      </c>
      <c r="L4" s="462">
        <f>huishoudens!L8</f>
        <v>0</v>
      </c>
      <c r="M4" s="462">
        <f>huishoudens!M8</f>
        <v>0</v>
      </c>
      <c r="N4" s="462">
        <f>huishoudens!N8</f>
        <v>17393.781997569047</v>
      </c>
      <c r="O4" s="462">
        <f>huishoudens!O8</f>
        <v>221.99333333333334</v>
      </c>
      <c r="P4" s="463">
        <f>huishoudens!P8</f>
        <v>343.2</v>
      </c>
      <c r="Q4" s="464">
        <f>SUM(B4:P4)</f>
        <v>137201.70281464918</v>
      </c>
    </row>
    <row r="5" spans="1:17">
      <c r="A5" s="461" t="s">
        <v>156</v>
      </c>
      <c r="B5" s="462">
        <f ca="1">tertiair!B16</f>
        <v>13813.026094369699</v>
      </c>
      <c r="C5" s="462">
        <f ca="1">tertiair!C16</f>
        <v>0</v>
      </c>
      <c r="D5" s="462">
        <f ca="1">tertiair!D16</f>
        <v>17461.305714649687</v>
      </c>
      <c r="E5" s="462">
        <f>tertiair!E16</f>
        <v>182.79932474388306</v>
      </c>
      <c r="F5" s="462">
        <f ca="1">tertiair!F16</f>
        <v>2714.652484565313</v>
      </c>
      <c r="G5" s="462">
        <f>tertiair!G16</f>
        <v>0</v>
      </c>
      <c r="H5" s="462">
        <f>tertiair!H16</f>
        <v>0</v>
      </c>
      <c r="I5" s="462">
        <f>tertiair!I16</f>
        <v>0</v>
      </c>
      <c r="J5" s="462">
        <f>tertiair!J16</f>
        <v>0</v>
      </c>
      <c r="K5" s="462">
        <f>tertiair!K16</f>
        <v>0</v>
      </c>
      <c r="L5" s="462">
        <f ca="1">tertiair!L16</f>
        <v>0</v>
      </c>
      <c r="M5" s="462">
        <f>tertiair!M16</f>
        <v>0</v>
      </c>
      <c r="N5" s="462">
        <f ca="1">tertiair!N16</f>
        <v>1054.9807227617428</v>
      </c>
      <c r="O5" s="462">
        <f>tertiair!O16</f>
        <v>3.1266666666666669</v>
      </c>
      <c r="P5" s="463">
        <f>tertiair!P16</f>
        <v>19.066666666666666</v>
      </c>
      <c r="Q5" s="461">
        <f t="shared" ref="Q5:Q14" ca="1" si="0">SUM(B5:P5)</f>
        <v>35248.957674423655</v>
      </c>
    </row>
    <row r="6" spans="1:17">
      <c r="A6" s="461" t="s">
        <v>194</v>
      </c>
      <c r="B6" s="462">
        <f>'openbare verlichting'!B8</f>
        <v>1293.479</v>
      </c>
      <c r="C6" s="462"/>
      <c r="D6" s="462"/>
      <c r="E6" s="462"/>
      <c r="F6" s="462"/>
      <c r="G6" s="462"/>
      <c r="H6" s="462"/>
      <c r="I6" s="462"/>
      <c r="J6" s="462"/>
      <c r="K6" s="462"/>
      <c r="L6" s="462"/>
      <c r="M6" s="462"/>
      <c r="N6" s="462"/>
      <c r="O6" s="462"/>
      <c r="P6" s="463"/>
      <c r="Q6" s="461">
        <f t="shared" si="0"/>
        <v>1293.479</v>
      </c>
    </row>
    <row r="7" spans="1:17">
      <c r="A7" s="461" t="s">
        <v>112</v>
      </c>
      <c r="B7" s="462">
        <f>landbouw!B8</f>
        <v>1959.8496879899867</v>
      </c>
      <c r="C7" s="462">
        <f>landbouw!C8</f>
        <v>3573</v>
      </c>
      <c r="D7" s="462">
        <f>landbouw!D8</f>
        <v>0</v>
      </c>
      <c r="E7" s="462">
        <f>landbouw!E8</f>
        <v>24.696630868415696</v>
      </c>
      <c r="F7" s="462">
        <f>landbouw!F8</f>
        <v>5276.9723952490558</v>
      </c>
      <c r="G7" s="462">
        <f>landbouw!G8</f>
        <v>0</v>
      </c>
      <c r="H7" s="462">
        <f>landbouw!H8</f>
        <v>0</v>
      </c>
      <c r="I7" s="462">
        <f>landbouw!I8</f>
        <v>0</v>
      </c>
      <c r="J7" s="462">
        <f>landbouw!J8</f>
        <v>294.73911428873237</v>
      </c>
      <c r="K7" s="462">
        <f>landbouw!K8</f>
        <v>0</v>
      </c>
      <c r="L7" s="462">
        <f>landbouw!L8</f>
        <v>0</v>
      </c>
      <c r="M7" s="462">
        <f>landbouw!M8</f>
        <v>0</v>
      </c>
      <c r="N7" s="462">
        <f>landbouw!N8</f>
        <v>0</v>
      </c>
      <c r="O7" s="462">
        <f>landbouw!O8</f>
        <v>0</v>
      </c>
      <c r="P7" s="463">
        <f>landbouw!P8</f>
        <v>0</v>
      </c>
      <c r="Q7" s="461">
        <f t="shared" si="0"/>
        <v>11129.25782839619</v>
      </c>
    </row>
    <row r="8" spans="1:17">
      <c r="A8" s="461" t="s">
        <v>657</v>
      </c>
      <c r="B8" s="462">
        <f>industrie!B18</f>
        <v>10065.441004708811</v>
      </c>
      <c r="C8" s="462">
        <f>industrie!C18</f>
        <v>0</v>
      </c>
      <c r="D8" s="462">
        <f>industrie!D18</f>
        <v>10704.291159215867</v>
      </c>
      <c r="E8" s="462">
        <f>industrie!E18</f>
        <v>928.89674584809802</v>
      </c>
      <c r="F8" s="462">
        <f>industrie!F18</f>
        <v>9326.1638161435749</v>
      </c>
      <c r="G8" s="462">
        <f>industrie!G18</f>
        <v>0</v>
      </c>
      <c r="H8" s="462">
        <f>industrie!H18</f>
        <v>0</v>
      </c>
      <c r="I8" s="462">
        <f>industrie!I18</f>
        <v>0</v>
      </c>
      <c r="J8" s="462">
        <f>industrie!J18</f>
        <v>8.9698602634611326</v>
      </c>
      <c r="K8" s="462">
        <f>industrie!K18</f>
        <v>0</v>
      </c>
      <c r="L8" s="462">
        <f>industrie!L18</f>
        <v>0</v>
      </c>
      <c r="M8" s="462">
        <f>industrie!M18</f>
        <v>0</v>
      </c>
      <c r="N8" s="462">
        <f>industrie!N18</f>
        <v>2571.7542369798134</v>
      </c>
      <c r="O8" s="462">
        <f>industrie!O18</f>
        <v>0</v>
      </c>
      <c r="P8" s="463">
        <f>industrie!P18</f>
        <v>0</v>
      </c>
      <c r="Q8" s="461">
        <f t="shared" si="0"/>
        <v>33605.516823159625</v>
      </c>
    </row>
    <row r="9" spans="1:17" s="467" customFormat="1">
      <c r="A9" s="465" t="s">
        <v>574</v>
      </c>
      <c r="B9" s="466">
        <f>transport!B14</f>
        <v>7.1886841336476079</v>
      </c>
      <c r="C9" s="466">
        <f>transport!C14</f>
        <v>0</v>
      </c>
      <c r="D9" s="466">
        <f>transport!D14</f>
        <v>11.393680739716524</v>
      </c>
      <c r="E9" s="466">
        <f>transport!E14</f>
        <v>405.69906035611632</v>
      </c>
      <c r="F9" s="466">
        <f>transport!F14</f>
        <v>0</v>
      </c>
      <c r="G9" s="466">
        <f>transport!G14</f>
        <v>134578.65323389228</v>
      </c>
      <c r="H9" s="466">
        <f>transport!H14</f>
        <v>17581.155379553311</v>
      </c>
      <c r="I9" s="466">
        <f>transport!I14</f>
        <v>0</v>
      </c>
      <c r="J9" s="466">
        <f>transport!J14</f>
        <v>0</v>
      </c>
      <c r="K9" s="466">
        <f>transport!K14</f>
        <v>0</v>
      </c>
      <c r="L9" s="466">
        <f>transport!L14</f>
        <v>0</v>
      </c>
      <c r="M9" s="466">
        <f>transport!M14</f>
        <v>6875.050190339849</v>
      </c>
      <c r="N9" s="466">
        <f>transport!N14</f>
        <v>0</v>
      </c>
      <c r="O9" s="466">
        <f>transport!O14</f>
        <v>0</v>
      </c>
      <c r="P9" s="466">
        <f>transport!P14</f>
        <v>0</v>
      </c>
      <c r="Q9" s="465">
        <f>SUM(B9:P9)</f>
        <v>159459.14022901491</v>
      </c>
    </row>
    <row r="10" spans="1:17">
      <c r="A10" s="461" t="s">
        <v>564</v>
      </c>
      <c r="B10" s="462">
        <f>transport!B54</f>
        <v>0</v>
      </c>
      <c r="C10" s="462">
        <f>transport!C54</f>
        <v>0</v>
      </c>
      <c r="D10" s="462">
        <f>transport!D54</f>
        <v>0</v>
      </c>
      <c r="E10" s="462">
        <f>transport!E54</f>
        <v>0</v>
      </c>
      <c r="F10" s="462">
        <f>transport!F54</f>
        <v>0</v>
      </c>
      <c r="G10" s="462">
        <f>transport!G54</f>
        <v>1423.7081987055853</v>
      </c>
      <c r="H10" s="462">
        <f>transport!H54</f>
        <v>0</v>
      </c>
      <c r="I10" s="462">
        <f>transport!I54</f>
        <v>0</v>
      </c>
      <c r="J10" s="462">
        <f>transport!J54</f>
        <v>0</v>
      </c>
      <c r="K10" s="462">
        <f>transport!K54</f>
        <v>0</v>
      </c>
      <c r="L10" s="462">
        <f>transport!L54</f>
        <v>0</v>
      </c>
      <c r="M10" s="462">
        <f>transport!M54</f>
        <v>63.315785867638631</v>
      </c>
      <c r="N10" s="462">
        <f>transport!N54</f>
        <v>0</v>
      </c>
      <c r="O10" s="462">
        <f>transport!O54</f>
        <v>0</v>
      </c>
      <c r="P10" s="463">
        <f>transport!P54</f>
        <v>0</v>
      </c>
      <c r="Q10" s="461">
        <f t="shared" si="0"/>
        <v>1487.023984573224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1137.71400809187</v>
      </c>
      <c r="C14" s="469"/>
      <c r="D14" s="469">
        <f>'SEAP template'!E25</f>
        <v>2860.9825051657399</v>
      </c>
      <c r="E14" s="469"/>
      <c r="F14" s="469"/>
      <c r="G14" s="469"/>
      <c r="H14" s="469"/>
      <c r="I14" s="469"/>
      <c r="J14" s="469"/>
      <c r="K14" s="469"/>
      <c r="L14" s="469"/>
      <c r="M14" s="469"/>
      <c r="N14" s="469"/>
      <c r="O14" s="469"/>
      <c r="P14" s="470"/>
      <c r="Q14" s="461">
        <f t="shared" si="0"/>
        <v>3998.6965132576097</v>
      </c>
    </row>
    <row r="15" spans="1:17" s="474" customFormat="1">
      <c r="A15" s="471" t="s">
        <v>568</v>
      </c>
      <c r="B15" s="472">
        <f ca="1">SUM(B4:B14)</f>
        <v>58828.950645019715</v>
      </c>
      <c r="C15" s="472">
        <f t="shared" ref="C15:Q15" ca="1" si="1">SUM(C4:C14)</f>
        <v>3573</v>
      </c>
      <c r="D15" s="472">
        <f t="shared" ca="1" si="1"/>
        <v>116957.36723166241</v>
      </c>
      <c r="E15" s="472">
        <f t="shared" si="1"/>
        <v>2543.4591650652228</v>
      </c>
      <c r="F15" s="472">
        <f t="shared" ca="1" si="1"/>
        <v>17317.788695957945</v>
      </c>
      <c r="G15" s="472">
        <f t="shared" si="1"/>
        <v>136002.36143259786</v>
      </c>
      <c r="H15" s="472">
        <f t="shared" si="1"/>
        <v>17581.155379553311</v>
      </c>
      <c r="I15" s="472">
        <f t="shared" si="1"/>
        <v>0</v>
      </c>
      <c r="J15" s="472">
        <f t="shared" si="1"/>
        <v>2073.4227174331427</v>
      </c>
      <c r="K15" s="472">
        <f t="shared" si="1"/>
        <v>0</v>
      </c>
      <c r="L15" s="472">
        <f t="shared" ca="1" si="1"/>
        <v>0</v>
      </c>
      <c r="M15" s="472">
        <f t="shared" si="1"/>
        <v>6938.3659762074876</v>
      </c>
      <c r="N15" s="472">
        <f t="shared" ca="1" si="1"/>
        <v>21020.516957310603</v>
      </c>
      <c r="O15" s="472">
        <f t="shared" si="1"/>
        <v>225.12</v>
      </c>
      <c r="P15" s="472">
        <f t="shared" si="1"/>
        <v>362.26666666666665</v>
      </c>
      <c r="Q15" s="472">
        <f t="shared" ca="1" si="1"/>
        <v>383423.77486747439</v>
      </c>
    </row>
    <row r="17" spans="1:17">
      <c r="A17" s="475" t="s">
        <v>569</v>
      </c>
      <c r="B17" s="781">
        <f ca="1">huishoudens!B10</f>
        <v>0.14191926024021592</v>
      </c>
      <c r="C17" s="781">
        <f ca="1">huishoudens!C10</f>
        <v>0.11553351573187415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4335.9530260323263</v>
      </c>
      <c r="C22" s="462">
        <f t="shared" ref="C22:C32" ca="1" si="3">C4*$C$17</f>
        <v>0</v>
      </c>
      <c r="D22" s="462">
        <f t="shared" ref="D22:D32" si="4">D4*$D$17</f>
        <v>17355.717622722066</v>
      </c>
      <c r="E22" s="462">
        <f t="shared" ref="E22:E32" si="5">E4*$E$17</f>
        <v>227.3104005374571</v>
      </c>
      <c r="F22" s="462">
        <f t="shared" ref="F22:F32" si="6">F4*$F$17</f>
        <v>0</v>
      </c>
      <c r="G22" s="462">
        <f t="shared" ref="G22:G32" si="7">G4*$G$17</f>
        <v>0</v>
      </c>
      <c r="H22" s="462">
        <f t="shared" ref="H22:H32" si="8">H4*$H$17</f>
        <v>0</v>
      </c>
      <c r="I22" s="462">
        <f t="shared" ref="I22:I32" si="9">I4*$I$17</f>
        <v>0</v>
      </c>
      <c r="J22" s="462">
        <f t="shared" ref="J22:J32" si="10">J4*$J$17</f>
        <v>626.47866497985603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22545.459714271703</v>
      </c>
    </row>
    <row r="23" spans="1:17">
      <c r="A23" s="461" t="s">
        <v>156</v>
      </c>
      <c r="B23" s="462">
        <f t="shared" ca="1" si="2"/>
        <v>1960.3344449917468</v>
      </c>
      <c r="C23" s="462">
        <f t="shared" ca="1" si="3"/>
        <v>0</v>
      </c>
      <c r="D23" s="462">
        <f t="shared" ca="1" si="4"/>
        <v>3527.1837543592369</v>
      </c>
      <c r="E23" s="462">
        <f t="shared" si="5"/>
        <v>41.495446716861458</v>
      </c>
      <c r="F23" s="462">
        <f t="shared" ca="1" si="6"/>
        <v>724.81221337893862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6253.8258594467834</v>
      </c>
    </row>
    <row r="24" spans="1:17">
      <c r="A24" s="461" t="s">
        <v>194</v>
      </c>
      <c r="B24" s="462">
        <f t="shared" ca="1" si="2"/>
        <v>183.56958281625427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183.56958281625427</v>
      </c>
    </row>
    <row r="25" spans="1:17">
      <c r="A25" s="461" t="s">
        <v>112</v>
      </c>
      <c r="B25" s="462">
        <f t="shared" ca="1" si="2"/>
        <v>278.14041790155687</v>
      </c>
      <c r="C25" s="462">
        <f t="shared" ca="1" si="3"/>
        <v>412.80125170998633</v>
      </c>
      <c r="D25" s="462">
        <f t="shared" si="4"/>
        <v>0</v>
      </c>
      <c r="E25" s="462">
        <f t="shared" si="5"/>
        <v>5.6061352071303627</v>
      </c>
      <c r="F25" s="462">
        <f t="shared" si="6"/>
        <v>1408.9516295314979</v>
      </c>
      <c r="G25" s="462">
        <f t="shared" si="7"/>
        <v>0</v>
      </c>
      <c r="H25" s="462">
        <f t="shared" si="8"/>
        <v>0</v>
      </c>
      <c r="I25" s="462">
        <f t="shared" si="9"/>
        <v>0</v>
      </c>
      <c r="J25" s="462">
        <f t="shared" si="10"/>
        <v>104.33764645821125</v>
      </c>
      <c r="K25" s="462">
        <f t="shared" si="11"/>
        <v>0</v>
      </c>
      <c r="L25" s="462">
        <f t="shared" si="12"/>
        <v>0</v>
      </c>
      <c r="M25" s="462">
        <f t="shared" si="13"/>
        <v>0</v>
      </c>
      <c r="N25" s="462">
        <f t="shared" si="14"/>
        <v>0</v>
      </c>
      <c r="O25" s="462">
        <f t="shared" si="15"/>
        <v>0</v>
      </c>
      <c r="P25" s="463">
        <f t="shared" si="16"/>
        <v>0</v>
      </c>
      <c r="Q25" s="461">
        <f t="shared" ca="1" si="17"/>
        <v>2209.8370808083823</v>
      </c>
    </row>
    <row r="26" spans="1:17">
      <c r="A26" s="461" t="s">
        <v>657</v>
      </c>
      <c r="B26" s="462">
        <f t="shared" ca="1" si="2"/>
        <v>1428.4799413798103</v>
      </c>
      <c r="C26" s="462">
        <f t="shared" ca="1" si="3"/>
        <v>0</v>
      </c>
      <c r="D26" s="462">
        <f t="shared" si="4"/>
        <v>2162.2668141616055</v>
      </c>
      <c r="E26" s="462">
        <f t="shared" si="5"/>
        <v>210.85956130751825</v>
      </c>
      <c r="F26" s="462">
        <f t="shared" si="6"/>
        <v>2490.0857389103348</v>
      </c>
      <c r="G26" s="462">
        <f t="shared" si="7"/>
        <v>0</v>
      </c>
      <c r="H26" s="462">
        <f t="shared" si="8"/>
        <v>0</v>
      </c>
      <c r="I26" s="462">
        <f t="shared" si="9"/>
        <v>0</v>
      </c>
      <c r="J26" s="462">
        <f t="shared" si="10"/>
        <v>3.1753305332652406</v>
      </c>
      <c r="K26" s="462">
        <f t="shared" si="11"/>
        <v>0</v>
      </c>
      <c r="L26" s="462">
        <f t="shared" si="12"/>
        <v>0</v>
      </c>
      <c r="M26" s="462">
        <f t="shared" si="13"/>
        <v>0</v>
      </c>
      <c r="N26" s="462">
        <f t="shared" si="14"/>
        <v>0</v>
      </c>
      <c r="O26" s="462">
        <f t="shared" si="15"/>
        <v>0</v>
      </c>
      <c r="P26" s="463">
        <f t="shared" si="16"/>
        <v>0</v>
      </c>
      <c r="Q26" s="461">
        <f t="shared" ca="1" si="17"/>
        <v>6294.8673862925343</v>
      </c>
    </row>
    <row r="27" spans="1:17" s="467" customFormat="1">
      <c r="A27" s="465" t="s">
        <v>574</v>
      </c>
      <c r="B27" s="775">
        <f t="shared" ca="1" si="2"/>
        <v>1.020212734347846</v>
      </c>
      <c r="C27" s="466">
        <f t="shared" ca="1" si="3"/>
        <v>0</v>
      </c>
      <c r="D27" s="466">
        <f t="shared" si="4"/>
        <v>2.3015235094227382</v>
      </c>
      <c r="E27" s="466">
        <f t="shared" si="5"/>
        <v>92.093686700838404</v>
      </c>
      <c r="F27" s="466">
        <f t="shared" si="6"/>
        <v>0</v>
      </c>
      <c r="G27" s="466">
        <f t="shared" si="7"/>
        <v>35932.500413449241</v>
      </c>
      <c r="H27" s="466">
        <f t="shared" si="8"/>
        <v>4377.7076895087748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40405.623525902622</v>
      </c>
    </row>
    <row r="28" spans="1:17">
      <c r="A28" s="461" t="s">
        <v>564</v>
      </c>
      <c r="B28" s="462">
        <f t="shared" ca="1" si="2"/>
        <v>0</v>
      </c>
      <c r="C28" s="462">
        <f t="shared" ca="1" si="3"/>
        <v>0</v>
      </c>
      <c r="D28" s="462">
        <f t="shared" si="4"/>
        <v>0</v>
      </c>
      <c r="E28" s="462">
        <f t="shared" si="5"/>
        <v>0</v>
      </c>
      <c r="F28" s="462">
        <f t="shared" si="6"/>
        <v>0</v>
      </c>
      <c r="G28" s="462">
        <f t="shared" si="7"/>
        <v>380.13008905439131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380.13008905439131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161.46353039332922</v>
      </c>
      <c r="C32" s="462">
        <f t="shared" ca="1" si="3"/>
        <v>0</v>
      </c>
      <c r="D32" s="462">
        <f t="shared" si="4"/>
        <v>577.9184660434795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739.38199643680878</v>
      </c>
    </row>
    <row r="33" spans="1:17" s="474" customFormat="1">
      <c r="A33" s="471" t="s">
        <v>568</v>
      </c>
      <c r="B33" s="472">
        <f ca="1">SUM(B22:B32)</f>
        <v>8348.9611562493719</v>
      </c>
      <c r="C33" s="472">
        <f t="shared" ref="C33:Q33" ca="1" si="18">SUM(C22:C32)</f>
        <v>412.80125170998633</v>
      </c>
      <c r="D33" s="472">
        <f t="shared" ca="1" si="18"/>
        <v>23625.388180795813</v>
      </c>
      <c r="E33" s="472">
        <f t="shared" si="18"/>
        <v>577.36523046980551</v>
      </c>
      <c r="F33" s="472">
        <f t="shared" ca="1" si="18"/>
        <v>4623.8495818207712</v>
      </c>
      <c r="G33" s="472">
        <f t="shared" si="18"/>
        <v>36312.630502503634</v>
      </c>
      <c r="H33" s="472">
        <f t="shared" si="18"/>
        <v>4377.7076895087748</v>
      </c>
      <c r="I33" s="472">
        <f t="shared" si="18"/>
        <v>0</v>
      </c>
      <c r="J33" s="472">
        <f t="shared" si="18"/>
        <v>733.99164197133246</v>
      </c>
      <c r="K33" s="472">
        <f t="shared" si="18"/>
        <v>0</v>
      </c>
      <c r="L33" s="472">
        <f t="shared" ca="1" si="18"/>
        <v>0</v>
      </c>
      <c r="M33" s="472">
        <f t="shared" si="18"/>
        <v>0</v>
      </c>
      <c r="N33" s="472">
        <f t="shared" ca="1" si="18"/>
        <v>0</v>
      </c>
      <c r="O33" s="472">
        <f t="shared" si="18"/>
        <v>0</v>
      </c>
      <c r="P33" s="472">
        <f t="shared" si="18"/>
        <v>0</v>
      </c>
      <c r="Q33" s="472">
        <f t="shared" ca="1" si="18"/>
        <v>79012.695235029489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15273.282789999999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4343.0280000000002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1730.1976744186045</v>
      </c>
      <c r="C8" s="1047">
        <f>'SEAP template'!C76</f>
        <v>1275.8023255813955</v>
      </c>
      <c r="D8" s="1047">
        <f>'SEAP template'!D76</f>
        <v>822.43502051983614</v>
      </c>
      <c r="E8" s="1047">
        <f>'SEAP template'!E76</f>
        <v>0</v>
      </c>
      <c r="F8" s="1047">
        <f>'SEAP template'!F76</f>
        <v>678.50889192886461</v>
      </c>
      <c r="G8" s="1047">
        <f>'SEAP template'!G76</f>
        <v>0</v>
      </c>
      <c r="H8" s="1047">
        <f>'SEAP template'!H76</f>
        <v>0</v>
      </c>
      <c r="I8" s="1047">
        <f>'SEAP template'!I76</f>
        <v>2035.5266757865938</v>
      </c>
      <c r="J8" s="1047">
        <f>'SEAP template'!J76</f>
        <v>0</v>
      </c>
      <c r="K8" s="1047">
        <f>'SEAP template'!K76</f>
        <v>0</v>
      </c>
      <c r="L8" s="1047">
        <f>'SEAP template'!L76</f>
        <v>0</v>
      </c>
      <c r="M8" s="1047">
        <f>'SEAP template'!M76</f>
        <v>0</v>
      </c>
      <c r="N8" s="1047">
        <f>'SEAP template'!N76</f>
        <v>0</v>
      </c>
      <c r="O8" s="1047">
        <f>'SEAP template'!O76</f>
        <v>0</v>
      </c>
      <c r="P8" s="1048">
        <f>'SEAP template'!Q76</f>
        <v>347.29374829001381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21346.508464418603</v>
      </c>
      <c r="C10" s="1051">
        <f>SUM(C4:C9)</f>
        <v>1275.8023255813955</v>
      </c>
      <c r="D10" s="1051">
        <f t="shared" ref="D10:H10" si="0">SUM(D8:D9)</f>
        <v>822.43502051983614</v>
      </c>
      <c r="E10" s="1051">
        <f t="shared" si="0"/>
        <v>0</v>
      </c>
      <c r="F10" s="1051">
        <f t="shared" si="0"/>
        <v>678.50889192886461</v>
      </c>
      <c r="G10" s="1051">
        <f t="shared" si="0"/>
        <v>0</v>
      </c>
      <c r="H10" s="1051">
        <f t="shared" si="0"/>
        <v>0</v>
      </c>
      <c r="I10" s="1051">
        <f>SUM(I8:I9)</f>
        <v>2035.5266757865938</v>
      </c>
      <c r="J10" s="1051">
        <f>SUM(J8:J9)</f>
        <v>0</v>
      </c>
      <c r="K10" s="1051">
        <f t="shared" ref="K10:L10" si="1">SUM(K8:K9)</f>
        <v>0</v>
      </c>
      <c r="L10" s="1051">
        <f t="shared" si="1"/>
        <v>0</v>
      </c>
      <c r="M10" s="1051">
        <f>SUM(M8:M9)</f>
        <v>0</v>
      </c>
      <c r="N10" s="1051">
        <f>SUM(N8:N9)</f>
        <v>0</v>
      </c>
      <c r="O10" s="1051">
        <f>SUM(O8:O9)</f>
        <v>0</v>
      </c>
      <c r="P10" s="1051">
        <f>SUM(P8:P9)</f>
        <v>347.29374829001381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0.14191926024021592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2056.5523255813951</v>
      </c>
      <c r="C17" s="1053">
        <f>'SEAP template'!C87</f>
        <v>1516.4476744186045</v>
      </c>
      <c r="D17" s="1048">
        <f>'SEAP template'!D87</f>
        <v>977.56497948016431</v>
      </c>
      <c r="E17" s="1048">
        <f>'SEAP template'!E87</f>
        <v>0</v>
      </c>
      <c r="F17" s="1048">
        <f>'SEAP template'!F87</f>
        <v>806.49110807113539</v>
      </c>
      <c r="G17" s="1048">
        <f>'SEAP template'!G87</f>
        <v>0</v>
      </c>
      <c r="H17" s="1048">
        <f>'SEAP template'!H87</f>
        <v>0</v>
      </c>
      <c r="I17" s="1048">
        <f>'SEAP template'!I87</f>
        <v>2419.4733242134062</v>
      </c>
      <c r="J17" s="1048">
        <f>'SEAP template'!J87</f>
        <v>0</v>
      </c>
      <c r="K17" s="1048">
        <f>'SEAP template'!K87</f>
        <v>0</v>
      </c>
      <c r="L17" s="1048">
        <f>'SEAP template'!L87</f>
        <v>0</v>
      </c>
      <c r="M17" s="1048">
        <f>'SEAP template'!M87</f>
        <v>0</v>
      </c>
      <c r="N17" s="1048">
        <f>'SEAP template'!N87</f>
        <v>0</v>
      </c>
      <c r="O17" s="1048">
        <f>'SEAP template'!O87</f>
        <v>0</v>
      </c>
      <c r="P17" s="1048">
        <f>'SEAP template'!Q87</f>
        <v>412.80125170998633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2056.5523255813951</v>
      </c>
      <c r="C20" s="1051">
        <f>SUM(C17:C19)</f>
        <v>1516.4476744186045</v>
      </c>
      <c r="D20" s="1051">
        <f t="shared" ref="D20:H20" si="2">SUM(D17:D19)</f>
        <v>977.56497948016431</v>
      </c>
      <c r="E20" s="1051">
        <f t="shared" si="2"/>
        <v>0</v>
      </c>
      <c r="F20" s="1051">
        <f t="shared" si="2"/>
        <v>806.49110807113539</v>
      </c>
      <c r="G20" s="1051">
        <f t="shared" si="2"/>
        <v>0</v>
      </c>
      <c r="H20" s="1051">
        <f t="shared" si="2"/>
        <v>0</v>
      </c>
      <c r="I20" s="1051">
        <f>SUM(I17:I19)</f>
        <v>2419.4733242134062</v>
      </c>
      <c r="J20" s="1051">
        <f>SUM(J17:J19)</f>
        <v>0</v>
      </c>
      <c r="K20" s="1051">
        <f t="shared" ref="K20:L20" si="3">SUM(K17:K19)</f>
        <v>0</v>
      </c>
      <c r="L20" s="1051">
        <f t="shared" si="3"/>
        <v>0</v>
      </c>
      <c r="M20" s="1051">
        <f>SUM(M17:M19)</f>
        <v>0</v>
      </c>
      <c r="N20" s="1051">
        <f>SUM(N17:N19)</f>
        <v>0</v>
      </c>
      <c r="O20" s="1051">
        <f>SUM(O17:O19)</f>
        <v>0</v>
      </c>
      <c r="P20" s="1051">
        <f>SUM(P17:P19)</f>
        <v>412.80125170998633</v>
      </c>
    </row>
    <row r="22" spans="1:16">
      <c r="A22" s="475" t="s">
        <v>895</v>
      </c>
      <c r="B22" s="781" t="s">
        <v>889</v>
      </c>
      <c r="C22" s="781">
        <f ca="1">'EF ele_warmte'!B22</f>
        <v>0.11553351573187415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0.14191926024021592</v>
      </c>
      <c r="C17" s="512">
        <f ca="1">'EF ele_warmte'!B22</f>
        <v>0.11553351573187415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2019-08-12T08:04:30Z</dcterms:modified>
</cp:coreProperties>
</file>