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I29" i="48"/>
  <c r="I31"/>
  <c r="I26"/>
  <c r="I32"/>
  <c r="I25"/>
  <c r="I27"/>
  <c r="I22"/>
  <c r="I30"/>
  <c r="I28"/>
  <c r="I24"/>
  <c r="E11" i="14"/>
  <c r="D4" i="48"/>
  <c r="D22" s="1"/>
  <c r="H29"/>
  <c r="H26"/>
  <c r="H32"/>
  <c r="H25"/>
  <c r="H28"/>
  <c r="H22"/>
  <c r="H30"/>
  <c r="H24"/>
  <c r="H23"/>
  <c r="E32"/>
  <c r="E28"/>
  <c r="E29"/>
  <c r="E30"/>
  <c r="E31"/>
  <c r="E24"/>
  <c r="M32"/>
  <c r="M29"/>
  <c r="M25"/>
  <c r="M26"/>
  <c r="M30"/>
  <c r="M24"/>
  <c r="M22"/>
  <c r="M23"/>
  <c r="L10" i="14"/>
  <c r="L16" s="1"/>
  <c r="L27" s="1"/>
  <c r="K5" i="48"/>
  <c r="D30"/>
  <c r="D28"/>
  <c r="D29"/>
  <c r="D31"/>
  <c r="D24"/>
  <c r="D32"/>
  <c r="L28"/>
  <c r="L29"/>
  <c r="L32"/>
  <c r="L30"/>
  <c r="L27"/>
  <c r="L31"/>
  <c r="L24"/>
  <c r="L22"/>
  <c r="P5"/>
  <c r="P23" s="1"/>
  <c r="Q10" i="14"/>
  <c r="K32" i="48"/>
  <c r="K28"/>
  <c r="K26"/>
  <c r="K22"/>
  <c r="K25"/>
  <c r="K31"/>
  <c r="K30"/>
  <c r="K29"/>
  <c r="K24"/>
  <c r="K27"/>
  <c r="C24" i="14"/>
  <c r="C26" s="1"/>
  <c r="B7" i="48"/>
  <c r="J15" i="16"/>
  <c r="J29" i="48"/>
  <c r="J31"/>
  <c r="J32"/>
  <c r="J27"/>
  <c r="J24"/>
  <c r="J30"/>
  <c r="J28"/>
  <c r="O4"/>
  <c r="P11" i="14"/>
  <c r="D11"/>
  <c r="C4" i="48"/>
  <c r="G32"/>
  <c r="G26"/>
  <c r="G22"/>
  <c r="G30"/>
  <c r="G29"/>
  <c r="G25"/>
  <c r="G24"/>
  <c r="G23"/>
  <c r="C11" i="14"/>
  <c r="B4" i="48"/>
  <c r="F32"/>
  <c r="F27"/>
  <c r="F24"/>
  <c r="F28"/>
  <c r="F29"/>
  <c r="F30"/>
  <c r="F31"/>
  <c r="N32"/>
  <c r="N29"/>
  <c r="N31"/>
  <c r="N28"/>
  <c r="N27"/>
  <c r="N30"/>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D9" i="48"/>
  <c r="D27" s="1"/>
  <c r="E20" i="14"/>
  <c r="E22" s="1"/>
  <c r="O22" i="48"/>
  <c r="B9"/>
  <c r="C20" i="14"/>
  <c r="O5" i="48"/>
  <c r="O23" s="1"/>
  <c r="P10" i="14"/>
  <c r="F4" i="48"/>
  <c r="F22" s="1"/>
  <c r="G11" i="14"/>
  <c r="K24"/>
  <c r="K26" s="1"/>
  <c r="J7" i="48"/>
  <c r="J25" s="1"/>
  <c r="K15"/>
  <c r="K23"/>
  <c r="K33" s="1"/>
  <c r="M12" i="22"/>
  <c r="N18" i="14"/>
  <c r="M13" i="48"/>
  <c r="M31" s="1"/>
  <c r="P22"/>
  <c r="H18" i="14"/>
  <c r="R18" s="1"/>
  <c r="G13" i="48"/>
  <c r="H13"/>
  <c r="H31" s="1"/>
  <c r="I18" i="14"/>
  <c r="L63"/>
  <c r="L46"/>
  <c r="L61" s="1"/>
  <c r="Q16"/>
  <c r="Q27" s="1"/>
  <c r="J10"/>
  <c r="J16" s="1"/>
  <c r="J27" s="1"/>
  <c r="I5"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I23" i="48"/>
  <c r="I33" s="1"/>
  <c r="I15"/>
  <c r="E27"/>
  <c r="H20" i="14"/>
  <c r="H22" s="1"/>
  <c r="H27" s="1"/>
  <c r="G9" i="48"/>
  <c r="O8"/>
  <c r="P13" i="14"/>
  <c r="G31" i="48"/>
  <c r="Q13"/>
  <c r="M10"/>
  <c r="M28" s="1"/>
  <c r="N19" i="14"/>
  <c r="E7" i="48"/>
  <c r="E25" s="1"/>
  <c r="F24" i="14"/>
  <c r="F26" s="1"/>
  <c r="H19"/>
  <c r="G10" i="48"/>
  <c r="K11" i="14"/>
  <c r="J4" i="48"/>
  <c r="C22" i="14"/>
  <c r="N22"/>
  <c r="N27" s="1"/>
  <c r="P16"/>
  <c r="P27" s="1"/>
  <c r="Q46"/>
  <c r="Q61" s="1"/>
  <c r="Q63" s="1"/>
  <c r="P15" i="48"/>
  <c r="P3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I20" l="1"/>
  <c r="H9" i="48"/>
  <c r="E20" i="15"/>
  <c r="F40" i="14" s="1"/>
  <c r="E5" i="48"/>
  <c r="E23" s="1"/>
  <c r="F10" i="14"/>
  <c r="G27" i="48"/>
  <c r="G15"/>
  <c r="E22"/>
  <c r="Q4"/>
  <c r="O26"/>
  <c r="O33" s="1"/>
  <c r="O15"/>
  <c r="M27"/>
  <c r="M33" s="1"/>
  <c r="M15"/>
  <c r="K10" i="14"/>
  <c r="J5" i="48"/>
  <c r="J23" s="1"/>
  <c r="G28"/>
  <c r="Q10"/>
  <c r="J22"/>
  <c r="N63" i="14"/>
  <c r="R11"/>
  <c r="R19"/>
  <c r="M61"/>
  <c r="M27"/>
  <c r="E16"/>
  <c r="E27" s="1"/>
  <c r="E63" s="1"/>
  <c r="L15" i="48"/>
  <c r="R24" i="14"/>
  <c r="R26" s="1"/>
  <c r="L33" i="48"/>
  <c r="Q7"/>
  <c r="R10" i="14"/>
  <c r="D23" i="48"/>
  <c r="D33" s="1"/>
  <c r="D15"/>
  <c r="C16" i="14"/>
  <c r="C27" s="1"/>
  <c r="B3" i="6" s="1"/>
  <c r="B12" s="1"/>
  <c r="F23" i="48"/>
  <c r="N23"/>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22" l="1"/>
  <c r="I27" s="1"/>
  <c r="R20"/>
  <c r="R22" s="1"/>
  <c r="E8" i="48"/>
  <c r="F13" i="14"/>
  <c r="F16" s="1"/>
  <c r="F27" s="1"/>
  <c r="F63" s="1"/>
  <c r="H27" i="48"/>
  <c r="H33" s="1"/>
  <c r="H15"/>
  <c r="Q9"/>
  <c r="J22" i="16"/>
  <c r="K43" i="14" s="1"/>
  <c r="K46" s="1"/>
  <c r="K61" s="1"/>
  <c r="K13"/>
  <c r="J8" i="48"/>
  <c r="F46" i="14"/>
  <c r="F61" s="1"/>
  <c r="E22" i="16"/>
  <c r="F43" i="14" s="1"/>
  <c r="G33" i="48"/>
  <c r="I63" i="14"/>
  <c r="Q5" i="48"/>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<sst xmlns="http://schemas.openxmlformats.org/spreadsheetml/2006/main" count="2432" uniqueCount="913">
  <si>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</si>
  <si>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</si>
  <si>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</si>
  <si>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</si>
  <si>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</si>
  <si>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</si>
  <si>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</si>
  <si>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</si>
  <si>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</si>
  <si>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</si>
  <si>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</si>
  <si>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</si>
  <si>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</si>
  <si>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</si>
  <si>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</si>
  <si>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</si>
  <si>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</si>
  <si>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</si>
  <si>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</si>
  <si>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</si>
  <si>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</si>
  <si>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</si>
  <si>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</si>
  <si>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</si>
  <si>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</si>
  <si>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</si>
  <si>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</si>
  <si>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</si>
  <si>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</si>
  <si>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</si>
  <si>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</si>
  <si>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</si>
  <si>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</si>
  <si>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</si>
  <si>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</si>
  <si>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</si>
  <si>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</si>
  <si>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</si>
  <si>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</si>
  <si>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</si>
  <si>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</si>
  <si>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</si>
  <si>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</si>
  <si>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</si>
  <si>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</si>
  <si>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</si>
  <si>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</si>
  <si>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</si>
  <si>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</si>
  <si>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</si>
  <si>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</si>
  <si>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</si>
  <si>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</si>
  <si>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</si>
  <si>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</si>
  <si>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</si>
  <si>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</si>
  <si>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</si>
  <si>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</si>
  <si>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</si>
  <si>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</si>
  <si>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</si>
  <si>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</si>
  <si>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</si>
  <si>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</si>
  <si>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</si>
  <si>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</si>
  <si>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</si>
  <si>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</si>
  <si>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</si>
  <si>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</si>
  <si>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</si>
  <si>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</si>
  <si>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</si>
  <si>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</si>
  <si>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</si>
  <si>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</si>
  <si>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</si>
  <si>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</si>
  <si>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</si>
  <si>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</si>
  <si>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</si>
  <si>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</si>
  <si>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</si>
  <si>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</si>
  <si>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</si>
  <si>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</si>
  <si>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</si>
  <si>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</si>
  <si>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</si>
  <si>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</si>
  <si>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</si>
  <si>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</si>
  <si>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</si>
  <si>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</si>
  <si>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</si>
  <si>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</si>
  <si>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</si>
  <si>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</si>
  <si>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</si>
  <si>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</si>
  <si>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</si>
  <si>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</si>
  <si>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</si>
  <si>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</si>
  <si>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</si>
  <si>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</si>
  <si>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</si>
  <si>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</si>
  <si>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</si>
  <si>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</si>
  <si>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</si>
  <si>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</si>
  <si>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</si>
  <si>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</si>
  <si>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</si>
  <si>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</si>
  <si>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</si>
  <si>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</si>
  <si>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</si>
  <si>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</si>
  <si>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</si>
  <si>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</si>
  <si>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</si>
  <si>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</si>
  <si>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</si>
  <si>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</si>
  <si>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</si>
  <si>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</si>
  <si>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</si>
  <si>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</si>
  <si>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</si>
  <si>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</si>
  <si>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</si>
  <si>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</si>
  <si>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</si>
  <si>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</si>
  <si>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</si>
  <si>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</si>
  <si>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</si>
  <si>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</si>
  <si>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</si>
  <si>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</si>
  <si>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</si>
  <si>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</si>
  <si>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</si>
  <si>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</si>
  <si>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</si>
  <si>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</si>
  <si>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</si>
  <si>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</si>
  <si>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</si>
  <si>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</si>
  <si>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</si>
  <si>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</si>
  <si>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</si>
  <si>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</si>
  <si>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</si>
  <si>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</si>
  <si>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</si>
  <si>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</si>
  <si>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</si>
  <si>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</si>
  <si>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</si>
  <si>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</si>
  <si>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</si>
  <si>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</si>
  <si>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</si>
  <si>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</si>
  <si>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</si>
  <si>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</si>
  <si>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</si>
  <si>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</si>
  <si>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</si>
  <si>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</si>
  <si>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</si>
  <si>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</si>
  <si>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</si>
  <si>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</si>
  <si>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</si>
  <si>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</si>
  <si>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</si>
  <si>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</si>
  <si>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</si>
  <si>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</si>
  <si>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</si>
  <si>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</si>
  <si>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</si>
  <si>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</si>
  <si>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</si>
  <si>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</si>
  <si>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</si>
  <si>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</si>
  <si>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</si>
  <si>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</si>
  <si>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</si>
  <si>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</si>
  <si>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</si>
  <si>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</si>
  <si>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</si>
  <si>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</si>
  <si>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</si>
  <si>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</si>
  <si>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</si>
  <si>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</si>
  <si>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</si>
  <si>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</si>
  <si>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</si>
  <si>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</si>
  <si>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</si>
  <si>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</si>
  <si>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</si>
  <si>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</si>
  <si>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</si>
  <si>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</si>
  <si>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</si>
  <si>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</si>
  <si>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</si>
  <si>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</si>
  <si>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</si>
  <si>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</si>
  <si>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</si>
  <si>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</si>
  <si>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</si>
  <si>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</si>
  <si>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</si>
  <si>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</si>
  <si>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</si>
  <si>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</si>
  <si>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</si>
  <si>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</si>
  <si>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</si>
  <si>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</si>
  <si>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</si>
  <si>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</si>
  <si>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</si>
  <si>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</si>
  <si>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</si>
  <si>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</si>
  <si>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</si>
  <si>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</si>
  <si>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</si>
  <si>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</si>
  <si>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</si>
  <si>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</si>
  <si>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</si>
  <si>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</si>
  <si>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</si>
  <si>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</si>
  <si>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</si>
  <si>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</si>
  <si>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</si>
  <si>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</si>
  <si>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</si>
  <si>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</si>
  <si>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</si>
  <si>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</si>
  <si>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</si>
  <si>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</si>
  <si>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</si>
  <si>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</si>
  <si>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</si>
  <si>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</si>
  <si>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</si>
  <si>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</si>
  <si>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</si>
  <si>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</si>
  <si>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</si>
  <si>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</si>
  <si>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</si>
  <si>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</si>
  <si>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</si>
  <si>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</si>
  <si>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</si>
  <si>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</si>
  <si>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</si>
  <si>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</si>
  <si>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</si>
  <si>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</si>
  <si>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</si>
  <si>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</si>
  <si>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</si>
  <si>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</si>
  <si>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</si>
  <si>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</si>
  <si>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</si>
  <si>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</si>
  <si>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</si>
  <si>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</si>
  <si>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</si>
  <si>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</si>
  <si>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</si>
  <si>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</si>
  <si>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</si>
  <si>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</si>
  <si>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</si>
  <si>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</si>
  <si>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</si>
  <si>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</si>
  <si>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</si>
  <si>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</si>
  <si>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</si>
  <si>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</si>
  <si>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</si>
  <si>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</si>
  <si>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</si>
  <si>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</si>
  <si>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</si>
  <si>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</si>
  <si>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</si>
  <si>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</si>
  <si>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</si>
  <si>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</si>
  <si>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</si>
  <si>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</si>
  <si>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</si>
  <si>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</si>
  <si>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</si>
  <si>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</si>
  <si>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</si>
  <si>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</si>
  <si>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</si>
  <si>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</si>
  <si>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</si>
  <si>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</si>
  <si>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</si>
  <si>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</si>
  <si>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</si>
  <si>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</si>
  <si>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</si>
  <si>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</si>
  <si>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</si>
  <si>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</si>
  <si>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</si>
  <si>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</si>
  <si>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</si>
  <si>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</si>
  <si>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</si>
  <si>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</si>
  <si>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</si>
  <si>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</si>
  <si>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</si>
  <si>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</si>
  <si>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</si>
  <si>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</si>
  <si>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</si>
  <si>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</si>
  <si>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</si>
  <si>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</si>
  <si>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</si>
  <si>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</si>
  <si>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</si>
  <si>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</si>
  <si>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</si>
  <si>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</si>
  <si>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</si>
  <si>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</si>
  <si>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</si>
  <si>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</si>
  <si>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</si>
  <si>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</si>
  <si>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</si>
  <si>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</si>
  <si>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</si>
  <si>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</si>
  <si>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</si>
  <si>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</si>
  <si>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</si>
  <si>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</si>
  <si>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</si>
  <si>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</si>
  <si>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</si>
  <si>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</si>
  <si>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</si>
  <si>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</si>
  <si>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</si>
  <si>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</si>
  <si>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</si>
  <si>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</si>
  <si>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</si>
  <si>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</si>
  <si>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</si>
  <si>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</si>
  <si>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</si>
  <si>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</si>
  <si>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</si>
  <si>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</si>
  <si>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</si>
  <si>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</si>
  <si>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</si>
  <si>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</si>
  <si>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</si>
  <si>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</si>
  <si>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</si>
  <si>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</si>
  <si>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</si>
  <si>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</si>
  <si>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</si>
  <si>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</si>
  <si>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</si>
  <si>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</si>
  <si>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</si>
  <si>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</si>
  <si>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</si>
  <si>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</si>
  <si>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</si>
  <si>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</si>
  <si>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</si>
  <si>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</si>
  <si>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</si>
  <si>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</si>
  <si>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</si>
  <si>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</si>
  <si>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</si>
  <si>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</si>
  <si>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</si>
  <si>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</si>
  <si>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</si>
  <si>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</si>
  <si>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</si>
  <si>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</si>
  <si>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</si>
  <si>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</si>
  <si>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</si>
  <si>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</si>
  <si>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</si>
  <si>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</si>
  <si>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</si>
  <si>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</si>
  <si>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</si>
  <si>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</si>
  <si>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</si>
  <si>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</si>
  <si>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</si>
  <si>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</si>
  <si>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</si>
  <si>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</si>
  <si>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</si>
  <si>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</si>
  <si>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</si>
  <si>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</si>
  <si>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</si>
  <si>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</si>
  <si>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</si>
  <si>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</si>
  <si>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</si>
  <si>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</si>
  <si>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</si>
  <si>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</si>
  <si>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</si>
  <si>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</si>
  <si>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</si>
  <si>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</si>
  <si>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</si>
  <si>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</si>
  <si>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</si>
  <si>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</si>
  <si>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</si>
  <si>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</si>
  <si>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</si>
  <si>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</si>
  <si>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</si>
  <si>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</si>
  <si>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</si>
  <si>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</si>
  <si>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</si>
  <si>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</si>
  <si>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</si>
  <si>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</si>
  <si>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</si>
  <si>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</si>
  <si>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</si>
  <si>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</si>
  <si>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</si>
  <si>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</si>
  <si>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</si>
  <si>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</si>
  <si>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</si>
  <si>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</si>
  <si>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</si>
  <si>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</si>
  <si>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</si>
  <si>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</si>
  <si>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</si>
  <si>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</si>
  <si>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</si>
  <si>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</si>
  <si>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</si>
  <si>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</si>
  <si>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</si>
  <si>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</si>
  <si>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</si>
  <si>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</si>
  <si>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</si>
  <si>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</si>
  <si>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</si>
  <si>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</si>
  <si>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</si>
  <si>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</si>
  <si>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</si>
  <si>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</si>
  <si>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</si>
  <si>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</si>
  <si>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</si>
  <si>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</si>
  <si>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</si>
  <si>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</si>
  <si>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</si>
  <si>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</si>
  <si>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</si>
  <si>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</si>
  <si>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</si>
  <si>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</si>
  <si>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</si>
  <si>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</si>
  <si>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</si>
  <si>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</si>
  <si>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</si>
  <si>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</si>
  <si>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</si>
  <si>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</si>
  <si>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</si>
  <si>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</si>
  <si>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</si>
  <si>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</si>
  <si>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</si>
  <si>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</si>
  <si>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</si>
  <si>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</si>
  <si>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</si>
  <si>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</si>
  <si>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</si>
  <si>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</si>
  <si>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</si>
  <si>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</si>
  <si>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</si>
  <si>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</si>
  <si>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</si>
  <si>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</si>
  <si>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</si>
  <si>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</si>
  <si>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</si>
  <si>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</si>
  <si>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</si>
  <si>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</si>
  <si>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</si>
  <si>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</si>
  <si>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</si>
  <si>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</si>
  <si>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</si>
  <si>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</si>
  <si>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</si>
  <si>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</si>
  <si>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</si>
  <si>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</si>
  <si>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</si>
  <si>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</si>
  <si>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</si>
  <si>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</si>
  <si>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</si>
  <si>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</si>
  <si>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</si>
  <si>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</si>
  <si>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</si>
  <si>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</si>
  <si>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</si>
  <si>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</si>
  <si>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</si>
  <si>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</si>
  <si>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</si>
  <si>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</si>
  <si>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</si>
  <si>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</si>
  <si>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</si>
  <si>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</si>
  <si>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</si>
  <si>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</si>
  <si>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</si>
  <si>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</si>
  <si>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</si>
  <si>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</si>
  <si>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</si>
  <si>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</si>
  <si>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</si>
  <si>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</si>
  <si>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</si>
  <si>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</si>
  <si>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</si>
  <si>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</si>
  <si>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</si>
  <si>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</si>
  <si>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</si>
  <si>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</si>
  <si>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</si>
  <si>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</si>
  <si>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</si>
  <si>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</si>
  <si>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</si>
  <si>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</si>
  <si>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</si>
  <si>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</si>
  <si>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</si>
  <si>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</si>
  <si>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</si>
  <si>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</si>
  <si>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</si>
  <si>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</si>
  <si>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</si>
  <si>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</si>
  <si>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</si>
  <si>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</si>
  <si>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</si>
  <si>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</si>
  <si>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</si>
  <si>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</si>
  <si>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</si>
  <si>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</si>
  <si>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</si>
  <si>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</si>
  <si>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</si>
  <si>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</si>
  <si>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</si>
  <si>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</si>
  <si>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</si>
  <si>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</si>
  <si>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</si>
  <si>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</si>
  <si>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</si>
  <si>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</si>
  <si>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</si>
  <si>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</si>
  <si>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</si>
  <si>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</si>
  <si>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</si>
  <si>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</si>
  <si>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</si>
  <si>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</si>
  <si>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</si>
  <si>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</si>
  <si>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</si>
  <si>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</si>
  <si>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</si>
  <si>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</si>
  <si>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</si>
  <si>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</si>
  <si>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</si>
  <si>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</si>
  <si>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</si>
  <si>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</si>
  <si>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</si>
  <si>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</si>
  <si>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</si>
  <si>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</si>
  <si>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</si>
  <si>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</si>
  <si>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</si>
  <si>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</si>
  <si>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</si>
  <si>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</si>
  <si>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</si>
  <si>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</si>
  <si>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</si>
  <si>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</si>
  <si>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</si>
  <si>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</si>
  <si>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</si>
  <si>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</si>
  <si>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</si>
  <si>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</si>
  <si>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</si>
  <si>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</si>
  <si>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</si>
  <si>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</si>
  <si>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</si>
  <si>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</si>
  <si>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</si>
  <si>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</si>
  <si>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</si>
  <si>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</si>
  <si>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</si>
  <si>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</si>
  <si>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</si>
  <si>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</si>
  <si>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</si>
  <si>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</si>
  <si>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</si>
  <si>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</si>
  <si>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</si>
  <si>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</si>
  <si>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</si>
  <si>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</si>
  <si>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</si>
  <si>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</si>
  <si>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</si>
  <si>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</si>
  <si>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</si>
  <si>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</si>
  <si>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</si>
  <si>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</si>
  <si>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</si>
  <si>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</si>
  <si>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</si>
  <si>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</si>
  <si>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</si>
  <si>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</si>
  <si>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</si>
  <si>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</si>
  <si>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</si>
  <si>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</si>
  <si>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</si>
  <si>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</si>
  <si>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</si>
  <si>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</si>
  <si>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</si>
  <si>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</si>
  <si>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</si>
  <si>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</si>
  <si>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</si>
  <si>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</si>
  <si>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</si>
  <si>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</si>
  <si>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</si>
  <si>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</si>
  <si>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</si>
  <si>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</si>
  <si>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</si>
  <si>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</si>
  <si>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</si>
  <si>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</si>
  <si>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</si>
  <si>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</si>
  <si>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</si>
  <si>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</si>
  <si>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</si>
  <si>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</si>
  <si>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</si>
  <si>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</si>
  <si>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</si>
  <si>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</si>
  <si>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</si>
  <si>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</si>
  <si>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</si>
  <si>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</si>
  <si>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</si>
  <si>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</si>
  <si>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</si>
  <si>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</si>
  <si>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</si>
  <si>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</si>
  <si>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</si>
  <si>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</si>
  <si>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</si>
  <si>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</si>
  <si>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</si>
  <si>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</si>
  <si>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</si>
  <si>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</si>
  <si>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</si>
  <si>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</si>
  <si>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</si>
  <si>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</si>
  <si>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</si>
  <si>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</si>
  <si>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</si>
  <si>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</si>
  <si>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</si>
  <si>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</si>
  <si>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</si>
  <si>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</si>
  <si>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</si>
  <si>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</si>
  <si>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</si>
  <si>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</si>
  <si>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</si>
  <si>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</si>
  <si>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</si>
  <si>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</si>
  <si>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</si>
  <si>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</si>
  <si>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</si>
  <si>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</si>
  <si>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</si>
  <si>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</si>
  <si>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</si>
  <si>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</si>
  <si>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</si>
  <si>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</si>
  <si>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</si>
  <si>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</si>
  <si>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</si>
  <si>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</si>
  <si>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</si>
  <si>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</si>
  <si>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</si>
  <si>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</si>
  <si>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</si>
  <si>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</si>
  <si>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</si>
  <si>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</si>
  <si>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</si>
  <si>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</si>
  <si>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</si>
  <si>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</si>
  <si>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</si>
  <si>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</si>
  <si>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</si>
  <si>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</si>
  <si>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</si>
  <si>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</si>
  <si>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</si>
  <si>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</si>
  <si>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</si>
  <si>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</si>
  <si>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</si>
  <si>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</si>
  <si>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</si>
  <si>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</si>
  <si>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</si>
  <si>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</si>
  <si>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</si>
  <si>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</si>
  <si>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</si>
  <si>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</si>
  <si>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</si>
  <si>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</si>
  <si>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</si>
  <si>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</si>
  <si>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</si>
  <si>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</si>
  <si>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</si>
  <si>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</si>
  <si>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</si>
  <si>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</si>
  <si>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</si>
  <si>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</si>
  <si>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</si>
  <si>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</si>
  <si>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</si>
  <si>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</si>
  <si>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</si>
  <si>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</si>
  <si>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</si>
  <si>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</si>
  <si>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</si>
  <si>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</si>
  <si>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</si>
  <si>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</si>
  <si>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</si>
  <si>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</si>
  <si>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</si>
  <si>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</si>
  <si>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</si>
  <si>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</si>
  <si>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</si>
  <si>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</si>
  <si>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</si>
  <si>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</si>
  <si>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</si>
  <si>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</si>
  <si>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</si>
  <si>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</si>
  <si>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</si>
  <si>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</si>
  <si>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</si>
  <si>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</si>
  <si>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</si>
  <si>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</si>
  <si>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</si>
  <si>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</si>
  <si>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</si>
  <si>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</si>
  <si>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</si>
  <si>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</si>
  <si>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</si>
  <si>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</si>
  <si>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</si>
  <si>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</si>
  <si>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</si>
  <si>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</si>
  <si>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</si>
  <si>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</si>
  <si>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</si>
  <si>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</si>
  <si>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</si>
  <si>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</si>
  <si>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</si>
  <si>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</si>
  <si>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</si>
  <si>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</si>
  <si>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</si>
  <si>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</si>
  <si>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</si>
  <si>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</si>
  <si>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</si>
  <si>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</si>
  <si>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</si>
  <si>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</si>
  <si>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</si>
  <si>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</si>
  <si>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</si>
  <si>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</si>
  <si>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</si>
  <si>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</si>
  <si>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</si>
  <si>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</si>
  <si>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</si>
  <si>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45063</t>
  </si>
  <si>
    <t>LIERDE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</si>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</sst>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69422.960355227624</c:v>
                </c:pt>
                <c:pt idx="1">
                  <c:v>5875.2001434999638</c:v>
                </c:pt>
                <c:pt idx="2">
                  <c:v>441.78699999999998</c:v>
                </c:pt>
                <c:pt idx="3">
                  <c:v>3138.3463748883742</c:v>
                </c:pt>
                <c:pt idx="4">
                  <c:v>2416.9866926042155</c:v>
                </c:pt>
                <c:pt idx="5">
                  <c:v>26222.921792507012</c:v>
                </c:pt>
                <c:pt idx="6">
                  <c:v>474.06879942065757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69422.960355227624</c:v>
                </c:pt>
                <c:pt idx="1">
                  <c:v>5875.2001434999638</c:v>
                </c:pt>
                <c:pt idx="2">
                  <c:v>441.78699999999998</c:v>
                </c:pt>
                <c:pt idx="3">
                  <c:v>3138.3463748883742</c:v>
                </c:pt>
                <c:pt idx="4">
                  <c:v>2416.9866926042155</c:v>
                </c:pt>
                <c:pt idx="5">
                  <c:v>26222.921792507012</c:v>
                </c:pt>
                <c:pt idx="6">
                  <c:v>474.06879942065757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15739.509103325699</c:v>
                </c:pt>
                <c:pt idx="2">
                  <c:v>1193.5033506849766</c:v>
                </c:pt>
                <c:pt idx="3">
                  <c:v>91.100052328941771</c:v>
                </c:pt>
                <c:pt idx="4">
                  <c:v>800.49056448943668</c:v>
                </c:pt>
                <c:pt idx="5">
                  <c:v>485.93604410043901</c:v>
                </c:pt>
                <c:pt idx="6">
                  <c:v>6622.9675784073561</c:v>
                </c:pt>
                <c:pt idx="7">
                  <c:v>121.18689194741037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805632"/>
      </c:barChart>
      <c:catAx>
        <c:axId val="182791552"/>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15739.509103325699</c:v>
                </c:pt>
                <c:pt idx="2">
                  <c:v>1193.5033506849766</c:v>
                </c:pt>
                <c:pt idx="3">
                  <c:v>91.100052328941771</c:v>
                </c:pt>
                <c:pt idx="4">
                  <c:v>800.49056448943668</c:v>
                </c:pt>
                <c:pt idx="5">
                  <c:v>485.93604410043901</c:v>
                </c:pt>
                <c:pt idx="6">
                  <c:v>6622.9675784073561</c:v>
                </c:pt>
                <c:pt idx="7">
                  <c:v>121.18689194741037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45063</v>
      </c>
      <c r="B6" s="398"/>
      <c r="C6" s="399"/>
    </row>
    <row r="7" spans="1:7" s="396" customFormat="1" ht="15.75" customHeight="1">
      <c r="A7" s="400" t="str">
        <f>txtMunicipality</f>
        <v>LIERDE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0.20620808744698638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0.20620808744698638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2618</v>
      </c>
      <c r="C9" s="338">
        <v>2683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1837</v>
      </c>
    </row>
    <row r="15" spans="1:6">
      <c r="A15" s="1295" t="s">
        <v>184</v>
      </c>
      <c r="B15" s="335">
        <v>15</v>
      </c>
    </row>
    <row r="16" spans="1:6">
      <c r="A16" s="1295" t="s">
        <v>6</v>
      </c>
      <c r="B16" s="335">
        <v>725</v>
      </c>
    </row>
    <row r="17" spans="1:6">
      <c r="A17" s="1295" t="s">
        <v>7</v>
      </c>
      <c r="B17" s="335">
        <v>537</v>
      </c>
    </row>
    <row r="18" spans="1:6">
      <c r="A18" s="1295" t="s">
        <v>8</v>
      </c>
      <c r="B18" s="335">
        <v>888</v>
      </c>
    </row>
    <row r="19" spans="1:6">
      <c r="A19" s="1295" t="s">
        <v>9</v>
      </c>
      <c r="B19" s="335">
        <v>818</v>
      </c>
    </row>
    <row r="20" spans="1:6">
      <c r="A20" s="1295" t="s">
        <v>10</v>
      </c>
      <c r="B20" s="335">
        <v>683</v>
      </c>
    </row>
    <row r="21" spans="1:6">
      <c r="A21" s="1295" t="s">
        <v>11</v>
      </c>
      <c r="B21" s="335">
        <v>15</v>
      </c>
    </row>
    <row r="22" spans="1:6">
      <c r="A22" s="1295" t="s">
        <v>12</v>
      </c>
      <c r="B22" s="335">
        <v>155</v>
      </c>
    </row>
    <row r="23" spans="1:6">
      <c r="A23" s="1295" t="s">
        <v>13</v>
      </c>
      <c r="B23" s="335">
        <v>0</v>
      </c>
    </row>
    <row r="24" spans="1:6">
      <c r="A24" s="1295" t="s">
        <v>14</v>
      </c>
      <c r="B24" s="335">
        <v>0</v>
      </c>
    </row>
    <row r="25" spans="1:6">
      <c r="A25" s="1295" t="s">
        <v>15</v>
      </c>
      <c r="B25" s="335">
        <v>3</v>
      </c>
    </row>
    <row r="26" spans="1:6">
      <c r="A26" s="1295" t="s">
        <v>16</v>
      </c>
      <c r="B26" s="335">
        <v>33</v>
      </c>
    </row>
    <row r="27" spans="1:6">
      <c r="A27" s="1295" t="s">
        <v>17</v>
      </c>
      <c r="B27" s="335">
        <v>0</v>
      </c>
    </row>
    <row r="28" spans="1:6" s="341" customFormat="1">
      <c r="A28" s="1296" t="s">
        <v>18</v>
      </c>
      <c r="B28" s="1296">
        <v>7500</v>
      </c>
    </row>
    <row r="29" spans="1:6">
      <c r="A29" s="1296" t="s">
        <v>909</v>
      </c>
      <c r="B29" s="1296">
        <v>31</v>
      </c>
      <c r="C29" s="341"/>
      <c r="D29" s="341"/>
      <c r="E29" s="341"/>
      <c r="F29" s="341"/>
    </row>
    <row r="30" spans="1:6">
      <c r="A30" s="1291" t="s">
        <v>910</v>
      </c>
      <c r="B30" s="1291">
        <v>11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3642.6995331784001</v>
      </c>
    </row>
    <row r="39" spans="1:6">
      <c r="A39" s="1295" t="s">
        <v>30</v>
      </c>
      <c r="B39" s="1295" t="s">
        <v>31</v>
      </c>
      <c r="C39" s="335">
        <v>795</v>
      </c>
      <c r="D39" s="335">
        <v>14917073.6027903</v>
      </c>
      <c r="E39" s="335">
        <v>2544</v>
      </c>
      <c r="F39" s="335">
        <v>12197763.444895601</v>
      </c>
    </row>
    <row r="40" spans="1:6">
      <c r="A40" s="1295" t="s">
        <v>30</v>
      </c>
      <c r="B40" s="1295" t="s">
        <v>29</v>
      </c>
      <c r="C40" s="335">
        <v>0</v>
      </c>
      <c r="D40" s="335">
        <v>0</v>
      </c>
      <c r="E40" s="335">
        <v>0</v>
      </c>
      <c r="F40" s="335">
        <v>0</v>
      </c>
    </row>
    <row r="41" spans="1:6">
      <c r="A41" s="1295" t="s">
        <v>32</v>
      </c>
      <c r="B41" s="1295" t="s">
        <v>33</v>
      </c>
      <c r="C41" s="335">
        <v>3</v>
      </c>
      <c r="D41" s="335">
        <v>50399.923967366398</v>
      </c>
      <c r="E41" s="335">
        <v>41</v>
      </c>
      <c r="F41" s="335">
        <v>212622.243538018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10</v>
      </c>
      <c r="D48" s="335">
        <v>246571.26254730899</v>
      </c>
      <c r="E48" s="335">
        <v>34</v>
      </c>
      <c r="F48" s="335">
        <v>496815.39926765597</v>
      </c>
    </row>
    <row r="49" spans="1:6">
      <c r="A49" s="1295" t="s">
        <v>32</v>
      </c>
      <c r="B49" s="1295" t="s">
        <v>40</v>
      </c>
      <c r="C49" s="335">
        <v>0</v>
      </c>
      <c r="D49" s="335">
        <v>0</v>
      </c>
      <c r="E49" s="335">
        <v>0</v>
      </c>
      <c r="F49" s="335">
        <v>0</v>
      </c>
    </row>
    <row r="50" spans="1:6">
      <c r="A50" s="1295" t="s">
        <v>32</v>
      </c>
      <c r="B50" s="1295" t="s">
        <v>41</v>
      </c>
      <c r="C50" s="335">
        <v>3</v>
      </c>
      <c r="D50" s="335">
        <v>353257.80326064897</v>
      </c>
      <c r="E50" s="335">
        <v>5</v>
      </c>
      <c r="F50" s="335">
        <v>212515.77597711299</v>
      </c>
    </row>
    <row r="51" spans="1:6">
      <c r="A51" s="1295" t="s">
        <v>42</v>
      </c>
      <c r="B51" s="1295" t="s">
        <v>43</v>
      </c>
      <c r="C51" s="335">
        <v>0</v>
      </c>
      <c r="D51" s="335">
        <v>0</v>
      </c>
      <c r="E51" s="335">
        <v>46</v>
      </c>
      <c r="F51" s="335">
        <v>570456.31856814097</v>
      </c>
    </row>
    <row r="52" spans="1:6">
      <c r="A52" s="1295" t="s">
        <v>42</v>
      </c>
      <c r="B52" s="1295" t="s">
        <v>29</v>
      </c>
      <c r="C52" s="335">
        <v>3</v>
      </c>
      <c r="D52" s="335">
        <v>94498.006719255005</v>
      </c>
      <c r="E52" s="335">
        <v>7</v>
      </c>
      <c r="F52" s="335">
        <v>91358.129524749296</v>
      </c>
    </row>
    <row r="53" spans="1:6">
      <c r="A53" s="1295" t="s">
        <v>44</v>
      </c>
      <c r="B53" s="1295" t="s">
        <v>45</v>
      </c>
      <c r="C53" s="335">
        <v>21</v>
      </c>
      <c r="D53" s="335">
        <v>417514.02277721697</v>
      </c>
      <c r="E53" s="335">
        <v>80</v>
      </c>
      <c r="F53" s="335">
        <v>357817.86171406199</v>
      </c>
    </row>
    <row r="54" spans="1:6">
      <c r="A54" s="1295" t="s">
        <v>46</v>
      </c>
      <c r="B54" s="1295" t="s">
        <v>47</v>
      </c>
      <c r="C54" s="335">
        <v>0</v>
      </c>
      <c r="D54" s="335">
        <v>0</v>
      </c>
      <c r="E54" s="335">
        <v>1</v>
      </c>
      <c r="F54" s="335">
        <v>441787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0</v>
      </c>
      <c r="D57" s="335">
        <v>0</v>
      </c>
      <c r="E57" s="335">
        <v>13</v>
      </c>
      <c r="F57" s="335">
        <v>139768.49025372701</v>
      </c>
    </row>
    <row r="58" spans="1:6">
      <c r="A58" s="1295" t="s">
        <v>49</v>
      </c>
      <c r="B58" s="1295" t="s">
        <v>51</v>
      </c>
      <c r="C58" s="335">
        <v>0</v>
      </c>
      <c r="D58" s="335">
        <v>0</v>
      </c>
      <c r="E58" s="335">
        <v>0</v>
      </c>
      <c r="F58" s="335">
        <v>0</v>
      </c>
    </row>
    <row r="59" spans="1:6">
      <c r="A59" s="1295" t="s">
        <v>49</v>
      </c>
      <c r="B59" s="1295" t="s">
        <v>52</v>
      </c>
      <c r="C59" s="335">
        <v>0</v>
      </c>
      <c r="D59" s="335">
        <v>0</v>
      </c>
      <c r="E59" s="335">
        <v>13</v>
      </c>
      <c r="F59" s="335">
        <v>347479.96230972599</v>
      </c>
    </row>
    <row r="60" spans="1:6">
      <c r="A60" s="1295" t="s">
        <v>49</v>
      </c>
      <c r="B60" s="1295" t="s">
        <v>53</v>
      </c>
      <c r="C60" s="335">
        <v>5</v>
      </c>
      <c r="D60" s="335">
        <v>153591.409646785</v>
      </c>
      <c r="E60" s="335">
        <v>32</v>
      </c>
      <c r="F60" s="335">
        <v>487032.27162389603</v>
      </c>
    </row>
    <row r="61" spans="1:6">
      <c r="A61" s="1295" t="s">
        <v>49</v>
      </c>
      <c r="B61" s="1295" t="s">
        <v>54</v>
      </c>
      <c r="C61" s="335">
        <v>4</v>
      </c>
      <c r="D61" s="335">
        <v>271015.912469364</v>
      </c>
      <c r="E61" s="335">
        <v>26</v>
      </c>
      <c r="F61" s="335">
        <v>260027.492775969</v>
      </c>
    </row>
    <row r="62" spans="1:6">
      <c r="A62" s="1295" t="s">
        <v>49</v>
      </c>
      <c r="B62" s="1295" t="s">
        <v>55</v>
      </c>
      <c r="C62" s="335">
        <v>0</v>
      </c>
      <c r="D62" s="335">
        <v>0</v>
      </c>
      <c r="E62" s="335">
        <v>0</v>
      </c>
      <c r="F62" s="335">
        <v>0</v>
      </c>
    </row>
    <row r="63" spans="1:6">
      <c r="A63" s="1295" t="s">
        <v>49</v>
      </c>
      <c r="B63" s="1295" t="s">
        <v>29</v>
      </c>
      <c r="C63" s="335">
        <v>42</v>
      </c>
      <c r="D63" s="335">
        <v>1869161.8484545499</v>
      </c>
      <c r="E63" s="335">
        <v>119</v>
      </c>
      <c r="F63" s="335">
        <v>1672860.9136020299</v>
      </c>
    </row>
    <row r="64" spans="1:6">
      <c r="A64" s="1295" t="s">
        <v>56</v>
      </c>
      <c r="B64" s="1295" t="s">
        <v>57</v>
      </c>
      <c r="C64" s="335">
        <v>0</v>
      </c>
      <c r="D64" s="335">
        <v>0</v>
      </c>
      <c r="E64" s="335">
        <v>0</v>
      </c>
      <c r="F64" s="335">
        <v>0</v>
      </c>
    </row>
    <row r="65" spans="1:6">
      <c r="A65" s="1295" t="s">
        <v>56</v>
      </c>
      <c r="B65" s="1295" t="s">
        <v>29</v>
      </c>
      <c r="C65" s="335">
        <v>1</v>
      </c>
      <c r="D65" s="335">
        <v>30257.6948991836</v>
      </c>
      <c r="E65" s="335">
        <v>4</v>
      </c>
      <c r="F65" s="335">
        <v>29555.826358209099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19740205</v>
      </c>
      <c r="E73" s="335">
        <v>23686119.220776107</v>
      </c>
    </row>
    <row r="74" spans="1:6">
      <c r="A74" s="1295" t="s">
        <v>64</v>
      </c>
      <c r="B74" s="1295" t="s">
        <v>727</v>
      </c>
      <c r="C74" s="1295" t="s">
        <v>728</v>
      </c>
      <c r="D74" s="335">
        <v>2245605.3382034921</v>
      </c>
      <c r="E74" s="335">
        <v>2601604.2338195709</v>
      </c>
    </row>
    <row r="75" spans="1:6">
      <c r="A75" s="1295" t="s">
        <v>65</v>
      </c>
      <c r="B75" s="1295" t="s">
        <v>725</v>
      </c>
      <c r="C75" s="1295" t="s">
        <v>729</v>
      </c>
      <c r="D75" s="335">
        <v>8708026</v>
      </c>
      <c r="E75" s="335">
        <v>10168615.769115673</v>
      </c>
    </row>
    <row r="76" spans="1:6">
      <c r="A76" s="1295" t="s">
        <v>65</v>
      </c>
      <c r="B76" s="1295" t="s">
        <v>727</v>
      </c>
      <c r="C76" s="1295" t="s">
        <v>730</v>
      </c>
      <c r="D76" s="335">
        <v>166215.33820349199</v>
      </c>
      <c r="E76" s="335">
        <v>197447.24222689425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125243.323593016</v>
      </c>
      <c r="C83" s="335">
        <v>124989.48392703665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1254.5989999999999</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255</v>
      </c>
    </row>
    <row r="98" spans="1:6">
      <c r="A98" s="1295" t="s">
        <v>72</v>
      </c>
      <c r="B98" s="335">
        <v>0</v>
      </c>
    </row>
    <row r="99" spans="1:6">
      <c r="A99" s="1295" t="s">
        <v>73</v>
      </c>
      <c r="B99" s="335">
        <v>47</v>
      </c>
    </row>
    <row r="100" spans="1:6">
      <c r="A100" s="1295" t="s">
        <v>74</v>
      </c>
      <c r="B100" s="335">
        <v>223</v>
      </c>
    </row>
    <row r="101" spans="1:6">
      <c r="A101" s="1295" t="s">
        <v>75</v>
      </c>
      <c r="B101" s="335">
        <v>43</v>
      </c>
    </row>
    <row r="102" spans="1:6">
      <c r="A102" s="1295" t="s">
        <v>76</v>
      </c>
      <c r="B102" s="335">
        <v>39</v>
      </c>
    </row>
    <row r="103" spans="1:6">
      <c r="A103" s="1295" t="s">
        <v>77</v>
      </c>
      <c r="B103" s="335">
        <v>203</v>
      </c>
    </row>
    <row r="104" spans="1:6">
      <c r="A104" s="1295" t="s">
        <v>78</v>
      </c>
      <c r="B104" s="335">
        <v>1632</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45</v>
      </c>
    </row>
    <row r="130" spans="1:6">
      <c r="A130" s="1295" t="s">
        <v>295</v>
      </c>
      <c r="B130" s="335">
        <v>0</v>
      </c>
    </row>
    <row r="131" spans="1:6">
      <c r="A131" s="1295" t="s">
        <v>296</v>
      </c>
      <c r="B131" s="335">
        <v>0</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18744.457689719828</v>
      </c>
      <c r="C3" s="43" t="s">
        <v>170</v>
      </c>
      <c r="D3" s="43"/>
      <c r="E3" s="156"/>
      <c r="F3" s="43"/>
      <c r="G3" s="43"/>
      <c r="H3" s="43"/>
      <c r="I3" s="43"/>
      <c r="J3" s="43"/>
      <c r="K3" s="96"/>
    </row>
    <row r="4" spans="1:11">
      <c r="A4" s="366" t="s">
        <v>171</v>
      </c>
      <c r="B4" s="49">
        <f>IF(ISERROR('SEAP template'!B78+'SEAP template'!C78),0,'SEAP template'!B78+'SEAP template'!C78)</f>
        <v>1254.5989999999999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0.20620808744698638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441.78699999999998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441.78699999999998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0.20620808744698638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91.100052328941771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12197.763444895601</v>
      </c>
      <c r="C5" s="17">
        <f>IF(ISERROR('Eigen informatie GS &amp; warmtenet'!B57),0,'Eigen informatie GS &amp; warmtenet'!B57)</f>
        <v>0</v>
      </c>
      <c r="D5" s="30">
        <f>(SUM(HH_hh_gas_kWh,HH_rest_gas_kWh)/1000)*0.902</f>
        <v>13455.200389716851</v>
      </c>
      <c r="E5" s="17">
        <f>B46*B57</f>
        <v>1605.1688868682099</v>
      </c>
      <c r="F5" s="17">
        <f>B51*B62</f>
        <v>28978.763691825236</v>
      </c>
      <c r="G5" s="18"/>
      <c r="H5" s="17"/>
      <c r="I5" s="17"/>
      <c r="J5" s="17">
        <f>B50*B61+C50*C61</f>
        <v>6061.7781077991131</v>
      </c>
      <c r="K5" s="17"/>
      <c r="L5" s="17"/>
      <c r="M5" s="17"/>
      <c r="N5" s="17">
        <f>B48*B59+C48*C59</f>
        <v>5505.5201674559539</v>
      </c>
      <c r="O5" s="17">
        <f>B69*B70*B71</f>
        <v>78.166666666666671</v>
      </c>
      <c r="P5" s="17">
        <f>B77*B78*B79/1000-B77*B78*B79/1000/B80</f>
        <v>286</v>
      </c>
    </row>
    <row r="6" spans="1:16">
      <c r="A6" s="16" t="s">
        <v>634</v>
      </c>
      <c r="B6" s="783">
        <f>kWh_PV_kleiner_dan_10kW</f>
        <v>1254.5989999999999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13452.362444895602</v>
      </c>
      <c r="C8" s="21">
        <f>C5</f>
        <v>0</v>
      </c>
      <c r="D8" s="21">
        <f>D5</f>
        <v>13455.200389716851</v>
      </c>
      <c r="E8" s="21">
        <f>E5</f>
        <v>1605.1688868682099</v>
      </c>
      <c r="F8" s="21">
        <f>F5</f>
        <v>28978.763691825236</v>
      </c>
      <c r="G8" s="21"/>
      <c r="H8" s="21"/>
      <c r="I8" s="21"/>
      <c r="J8" s="21">
        <f>J5</f>
        <v>6061.7781077991131</v>
      </c>
      <c r="K8" s="21"/>
      <c r="L8" s="21">
        <f>L5</f>
        <v>0</v>
      </c>
      <c r="M8" s="21">
        <f>M5</f>
        <v>0</v>
      </c>
      <c r="N8" s="21">
        <f>N5</f>
        <v>5505.5201674559539</v>
      </c>
      <c r="O8" s="21">
        <f>O5</f>
        <v>78.166666666666671</v>
      </c>
      <c r="P8" s="21">
        <f>P5</f>
        <v>286</v>
      </c>
    </row>
    <row r="9" spans="1:16">
      <c r="B9" s="19"/>
      <c r="C9" s="19"/>
      <c r="D9" s="261"/>
      <c r="E9" s="19"/>
      <c r="F9" s="19"/>
      <c r="G9" s="19"/>
      <c r="H9" s="19"/>
      <c r="I9" s="19"/>
      <c r="J9" s="19"/>
      <c r="K9" s="19"/>
      <c r="L9" s="19"/>
      <c r="M9" s="19"/>
      <c r="N9" s="19"/>
      <c r="O9" s="19"/>
      <c r="P9" s="19"/>
    </row>
    <row r="10" spans="1:16">
      <c r="A10" s="24" t="s">
        <v>214</v>
      </c>
      <c r="B10" s="25">
        <f ca="1">'EF ele_warmte'!B12</f>
        <v>0.20620808744698638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2773.9859314055875</v>
      </c>
      <c r="C12" s="23">
        <f ca="1">C10*C8</f>
        <v>0</v>
      </c>
      <c r="D12" s="23">
        <f>D8*D10</f>
        <v>2717.9504787228038</v>
      </c>
      <c r="E12" s="23">
        <f>E10*E8</f>
        <v>364.37333731908365</v>
      </c>
      <c r="F12" s="23">
        <f>F10*F8</f>
        <v>7737.3299057173381</v>
      </c>
      <c r="G12" s="23"/>
      <c r="H12" s="23"/>
      <c r="I12" s="23"/>
      <c r="J12" s="23">
        <f>J10*J8</f>
        <v>2145.8694501608861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255</v>
      </c>
      <c r="C18" s="168" t="s">
        <v>111</v>
      </c>
      <c r="D18" s="230"/>
      <c r="E18" s="15"/>
    </row>
    <row r="19" spans="1:7">
      <c r="A19" s="173" t="s">
        <v>72</v>
      </c>
      <c r="B19" s="37">
        <f>aantalw2001_ander</f>
        <v>0</v>
      </c>
      <c r="C19" s="168" t="s">
        <v>111</v>
      </c>
      <c r="D19" s="231"/>
      <c r="E19" s="15"/>
    </row>
    <row r="20" spans="1:7">
      <c r="A20" s="173" t="s">
        <v>73</v>
      </c>
      <c r="B20" s="37">
        <f>aantalw2001_propaan</f>
        <v>47</v>
      </c>
      <c r="C20" s="169">
        <f>IF(ISERROR(B20/SUM($B$20,$B$21,$B$22)*100),0,B20/SUM($B$20,$B$21,$B$22)*100)</f>
        <v>15.015974440894569</v>
      </c>
      <c r="D20" s="231"/>
      <c r="E20" s="15"/>
    </row>
    <row r="21" spans="1:7">
      <c r="A21" s="173" t="s">
        <v>74</v>
      </c>
      <c r="B21" s="37">
        <f>aantalw2001_elektriciteit</f>
        <v>223</v>
      </c>
      <c r="C21" s="169">
        <f>IF(ISERROR(B21/SUM($B$20,$B$21,$B$22)*100),0,B21/SUM($B$20,$B$21,$B$22)*100)</f>
        <v>71.246006389776369</v>
      </c>
      <c r="D21" s="231"/>
      <c r="E21" s="15"/>
    </row>
    <row r="22" spans="1:7">
      <c r="A22" s="173" t="s">
        <v>75</v>
      </c>
      <c r="B22" s="37">
        <f>aantalw2001_hout</f>
        <v>43</v>
      </c>
      <c r="C22" s="169">
        <f>IF(ISERROR(B22/SUM($B$20,$B$21,$B$22)*100),0,B22/SUM($B$20,$B$21,$B$22)*100)</f>
        <v>13.738019169329075</v>
      </c>
      <c r="D22" s="231"/>
      <c r="E22" s="15"/>
    </row>
    <row r="23" spans="1:7">
      <c r="A23" s="173" t="s">
        <v>76</v>
      </c>
      <c r="B23" s="37">
        <f>aantalw2001_niet_gespec</f>
        <v>39</v>
      </c>
      <c r="C23" s="168" t="s">
        <v>111</v>
      </c>
      <c r="D23" s="230"/>
      <c r="E23" s="15"/>
    </row>
    <row r="24" spans="1:7">
      <c r="A24" s="173" t="s">
        <v>77</v>
      </c>
      <c r="B24" s="37">
        <f>aantalw2001_steenkool</f>
        <v>203</v>
      </c>
      <c r="C24" s="168" t="s">
        <v>111</v>
      </c>
      <c r="D24" s="231"/>
      <c r="E24" s="15"/>
    </row>
    <row r="25" spans="1:7">
      <c r="A25" s="173" t="s">
        <v>78</v>
      </c>
      <c r="B25" s="37">
        <f>aantalw2001_stookolie</f>
        <v>1632</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2618</v>
      </c>
      <c r="C28" s="36"/>
      <c r="D28" s="230"/>
    </row>
    <row r="29" spans="1:7" s="15" customFormat="1">
      <c r="A29" s="232" t="s">
        <v>746</v>
      </c>
      <c r="B29" s="37">
        <f>SUM(HH_hh_gas_aantal,HH_rest_gas_aantal)</f>
        <v>795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795</v>
      </c>
      <c r="C32" s="169">
        <f>IF(ISERROR(B32/SUM($B$32,$B$34,$B$35,$B$36,$B$38,$B$39)*100),0,B32/SUM($B$32,$B$34,$B$35,$B$36,$B$38,$B$39)*100)</f>
        <v>30.541682673837876</v>
      </c>
      <c r="D32" s="235"/>
      <c r="G32" s="15"/>
    </row>
    <row r="33" spans="1:7">
      <c r="A33" s="173" t="s">
        <v>72</v>
      </c>
      <c r="B33" s="34" t="s">
        <v>111</v>
      </c>
      <c r="C33" s="169"/>
      <c r="D33" s="235"/>
      <c r="G33" s="15"/>
    </row>
    <row r="34" spans="1:7">
      <c r="A34" s="173" t="s">
        <v>73</v>
      </c>
      <c r="B34" s="33">
        <f>IF((($B$28-$B$32-$B$39-$B$77-$B$38)*C20/100)&lt;0,0,($B$28-$B$32-$B$39-$B$77-$B$38)*C20/100)</f>
        <v>77.031948881789134</v>
      </c>
      <c r="C34" s="169">
        <f>IF(ISERROR(B34/SUM($B$32,$B$34,$B$35,$B$36,$B$38,$B$39)*100),0,B34/SUM($B$32,$B$34,$B$35,$B$36,$B$38,$B$39)*100)</f>
        <v>2.9593526270376156</v>
      </c>
      <c r="D34" s="235"/>
      <c r="G34" s="15"/>
    </row>
    <row r="35" spans="1:7">
      <c r="A35" s="173" t="s">
        <v>74</v>
      </c>
      <c r="B35" s="33">
        <f>IF((($B$28-$B$32-$B$39-$B$77-$B$38)*C21/100)&lt;0,0,($B$28-$B$32-$B$39-$B$77-$B$38)*C21/100)</f>
        <v>365.49201277955274</v>
      </c>
      <c r="C35" s="169">
        <f>IF(ISERROR(B35/SUM($B$32,$B$34,$B$35,$B$36,$B$38,$B$39)*100),0,B35/SUM($B$32,$B$34,$B$35,$B$36,$B$38,$B$39)*100)</f>
        <v>14.041183741050817</v>
      </c>
      <c r="D35" s="235"/>
      <c r="G35" s="15"/>
    </row>
    <row r="36" spans="1:7">
      <c r="A36" s="173" t="s">
        <v>75</v>
      </c>
      <c r="B36" s="33">
        <f>IF((($B$28-$B$32-$B$39-$B$77-$B$38)*C22/100)&lt;0,0,($B$28-$B$32-$B$39-$B$77-$B$38)*C22/100)</f>
        <v>70.476038338658157</v>
      </c>
      <c r="C36" s="169">
        <f>IF(ISERROR(B36/SUM($B$32,$B$34,$B$35,$B$36,$B$38,$B$39)*100),0,B36/SUM($B$32,$B$34,$B$35,$B$36,$B$38,$B$39)*100)</f>
        <v>2.7074928289918616</v>
      </c>
      <c r="D36" s="235"/>
      <c r="G36" s="15"/>
    </row>
    <row r="37" spans="1:7">
      <c r="A37" s="173" t="s">
        <v>76</v>
      </c>
      <c r="B37" s="34" t="s">
        <v>111</v>
      </c>
      <c r="C37" s="169"/>
      <c r="D37" s="175"/>
      <c r="G37" s="15"/>
    </row>
    <row r="38" spans="1:7">
      <c r="A38" s="173" t="s">
        <v>77</v>
      </c>
      <c r="B38" s="33">
        <f>IF((B24-(B29-B18)*0.1)&lt;0,0,B24-(B29-B18)*0.1)</f>
        <v>149</v>
      </c>
      <c r="C38" s="169">
        <f>IF(ISERROR(B38/SUM($B$32,$B$34,$B$35,$B$36,$B$38,$B$39)*100),0,B38/SUM($B$32,$B$34,$B$35,$B$36,$B$38,$B$39)*100)</f>
        <v>5.7241644256626971</v>
      </c>
      <c r="D38" s="236"/>
      <c r="G38" s="15"/>
    </row>
    <row r="39" spans="1:7">
      <c r="A39" s="173" t="s">
        <v>78</v>
      </c>
      <c r="B39" s="33">
        <f>IF((B25-(B29-B18))&lt;0,0,B25-(B29-B18)*0.9)</f>
        <v>1146</v>
      </c>
      <c r="C39" s="169">
        <f>IF(ISERROR(B39/SUM($B$32,$B$34,$B$35,$B$36,$B$38,$B$39)*100),0,B39/SUM($B$32,$B$34,$B$35,$B$36,$B$38,$B$39)*100)</f>
        <v>44.026123703419131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795</v>
      </c>
      <c r="C44" s="34" t="s">
        <v>111</v>
      </c>
      <c r="D44" s="176"/>
    </row>
    <row r="45" spans="1:7">
      <c r="A45" s="173" t="s">
        <v>72</v>
      </c>
      <c r="B45" s="33" t="str">
        <f t="shared" si="0"/>
        <v>-</v>
      </c>
      <c r="C45" s="34" t="s">
        <v>111</v>
      </c>
      <c r="D45" s="176"/>
    </row>
    <row r="46" spans="1:7">
      <c r="A46" s="173" t="s">
        <v>73</v>
      </c>
      <c r="B46" s="33">
        <f t="shared" si="0"/>
        <v>77.031948881789134</v>
      </c>
      <c r="C46" s="34" t="s">
        <v>111</v>
      </c>
      <c r="D46" s="176"/>
    </row>
    <row r="47" spans="1:7">
      <c r="A47" s="173" t="s">
        <v>74</v>
      </c>
      <c r="B47" s="33">
        <f t="shared" si="0"/>
        <v>365.49201277955274</v>
      </c>
      <c r="C47" s="34" t="s">
        <v>111</v>
      </c>
      <c r="D47" s="176"/>
    </row>
    <row r="48" spans="1:7">
      <c r="A48" s="173" t="s">
        <v>75</v>
      </c>
      <c r="B48" s="33">
        <f t="shared" si="0"/>
        <v>70.476038338658157</v>
      </c>
      <c r="C48" s="33">
        <f>B48*10</f>
        <v>704.76038338658157</v>
      </c>
      <c r="D48" s="236"/>
    </row>
    <row r="49" spans="1:6">
      <c r="A49" s="173" t="s">
        <v>76</v>
      </c>
      <c r="B49" s="33" t="str">
        <f t="shared" si="0"/>
        <v>-</v>
      </c>
      <c r="C49" s="34" t="s">
        <v>111</v>
      </c>
      <c r="D49" s="236"/>
    </row>
    <row r="50" spans="1:6">
      <c r="A50" s="173" t="s">
        <v>77</v>
      </c>
      <c r="B50" s="33">
        <f t="shared" si="0"/>
        <v>149</v>
      </c>
      <c r="C50" s="33">
        <f>B50*2</f>
        <v>298</v>
      </c>
      <c r="D50" s="236"/>
    </row>
    <row r="51" spans="1:6">
      <c r="A51" s="173" t="s">
        <v>78</v>
      </c>
      <c r="B51" s="33">
        <f t="shared" si="0"/>
        <v>1146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2907.169130565348</v>
      </c>
      <c r="C5" s="17">
        <f>IF(ISERROR('Eigen informatie GS &amp; warmtenet'!B58),0,'Eigen informatie GS &amp; warmtenet'!B58)</f>
        <v>0</v>
      </c>
      <c r="D5" s="30">
        <f>SUM(D6:D12)</f>
        <v>2068.9797918547706</v>
      </c>
      <c r="E5" s="17">
        <f>SUM(E6:E12)</f>
        <v>54.387030324564734</v>
      </c>
      <c r="F5" s="17">
        <f>SUM(F6:F12)</f>
        <v>613.26513313797</v>
      </c>
      <c r="G5" s="18"/>
      <c r="H5" s="17"/>
      <c r="I5" s="17"/>
      <c r="J5" s="17">
        <f>SUM(J6:J12)</f>
        <v>0</v>
      </c>
      <c r="K5" s="17"/>
      <c r="L5" s="17"/>
      <c r="M5" s="17"/>
      <c r="N5" s="17">
        <f>SUM(N6:N12)</f>
        <v>231.39905761731018</v>
      </c>
      <c r="O5" s="17">
        <f>B38*B39*B40</f>
        <v>0</v>
      </c>
      <c r="P5" s="17">
        <f>B46*B47*B48/1000-B46*B47*B48/1000/B49</f>
        <v>0</v>
      </c>
      <c r="R5" s="32"/>
    </row>
    <row r="6" spans="1:18">
      <c r="A6" s="32" t="s">
        <v>54</v>
      </c>
      <c r="B6" s="37">
        <f>B26</f>
        <v>260.02749277596899</v>
      </c>
      <c r="C6" s="33"/>
      <c r="D6" s="37">
        <f>IF(ISERROR(TER_kantoor_gas_kWh/1000),0,TER_kantoor_gas_kWh/1000)*0.902</f>
        <v>244.45635304736635</v>
      </c>
      <c r="E6" s="33">
        <f>$C$26*'E Balans VL '!I12/100/3.6*1000000</f>
        <v>1.0102618604623996</v>
      </c>
      <c r="F6" s="33">
        <f>$C$26*('E Balans VL '!L12+'E Balans VL '!N12)/100/3.6*1000000</f>
        <v>39.547815589679409</v>
      </c>
      <c r="G6" s="34"/>
      <c r="H6" s="33"/>
      <c r="I6" s="33"/>
      <c r="J6" s="33">
        <f>$C$26*('E Balans VL '!D12+'E Balans VL '!E12)/100/3.6*1000000</f>
        <v>0</v>
      </c>
      <c r="K6" s="33"/>
      <c r="L6" s="33"/>
      <c r="M6" s="33"/>
      <c r="N6" s="33">
        <f>$C$26*'E Balans VL '!Y12/100/3.6*1000000</f>
        <v>0.14330629904605122</v>
      </c>
      <c r="O6" s="33"/>
      <c r="P6" s="33"/>
      <c r="R6" s="32"/>
    </row>
    <row r="7" spans="1:18">
      <c r="A7" s="32" t="s">
        <v>53</v>
      </c>
      <c r="B7" s="37">
        <f t="shared" ref="B7:B12" si="0">B27</f>
        <v>487.03227162389601</v>
      </c>
      <c r="C7" s="33"/>
      <c r="D7" s="37">
        <f>IF(ISERROR(TER_horeca_gas_kWh/1000),0,TER_horeca_gas_kWh/1000)*0.902</f>
        <v>138.53945150140007</v>
      </c>
      <c r="E7" s="33">
        <f>$C$27*'E Balans VL '!I9/100/3.6*1000000</f>
        <v>27.434658071429837</v>
      </c>
      <c r="F7" s="33">
        <f>$C$27*('E Balans VL '!L9+'E Balans VL '!N9)/100/3.6*1000000</f>
        <v>140.43094910946135</v>
      </c>
      <c r="G7" s="34"/>
      <c r="H7" s="33"/>
      <c r="I7" s="33"/>
      <c r="J7" s="33">
        <f>$C$27*('E Balans VL '!D9+'E Balans VL '!E9)/100/3.6*1000000</f>
        <v>0</v>
      </c>
      <c r="K7" s="33"/>
      <c r="L7" s="33"/>
      <c r="M7" s="33"/>
      <c r="N7" s="33">
        <f>$C$27*'E Balans VL '!Y9/100/3.6*1000000</f>
        <v>0.13446707933755367</v>
      </c>
      <c r="O7" s="33"/>
      <c r="P7" s="33"/>
      <c r="R7" s="32"/>
    </row>
    <row r="8" spans="1:18">
      <c r="A8" s="6" t="s">
        <v>52</v>
      </c>
      <c r="B8" s="37">
        <f t="shared" si="0"/>
        <v>347.47996230972598</v>
      </c>
      <c r="C8" s="33"/>
      <c r="D8" s="37">
        <f>IF(ISERROR(TER_handel_gas_kWh/1000),0,TER_handel_gas_kWh/1000)*0.902</f>
        <v>0</v>
      </c>
      <c r="E8" s="33">
        <f>$C$28*'E Balans VL '!I13/100/3.6*1000000</f>
        <v>5.0083651391251589</v>
      </c>
      <c r="F8" s="33">
        <f>$C$28*('E Balans VL '!L13+'E Balans VL '!N13)/100/3.6*1000000</f>
        <v>60.365361715465014</v>
      </c>
      <c r="G8" s="34"/>
      <c r="H8" s="33"/>
      <c r="I8" s="33"/>
      <c r="J8" s="33">
        <f>$C$28*('E Balans VL '!D13+'E Balans VL '!E13)/100/3.6*1000000</f>
        <v>0</v>
      </c>
      <c r="K8" s="33"/>
      <c r="L8" s="33"/>
      <c r="M8" s="33"/>
      <c r="N8" s="33">
        <f>$C$28*'E Balans VL '!Y13/100/3.6*1000000</f>
        <v>1.0410886493462039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139.76849025372701</v>
      </c>
      <c r="C10" s="33"/>
      <c r="D10" s="37">
        <f>IF(ISERROR(TER_ander_gas_kWh/1000),0,TER_ander_gas_kWh/1000)*0.902</f>
        <v>0</v>
      </c>
      <c r="E10" s="33">
        <f>$C$30*'E Balans VL '!I14/100/3.6*1000000</f>
        <v>0.64277402631128877</v>
      </c>
      <c r="F10" s="33">
        <f>$C$30*('E Balans VL '!L14+'E Balans VL '!N14)/100/3.6*1000000</f>
        <v>41.893025223470538</v>
      </c>
      <c r="G10" s="34"/>
      <c r="H10" s="33"/>
      <c r="I10" s="33"/>
      <c r="J10" s="33">
        <f>$C$30*('E Balans VL '!D14+'E Balans VL '!E14)/100/3.6*1000000</f>
        <v>0</v>
      </c>
      <c r="K10" s="33"/>
      <c r="L10" s="33"/>
      <c r="M10" s="33"/>
      <c r="N10" s="33">
        <f>$C$30*'E Balans VL '!Y14/100/3.6*1000000</f>
        <v>97.288095442073654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1672.86091360203</v>
      </c>
      <c r="C12" s="33"/>
      <c r="D12" s="37">
        <f>IF(ISERROR(TER_rest_gas_kWh/1000),0,TER_rest_gas_kWh/1000)*0.902</f>
        <v>1685.9839873060041</v>
      </c>
      <c r="E12" s="33">
        <f>$C$32*'E Balans VL '!I8/100/3.6*1000000</f>
        <v>20.290971227236049</v>
      </c>
      <c r="F12" s="33">
        <f>$C$32*('E Balans VL '!L8+'E Balans VL '!N8)/100/3.6*1000000</f>
        <v>331.02798149989377</v>
      </c>
      <c r="G12" s="34"/>
      <c r="H12" s="33"/>
      <c r="I12" s="33"/>
      <c r="J12" s="33">
        <f>$C$32*('E Balans VL '!D8+'E Balans VL '!E8)/100/3.6*1000000</f>
        <v>0</v>
      </c>
      <c r="K12" s="33"/>
      <c r="L12" s="33"/>
      <c r="M12" s="33"/>
      <c r="N12" s="33">
        <f>$C$32*'E Balans VL '!Y8/100/3.6*1000000</f>
        <v>132.79210014750672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2907.169130565348</v>
      </c>
      <c r="C16" s="21">
        <f t="shared" ca="1" si="1"/>
        <v>0</v>
      </c>
      <c r="D16" s="21">
        <f t="shared" ca="1" si="1"/>
        <v>2068.9797918547706</v>
      </c>
      <c r="E16" s="21">
        <f t="shared" si="1"/>
        <v>54.387030324564734</v>
      </c>
      <c r="F16" s="21">
        <f t="shared" ca="1" si="1"/>
        <v>613.26513313797</v>
      </c>
      <c r="G16" s="21">
        <f t="shared" si="1"/>
        <v>0</v>
      </c>
      <c r="H16" s="21">
        <f t="shared" si="1"/>
        <v>0</v>
      </c>
      <c r="I16" s="21">
        <f t="shared" si="1"/>
        <v>0</v>
      </c>
      <c r="J16" s="21">
        <f t="shared" si="1"/>
        <v>0</v>
      </c>
      <c r="K16" s="21">
        <f t="shared" si="1"/>
        <v>0</v>
      </c>
      <c r="L16" s="21">
        <f t="shared" ca="1" si="1"/>
        <v>0</v>
      </c>
      <c r="M16" s="21">
        <f t="shared" si="1"/>
        <v>0</v>
      </c>
      <c r="N16" s="21">
        <f t="shared" ca="1" si="1"/>
        <v>231.39905761731018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0.20620808744698638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599.48178629879862</v>
      </c>
      <c r="C20" s="23">
        <f t="shared" ref="C20:P20" ca="1" si="2">C16*C18</f>
        <v>0</v>
      </c>
      <c r="D20" s="23">
        <f t="shared" ca="1" si="2"/>
        <v>417.93391795466368</v>
      </c>
      <c r="E20" s="23">
        <f t="shared" si="2"/>
        <v>12.345855883676196</v>
      </c>
      <c r="F20" s="23">
        <f t="shared" ca="1" si="2"/>
        <v>163.74179054783801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260.02749277596899</v>
      </c>
      <c r="C26" s="39">
        <f>IF(ISERROR(B26*3.6/1000000/'E Balans VL '!Z12*100),0,B26*3.6/1000000/'E Balans VL '!Z12*100)</f>
        <v>5.5231127474376172E-3</v>
      </c>
      <c r="D26" s="239" t="s">
        <v>692</v>
      </c>
      <c r="F26" s="6"/>
    </row>
    <row r="27" spans="1:18">
      <c r="A27" s="233" t="s">
        <v>53</v>
      </c>
      <c r="B27" s="33">
        <f>IF(ISERROR(TER_horeca_ele_kWh/1000),0,TER_horeca_ele_kWh/1000)</f>
        <v>487.03227162389601</v>
      </c>
      <c r="C27" s="39">
        <f>IF(ISERROR(B27*3.6/1000000/'E Balans VL '!Z9*100),0,B27*3.6/1000000/'E Balans VL '!Z9*100)</f>
        <v>3.7869725183424678E-2</v>
      </c>
      <c r="D27" s="239" t="s">
        <v>692</v>
      </c>
      <c r="F27" s="6"/>
    </row>
    <row r="28" spans="1:18">
      <c r="A28" s="173" t="s">
        <v>52</v>
      </c>
      <c r="B28" s="33">
        <f>IF(ISERROR(TER_handel_ele_kWh/1000),0,TER_handel_ele_kWh/1000)</f>
        <v>347.47996230972598</v>
      </c>
      <c r="C28" s="39">
        <f>IF(ISERROR(B28*3.6/1000000/'E Balans VL '!Z13*100),0,B28*3.6/1000000/'E Balans VL '!Z13*100)</f>
        <v>9.9418106646882512E-3</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139.76849025372701</v>
      </c>
      <c r="C30" s="39">
        <f>IF(ISERROR(B30*3.6/1000000/'E Balans VL '!Z14*100),0,B30*3.6/1000000/'E Balans VL '!Z14*100)</f>
        <v>1.0227941059463588E-2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1672.86091360203</v>
      </c>
      <c r="C32" s="39">
        <f>IF(ISERROR(B32*3.6/1000000/'E Balans VL '!Z8*100),0,B32*3.6/1000000/'E Balans VL '!Z8*100)</f>
        <v>1.3632801238149962E-2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921.95341878278691</v>
      </c>
      <c r="C5" s="17">
        <f>IF(ISERROR('Eigen informatie GS &amp; warmtenet'!B59),0,'Eigen informatie GS &amp; warmtenet'!B59)</f>
        <v>0</v>
      </c>
      <c r="D5" s="30">
        <f>SUM(D6:D15)</f>
        <v>586.50654877734257</v>
      </c>
      <c r="E5" s="17">
        <f>SUM(E6:E15)</f>
        <v>102.60130802074954</v>
      </c>
      <c r="F5" s="17">
        <f>SUM(F6:F15)</f>
        <v>575.30039419335105</v>
      </c>
      <c r="G5" s="18"/>
      <c r="H5" s="17"/>
      <c r="I5" s="17"/>
      <c r="J5" s="17">
        <f>SUM(J6:J15)</f>
        <v>1.2761804369263223</v>
      </c>
      <c r="K5" s="17"/>
      <c r="L5" s="17"/>
      <c r="M5" s="17"/>
      <c r="N5" s="17">
        <f>SUM(N6:N15)</f>
        <v>229.34884239305944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212.62224353801798</v>
      </c>
      <c r="C9" s="33"/>
      <c r="D9" s="37">
        <f>IF( ISERROR(IND_andere_gas_kWh/1000),0,IND_andere_gas_kWh/1000)*0.902</f>
        <v>45.460731418564492</v>
      </c>
      <c r="E9" s="33">
        <f>C31*'E Balans VL '!I19/100/3.6*1000000</f>
        <v>57.551613574039926</v>
      </c>
      <c r="F9" s="33">
        <f>C31*'E Balans VL '!L19/100/3.6*1000000+C31*'E Balans VL '!N19/100/3.6*1000000</f>
        <v>141.62891432974476</v>
      </c>
      <c r="G9" s="34"/>
      <c r="H9" s="33"/>
      <c r="I9" s="33"/>
      <c r="J9" s="40">
        <f>C31*'E Balans VL '!D19/100/3.6*1000000+C31*'E Balans VL '!E19/100/3.6*1000000</f>
        <v>0</v>
      </c>
      <c r="K9" s="33"/>
      <c r="L9" s="33"/>
      <c r="M9" s="33"/>
      <c r="N9" s="33">
        <f>C31*'E Balans VL '!Y19/100/3.6*1000000</f>
        <v>69.41763055732325</v>
      </c>
      <c r="O9" s="33"/>
      <c r="P9" s="33"/>
      <c r="R9" s="32"/>
    </row>
    <row r="10" spans="1:18">
      <c r="A10" s="6" t="s">
        <v>41</v>
      </c>
      <c r="B10" s="37">
        <f t="shared" si="0"/>
        <v>212.51577597711298</v>
      </c>
      <c r="C10" s="33"/>
      <c r="D10" s="37">
        <f>IF( ISERROR(IND_voed_gas_kWh/1000),0,IND_voed_gas_kWh/1000)*0.902</f>
        <v>318.63853854110539</v>
      </c>
      <c r="E10" s="33">
        <f>C32*'E Balans VL '!I20/100/3.6*1000000</f>
        <v>17.333274930983915</v>
      </c>
      <c r="F10" s="33">
        <f>C32*'E Balans VL '!L20/100/3.6*1000000+C32*'E Balans VL '!N20/100/3.6*1000000</f>
        <v>316.88030310250878</v>
      </c>
      <c r="G10" s="34"/>
      <c r="H10" s="33"/>
      <c r="I10" s="33"/>
      <c r="J10" s="40">
        <f>C32*'E Balans VL '!D20/100/3.6*1000000+C32*'E Balans VL '!E20/100/3.6*1000000</f>
        <v>2.8113257566305997E-3</v>
      </c>
      <c r="K10" s="33"/>
      <c r="L10" s="33"/>
      <c r="M10" s="33"/>
      <c r="N10" s="33">
        <f>C32*'E Balans VL '!Y20/100/3.6*1000000</f>
        <v>62.429636108928996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496.81539926765595</v>
      </c>
      <c r="C15" s="33"/>
      <c r="D15" s="37">
        <f>IF( ISERROR(IND_rest_gas_kWh/1000),0,IND_rest_gas_kWh/1000)*0.902</f>
        <v>222.4072788176727</v>
      </c>
      <c r="E15" s="33">
        <f>C37*'E Balans VL '!I15/100/3.6*1000000</f>
        <v>27.716419515725711</v>
      </c>
      <c r="F15" s="33">
        <f>C37*'E Balans VL '!L15/100/3.6*1000000+C37*'E Balans VL '!N15/100/3.6*1000000</f>
        <v>116.79117676109752</v>
      </c>
      <c r="G15" s="34"/>
      <c r="H15" s="33"/>
      <c r="I15" s="33"/>
      <c r="J15" s="40">
        <f>C37*'E Balans VL '!D15/100/3.6*1000000+C37*'E Balans VL '!E15/100/3.6*1000000</f>
        <v>1.2733691111696916</v>
      </c>
      <c r="K15" s="33"/>
      <c r="L15" s="33"/>
      <c r="M15" s="33"/>
      <c r="N15" s="33">
        <f>C37*'E Balans VL '!Y15/100/3.6*1000000</f>
        <v>97.501575726807204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921.95341878278691</v>
      </c>
      <c r="C18" s="21">
        <f>C5+C16</f>
        <v>0</v>
      </c>
      <c r="D18" s="21">
        <f>MAX((D5+D16),0)</f>
        <v>586.50654877734257</v>
      </c>
      <c r="E18" s="21">
        <f>MAX((E5+E16),0)</f>
        <v>102.60130802074954</v>
      </c>
      <c r="F18" s="21">
        <f>MAX((F5+F16),0)</f>
        <v>575.30039419335105</v>
      </c>
      <c r="G18" s="21"/>
      <c r="H18" s="21"/>
      <c r="I18" s="21"/>
      <c r="J18" s="21">
        <f>MAX((J5+J16),0)</f>
        <v>1.2761804369263223</v>
      </c>
      <c r="K18" s="21"/>
      <c r="L18" s="21">
        <f>MAX((L5+L16),0)</f>
        <v>0</v>
      </c>
      <c r="M18" s="21"/>
      <c r="N18" s="21">
        <f>MAX((N5+N16),0)</f>
        <v>229.34884239305944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0.20620808744698638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190.11425120240898</v>
      </c>
      <c r="C22" s="23">
        <f ca="1">C18*C20</f>
        <v>0</v>
      </c>
      <c r="D22" s="23">
        <f>D18*D20</f>
        <v>118.47432285302321</v>
      </c>
      <c r="E22" s="23">
        <f>E18*E20</f>
        <v>23.290496920710147</v>
      </c>
      <c r="F22" s="23">
        <f>F18*F20</f>
        <v>153.60520524962473</v>
      </c>
      <c r="G22" s="23"/>
      <c r="H22" s="23"/>
      <c r="I22" s="23"/>
      <c r="J22" s="23">
        <f>J18*J20</f>
        <v>0.45176787467191809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212.62224353801798</v>
      </c>
      <c r="C31" s="39">
        <f>IF(ISERROR(B31*3.6/1000000/'E Balans VL '!Z19*100),0,B31*3.6/1000000/'E Balans VL '!Z19*100)</f>
        <v>9.2595290989877527E-3</v>
      </c>
      <c r="D31" s="239" t="s">
        <v>692</v>
      </c>
    </row>
    <row r="32" spans="1:18">
      <c r="A32" s="173" t="s">
        <v>41</v>
      </c>
      <c r="B32" s="37">
        <f>IF( ISERROR(IND_voed_ele_kWh/1000),0,IND_voed_ele_kWh/1000)</f>
        <v>212.51577597711298</v>
      </c>
      <c r="C32" s="39">
        <f>IF(ISERROR(B32*3.6/1000000/'E Balans VL '!Z20*100),0,B32*3.6/1000000/'E Balans VL '!Z20*100)</f>
        <v>4.032180368075601E-2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496.81539926765595</v>
      </c>
      <c r="C37" s="39">
        <f>IF(ISERROR(B37*3.6/1000000/'E Balans VL '!Z15*100),0,B37*3.6/1000000/'E Balans VL '!Z15*100)</f>
        <v>3.82857286645034E-3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661.81444809289019</v>
      </c>
      <c r="C5" s="17">
        <f>'Eigen informatie GS &amp; warmtenet'!B60</f>
        <v>0</v>
      </c>
      <c r="D5" s="30">
        <f>IF(ISERROR(SUM(LB_lb_gas_kWh,LB_rest_gas_kWh)/1000),0,SUM(LB_lb_gas_kWh,LB_rest_gas_kWh)/1000)*0.902</f>
        <v>85.237202060768013</v>
      </c>
      <c r="E5" s="17">
        <f>B17*'E Balans VL '!I25/3.6*1000000/100</f>
        <v>8.3397146363287238</v>
      </c>
      <c r="F5" s="17">
        <f>B17*('E Balans VL '!L25/3.6*1000000+'E Balans VL '!N25/3.6*1000000)/100</f>
        <v>2283.4256403463423</v>
      </c>
      <c r="G5" s="18"/>
      <c r="H5" s="17"/>
      <c r="I5" s="17"/>
      <c r="J5" s="17">
        <f>('E Balans VL '!D25+'E Balans VL '!E25)/3.6*1000000*landbouw!B17/100</f>
        <v>99.529369752044673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661.81444809289019</v>
      </c>
      <c r="C8" s="21">
        <f>C5+C6</f>
        <v>0</v>
      </c>
      <c r="D8" s="21">
        <f>MAX((D5+D6),0)</f>
        <v>85.237202060768013</v>
      </c>
      <c r="E8" s="21">
        <f>MAX((E5+E6),0)</f>
        <v>8.3397146363287238</v>
      </c>
      <c r="F8" s="21">
        <f>MAX((F5+F6),0)</f>
        <v>2283.4256403463423</v>
      </c>
      <c r="G8" s="21"/>
      <c r="H8" s="21"/>
      <c r="I8" s="21"/>
      <c r="J8" s="21">
        <f>MAX((J5+J6),0)</f>
        <v>99.529369752044673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0.20620808744698638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136.47149158601772</v>
      </c>
      <c r="C12" s="23">
        <f ca="1">C8*C10</f>
        <v>0</v>
      </c>
      <c r="D12" s="23">
        <f>D8*D10</f>
        <v>17.21791481627514</v>
      </c>
      <c r="E12" s="23">
        <f>E8*E10</f>
        <v>1.8931152224466203</v>
      </c>
      <c r="F12" s="23">
        <f>F8*F10</f>
        <v>609.6746459724734</v>
      </c>
      <c r="G12" s="23"/>
      <c r="H12" s="23"/>
      <c r="I12" s="23"/>
      <c r="J12" s="23">
        <f>J8*J10</f>
        <v>35.233396892223816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9.2302256328352567E-2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254.70091410489036</v>
      </c>
      <c r="C26" s="249">
        <f>B26*'GWP N2O_CH4'!B5</f>
        <v>5348.7191962026973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40.583900294460172</v>
      </c>
      <c r="C27" s="249">
        <f>B27*'GWP N2O_CH4'!B5</f>
        <v>852.26190618366365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3.3698298190041371</v>
      </c>
      <c r="C28" s="249">
        <f>B28*'GWP N2O_CH4'!B4</f>
        <v>1044.6472438912824</v>
      </c>
      <c r="D28" s="50"/>
    </row>
    <row r="29" spans="1:4">
      <c r="A29" s="41" t="s">
        <v>277</v>
      </c>
      <c r="B29" s="249">
        <f>B34*'ha_N2O bodem landbouw'!B4</f>
        <v>10.942318573981384</v>
      </c>
      <c r="C29" s="249">
        <f>B29*'GWP N2O_CH4'!B4</f>
        <v>3392.1187579342291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2.7321876092242939E-3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5.5921884088917308E-6</v>
      </c>
      <c r="C5" s="448" t="s">
        <v>211</v>
      </c>
      <c r="D5" s="433">
        <f>SUM(D6:D11)</f>
        <v>9.8141906574149126E-6</v>
      </c>
      <c r="E5" s="433">
        <f>SUM(E6:E11)</f>
        <v>2.9752539191145585E-4</v>
      </c>
      <c r="F5" s="446" t="s">
        <v>211</v>
      </c>
      <c r="G5" s="433">
        <f>SUM(G6:G11)</f>
        <v>7.5396402294107046E-2</v>
      </c>
      <c r="H5" s="433">
        <f>SUM(H6:H11)</f>
        <v>1.4623172629665702E-2</v>
      </c>
      <c r="I5" s="448" t="s">
        <v>211</v>
      </c>
      <c r="J5" s="448" t="s">
        <v>211</v>
      </c>
      <c r="K5" s="448" t="s">
        <v>211</v>
      </c>
      <c r="L5" s="448" t="s">
        <v>211</v>
      </c>
      <c r="M5" s="433">
        <f>SUM(M6:M11)</f>
        <v>4.0700117582747443E-3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3.8804151157991722E-6</v>
      </c>
      <c r="C6" s="887"/>
      <c r="D6" s="887">
        <f>vkm_2011_GW_PW*SUMIFS(TableVerdeelsleutelVkm[CNG],TableVerdeelsleutelVkm[Voertuigtype],"Lichte voertuigen")*SUMIFS(TableECFTransport[EnergieConsumptieFactor (PJ per km)],TableECFTransport[Index],CONCATENATE($A6,"_CNG_CNG"))</f>
        <v>5.4954267379442806E-6</v>
      </c>
      <c r="E6" s="887">
        <f>vkm_2011_GW_PW*SUMIFS(TableVerdeelsleutelVkm[LPG],TableVerdeelsleutelVkm[Voertuigtype],"Lichte voertuigen")*SUMIFS(TableECFTransport[EnergieConsumptieFactor (PJ per km)],TableECFTransport[Index],CONCATENATE($A6,"_LPG_LPG"))</f>
        <v>1.7259326241639129E-4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3.101973521170891E-2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8.3119876534568076E-3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1.7794928180769542E-3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2.119794932332485E-2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7.5314116404713233E-6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9.5659636607930455E-4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1.711773293092559E-6</v>
      </c>
      <c r="C8" s="887"/>
      <c r="D8" s="436">
        <f>vkm_2011_NGW_PW*SUMIFS(TableVerdeelsleutelVkm[CNG],TableVerdeelsleutelVkm[Voertuigtype],"Lichte voertuigen")*SUMIFS(TableECFTransport[EnergieConsumptieFactor (PJ per km)],TableECFTransport[Index],CONCATENATE($A8,"_CNG_CNG"))</f>
        <v>4.318763919470632E-6</v>
      </c>
      <c r="E8" s="436">
        <f>vkm_2011_NGW_PW*SUMIFS(TableVerdeelsleutelVkm[LPG],TableVerdeelsleutelVkm[Voertuigtype],"Lichte voertuigen")*SUMIFS(TableECFTransport[EnergieConsumptieFactor (PJ per km)],TableECFTransport[Index],CONCATENATE($A8,"_LPG_LPG"))</f>
        <v>1.2493212949506459E-4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2.1177207415848002E-2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6.3029806420274691E-3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1.2436024935621442E-3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2.0015103432252817E-3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6.7292254095296444E-7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9.0320080556341358E-5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1.5533856691365917</v>
      </c>
      <c r="C14" s="21"/>
      <c r="D14" s="21">
        <f t="shared" ref="D14:M14" si="0">((D5)*10^9/3600)+D12</f>
        <v>2.7261640715041424</v>
      </c>
      <c r="E14" s="21">
        <f t="shared" si="0"/>
        <v>82.645942197626624</v>
      </c>
      <c r="F14" s="21"/>
      <c r="G14" s="21">
        <f t="shared" si="0"/>
        <v>20943.445081696402</v>
      </c>
      <c r="H14" s="21">
        <f t="shared" si="0"/>
        <v>4061.992397129362</v>
      </c>
      <c r="I14" s="21"/>
      <c r="J14" s="21"/>
      <c r="K14" s="21"/>
      <c r="L14" s="21"/>
      <c r="M14" s="21">
        <f t="shared" si="0"/>
        <v>1130.5588217429845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0.20620808744698638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0.32032068790021373</v>
      </c>
      <c r="C18" s="23"/>
      <c r="D18" s="23">
        <f t="shared" ref="D18:M18" si="1">D14*D16</f>
        <v>0.55068514244383682</v>
      </c>
      <c r="E18" s="23">
        <f t="shared" si="1"/>
        <v>18.760628878861244</v>
      </c>
      <c r="F18" s="23"/>
      <c r="G18" s="23">
        <f t="shared" si="1"/>
        <v>5591.8998368129396</v>
      </c>
      <c r="H18" s="23">
        <f t="shared" si="1"/>
        <v>1011.4361068852111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1.6339805655830612E-3</v>
      </c>
      <c r="H50" s="323">
        <f t="shared" si="2"/>
        <v>0</v>
      </c>
      <c r="I50" s="323">
        <f t="shared" si="2"/>
        <v>0</v>
      </c>
      <c r="J50" s="323">
        <f t="shared" si="2"/>
        <v>0</v>
      </c>
      <c r="K50" s="323">
        <f t="shared" si="2"/>
        <v>0</v>
      </c>
      <c r="L50" s="323">
        <f t="shared" si="2"/>
        <v>0</v>
      </c>
      <c r="M50" s="323">
        <f t="shared" si="2"/>
        <v>7.2667112331306055E-5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1.6339805655830612E-3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7.2667112331306055E-5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453.88349043973921</v>
      </c>
      <c r="H54" s="21">
        <f t="shared" si="3"/>
        <v>0</v>
      </c>
      <c r="I54" s="21">
        <f t="shared" si="3"/>
        <v>0</v>
      </c>
      <c r="J54" s="21">
        <f t="shared" si="3"/>
        <v>0</v>
      </c>
      <c r="K54" s="21">
        <f t="shared" si="3"/>
        <v>0</v>
      </c>
      <c r="L54" s="21">
        <f t="shared" si="3"/>
        <v>0</v>
      </c>
      <c r="M54" s="21">
        <f t="shared" si="3"/>
        <v>20.185308980918347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0.20620808744698638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121.18689194741037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3348.9561305653478</v>
      </c>
      <c r="D10" s="690">
        <f ca="1">tertiair!C16</f>
        <v>0</v>
      </c>
      <c r="E10" s="690">
        <f ca="1">tertiair!D16</f>
        <v>2068.9797918547706</v>
      </c>
      <c r="F10" s="690">
        <f>tertiair!E16</f>
        <v>54.387030324564734</v>
      </c>
      <c r="G10" s="690">
        <f ca="1">tertiair!F16</f>
        <v>613.26513313797</v>
      </c>
      <c r="H10" s="690">
        <f>tertiair!G16</f>
        <v>0</v>
      </c>
      <c r="I10" s="690">
        <f>tertiair!H16</f>
        <v>0</v>
      </c>
      <c r="J10" s="690">
        <f>tertiair!I16</f>
        <v>0</v>
      </c>
      <c r="K10" s="690">
        <f>tertiair!J16</f>
        <v>0</v>
      </c>
      <c r="L10" s="690">
        <f>tertiair!K16</f>
        <v>0</v>
      </c>
      <c r="M10" s="690">
        <f ca="1">tertiair!L16</f>
        <v>0</v>
      </c>
      <c r="N10" s="690">
        <f>tertiair!M16</f>
        <v>0</v>
      </c>
      <c r="O10" s="690">
        <f ca="1">tertiair!N16</f>
        <v>231.39905761731018</v>
      </c>
      <c r="P10" s="690">
        <f>tertiair!O16</f>
        <v>0</v>
      </c>
      <c r="Q10" s="691">
        <f>tertiair!P16</f>
        <v>0</v>
      </c>
      <c r="R10" s="693">
        <f ca="1">SUM(C10:Q10)</f>
        <v>6316.9871434999632</v>
      </c>
      <c r="S10" s="67"/>
    </row>
    <row r="11" spans="1:19" s="458" customFormat="1">
      <c r="A11" s="805" t="s">
        <v>225</v>
      </c>
      <c r="B11" s="810"/>
      <c r="C11" s="690">
        <f>huishoudens!B8</f>
        <v>13452.362444895602</v>
      </c>
      <c r="D11" s="690">
        <f>huishoudens!C8</f>
        <v>0</v>
      </c>
      <c r="E11" s="690">
        <f>huishoudens!D8</f>
        <v>13455.200389716851</v>
      </c>
      <c r="F11" s="690">
        <f>huishoudens!E8</f>
        <v>1605.1688868682099</v>
      </c>
      <c r="G11" s="690">
        <f>huishoudens!F8</f>
        <v>28978.763691825236</v>
      </c>
      <c r="H11" s="690">
        <f>huishoudens!G8</f>
        <v>0</v>
      </c>
      <c r="I11" s="690">
        <f>huishoudens!H8</f>
        <v>0</v>
      </c>
      <c r="J11" s="690">
        <f>huishoudens!I8</f>
        <v>0</v>
      </c>
      <c r="K11" s="690">
        <f>huishoudens!J8</f>
        <v>6061.7781077991131</v>
      </c>
      <c r="L11" s="690">
        <f>huishoudens!K8</f>
        <v>0</v>
      </c>
      <c r="M11" s="690">
        <f>huishoudens!L8</f>
        <v>0</v>
      </c>
      <c r="N11" s="690">
        <f>huishoudens!M8</f>
        <v>0</v>
      </c>
      <c r="O11" s="690">
        <f>huishoudens!N8</f>
        <v>5505.5201674559539</v>
      </c>
      <c r="P11" s="690">
        <f>huishoudens!O8</f>
        <v>78.166666666666671</v>
      </c>
      <c r="Q11" s="691">
        <f>huishoudens!P8</f>
        <v>286</v>
      </c>
      <c r="R11" s="693">
        <f>SUM(C11:Q11)</f>
        <v>69422.960355227624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921.95341878278691</v>
      </c>
      <c r="D13" s="690">
        <f>industrie!C18</f>
        <v>0</v>
      </c>
      <c r="E13" s="690">
        <f>industrie!D18</f>
        <v>586.50654877734257</v>
      </c>
      <c r="F13" s="690">
        <f>industrie!E18</f>
        <v>102.60130802074954</v>
      </c>
      <c r="G13" s="690">
        <f>industrie!F18</f>
        <v>575.30039419335105</v>
      </c>
      <c r="H13" s="690">
        <f>industrie!G18</f>
        <v>0</v>
      </c>
      <c r="I13" s="690">
        <f>industrie!H18</f>
        <v>0</v>
      </c>
      <c r="J13" s="690">
        <f>industrie!I18</f>
        <v>0</v>
      </c>
      <c r="K13" s="690">
        <f>industrie!J18</f>
        <v>1.2761804369263223</v>
      </c>
      <c r="L13" s="690">
        <f>industrie!K18</f>
        <v>0</v>
      </c>
      <c r="M13" s="690">
        <f>industrie!L18</f>
        <v>0</v>
      </c>
      <c r="N13" s="690">
        <f>industrie!M18</f>
        <v>0</v>
      </c>
      <c r="O13" s="690">
        <f>industrie!N18</f>
        <v>229.34884239305944</v>
      </c>
      <c r="P13" s="690">
        <f>industrie!O18</f>
        <v>0</v>
      </c>
      <c r="Q13" s="691">
        <f>industrie!P18</f>
        <v>0</v>
      </c>
      <c r="R13" s="693">
        <f>SUM(C13:Q13)</f>
        <v>2416.9866926042155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17723.27199424374</v>
      </c>
      <c r="D16" s="725">
        <f t="shared" ref="D16:R16" ca="1" si="0">SUM(D9:D15)</f>
        <v>0</v>
      </c>
      <c r="E16" s="725">
        <f t="shared" ca="1" si="0"/>
        <v>16110.686730348963</v>
      </c>
      <c r="F16" s="725">
        <f t="shared" si="0"/>
        <v>1762.157225213524</v>
      </c>
      <c r="G16" s="725">
        <f t="shared" ca="1" si="0"/>
        <v>30167.329219156556</v>
      </c>
      <c r="H16" s="725">
        <f t="shared" si="0"/>
        <v>0</v>
      </c>
      <c r="I16" s="725">
        <f t="shared" si="0"/>
        <v>0</v>
      </c>
      <c r="J16" s="725">
        <f t="shared" si="0"/>
        <v>0</v>
      </c>
      <c r="K16" s="725">
        <f t="shared" si="0"/>
        <v>6063.0542882360396</v>
      </c>
      <c r="L16" s="725">
        <f t="shared" si="0"/>
        <v>0</v>
      </c>
      <c r="M16" s="725">
        <f t="shared" ca="1" si="0"/>
        <v>0</v>
      </c>
      <c r="N16" s="725">
        <f t="shared" si="0"/>
        <v>0</v>
      </c>
      <c r="O16" s="725">
        <f t="shared" ca="1" si="0"/>
        <v>5966.2680674663234</v>
      </c>
      <c r="P16" s="725">
        <f t="shared" si="0"/>
        <v>78.166666666666671</v>
      </c>
      <c r="Q16" s="725">
        <f t="shared" si="0"/>
        <v>286</v>
      </c>
      <c r="R16" s="725">
        <f t="shared" ca="1" si="0"/>
        <v>78156.934191331806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453.88349043973921</v>
      </c>
      <c r="I19" s="690">
        <f>transport!H54</f>
        <v>0</v>
      </c>
      <c r="J19" s="690">
        <f>transport!I54</f>
        <v>0</v>
      </c>
      <c r="K19" s="690">
        <f>transport!J54</f>
        <v>0</v>
      </c>
      <c r="L19" s="690">
        <f>transport!K54</f>
        <v>0</v>
      </c>
      <c r="M19" s="690">
        <f>transport!L54</f>
        <v>0</v>
      </c>
      <c r="N19" s="690">
        <f>transport!M54</f>
        <v>20.185308980918347</v>
      </c>
      <c r="O19" s="690">
        <f>transport!N54</f>
        <v>0</v>
      </c>
      <c r="P19" s="690">
        <f>transport!O54</f>
        <v>0</v>
      </c>
      <c r="Q19" s="691">
        <f>transport!P54</f>
        <v>0</v>
      </c>
      <c r="R19" s="693">
        <f>SUM(C19:Q19)</f>
        <v>474.06879942065757</v>
      </c>
      <c r="S19" s="67"/>
    </row>
    <row r="20" spans="1:19" s="458" customFormat="1">
      <c r="A20" s="805" t="s">
        <v>307</v>
      </c>
      <c r="B20" s="810"/>
      <c r="C20" s="690">
        <f>transport!B14</f>
        <v>1.5533856691365917</v>
      </c>
      <c r="D20" s="690">
        <f>transport!C14</f>
        <v>0</v>
      </c>
      <c r="E20" s="690">
        <f>transport!D14</f>
        <v>2.7261640715041424</v>
      </c>
      <c r="F20" s="690">
        <f>transport!E14</f>
        <v>82.645942197626624</v>
      </c>
      <c r="G20" s="690">
        <f>transport!F14</f>
        <v>0</v>
      </c>
      <c r="H20" s="690">
        <f>transport!G14</f>
        <v>20943.445081696402</v>
      </c>
      <c r="I20" s="690">
        <f>transport!H14</f>
        <v>4061.992397129362</v>
      </c>
      <c r="J20" s="690">
        <f>transport!I14</f>
        <v>0</v>
      </c>
      <c r="K20" s="690">
        <f>transport!J14</f>
        <v>0</v>
      </c>
      <c r="L20" s="690">
        <f>transport!K14</f>
        <v>0</v>
      </c>
      <c r="M20" s="690">
        <f>transport!L14</f>
        <v>0</v>
      </c>
      <c r="N20" s="690">
        <f>transport!M14</f>
        <v>1130.5588217429845</v>
      </c>
      <c r="O20" s="690">
        <f>transport!N14</f>
        <v>0</v>
      </c>
      <c r="P20" s="690">
        <f>transport!O14</f>
        <v>0</v>
      </c>
      <c r="Q20" s="691">
        <f>transport!P14</f>
        <v>0</v>
      </c>
      <c r="R20" s="693">
        <f>SUM(C20:Q20)</f>
        <v>26222.921792507012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1.5533856691365917</v>
      </c>
      <c r="D22" s="808">
        <f t="shared" ref="D22:R22" si="1">SUM(D18:D21)</f>
        <v>0</v>
      </c>
      <c r="E22" s="808">
        <f t="shared" si="1"/>
        <v>2.7261640715041424</v>
      </c>
      <c r="F22" s="808">
        <f t="shared" si="1"/>
        <v>82.645942197626624</v>
      </c>
      <c r="G22" s="808">
        <f t="shared" si="1"/>
        <v>0</v>
      </c>
      <c r="H22" s="808">
        <f t="shared" si="1"/>
        <v>21397.328572136143</v>
      </c>
      <c r="I22" s="808">
        <f t="shared" si="1"/>
        <v>4061.992397129362</v>
      </c>
      <c r="J22" s="808">
        <f t="shared" si="1"/>
        <v>0</v>
      </c>
      <c r="K22" s="808">
        <f t="shared" si="1"/>
        <v>0</v>
      </c>
      <c r="L22" s="808">
        <f t="shared" si="1"/>
        <v>0</v>
      </c>
      <c r="M22" s="808">
        <f t="shared" si="1"/>
        <v>0</v>
      </c>
      <c r="N22" s="808">
        <f t="shared" si="1"/>
        <v>1150.7441307239028</v>
      </c>
      <c r="O22" s="808">
        <f t="shared" si="1"/>
        <v>0</v>
      </c>
      <c r="P22" s="808">
        <f t="shared" si="1"/>
        <v>0</v>
      </c>
      <c r="Q22" s="808">
        <f t="shared" si="1"/>
        <v>0</v>
      </c>
      <c r="R22" s="808">
        <f t="shared" si="1"/>
        <v>26696.990591927668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661.81444809289019</v>
      </c>
      <c r="D24" s="690">
        <f>+landbouw!C8</f>
        <v>0</v>
      </c>
      <c r="E24" s="690">
        <f>+landbouw!D8</f>
        <v>85.237202060768013</v>
      </c>
      <c r="F24" s="690">
        <f>+landbouw!E8</f>
        <v>8.3397146363287238</v>
      </c>
      <c r="G24" s="690">
        <f>+landbouw!F8</f>
        <v>2283.4256403463423</v>
      </c>
      <c r="H24" s="690">
        <f>+landbouw!G8</f>
        <v>0</v>
      </c>
      <c r="I24" s="690">
        <f>+landbouw!H8</f>
        <v>0</v>
      </c>
      <c r="J24" s="690">
        <f>+landbouw!I8</f>
        <v>0</v>
      </c>
      <c r="K24" s="690">
        <f>+landbouw!J8</f>
        <v>99.529369752044673</v>
      </c>
      <c r="L24" s="690">
        <f>+landbouw!K8</f>
        <v>0</v>
      </c>
      <c r="M24" s="690">
        <f>+landbouw!L8</f>
        <v>0</v>
      </c>
      <c r="N24" s="690">
        <f>+landbouw!M8</f>
        <v>0</v>
      </c>
      <c r="O24" s="690">
        <f>+landbouw!N8</f>
        <v>0</v>
      </c>
      <c r="P24" s="690">
        <f>+landbouw!O8</f>
        <v>0</v>
      </c>
      <c r="Q24" s="691">
        <f>+landbouw!P8</f>
        <v>0</v>
      </c>
      <c r="R24" s="693">
        <f>SUM(C24:Q24)</f>
        <v>3138.3463748883742</v>
      </c>
      <c r="S24" s="67"/>
    </row>
    <row r="25" spans="1:19" s="458" customFormat="1" ht="15" thickBot="1">
      <c r="A25" s="827" t="s">
        <v>872</v>
      </c>
      <c r="B25" s="1004"/>
      <c r="C25" s="1005">
        <f>IF(Onbekend_ele_kWh="---",0,Onbekend_ele_kWh)/1000+IF(REST_rest_ele_kWh="---",0,REST_rest_ele_kWh)/1000</f>
        <v>357.81786171406196</v>
      </c>
      <c r="D25" s="1005"/>
      <c r="E25" s="1005">
        <f>IF(onbekend_gas_kWh="---",0,onbekend_gas_kWh)/1000+IF(REST_rest_gas_kWh="---",0,REST_rest_gas_kWh)/1000</f>
        <v>417.51402277721695</v>
      </c>
      <c r="F25" s="1005"/>
      <c r="G25" s="1005"/>
      <c r="H25" s="1005"/>
      <c r="I25" s="1005"/>
      <c r="J25" s="1005"/>
      <c r="K25" s="1005"/>
      <c r="L25" s="1005"/>
      <c r="M25" s="1005"/>
      <c r="N25" s="1005"/>
      <c r="O25" s="1005"/>
      <c r="P25" s="1005"/>
      <c r="Q25" s="1006"/>
      <c r="R25" s="693">
        <f>SUM(C25:Q25)</f>
        <v>775.33188449127897</v>
      </c>
      <c r="S25" s="67"/>
    </row>
    <row r="26" spans="1:19" s="458" customFormat="1" ht="15.75" thickBot="1">
      <c r="A26" s="698" t="s">
        <v>873</v>
      </c>
      <c r="B26" s="813"/>
      <c r="C26" s="808">
        <f>SUM(C24:C25)</f>
        <v>1019.6323098069522</v>
      </c>
      <c r="D26" s="808">
        <f t="shared" ref="D26:R26" si="2">SUM(D24:D25)</f>
        <v>0</v>
      </c>
      <c r="E26" s="808">
        <f t="shared" si="2"/>
        <v>502.75122483798498</v>
      </c>
      <c r="F26" s="808">
        <f t="shared" si="2"/>
        <v>8.3397146363287238</v>
      </c>
      <c r="G26" s="808">
        <f t="shared" si="2"/>
        <v>2283.4256403463423</v>
      </c>
      <c r="H26" s="808">
        <f t="shared" si="2"/>
        <v>0</v>
      </c>
      <c r="I26" s="808">
        <f t="shared" si="2"/>
        <v>0</v>
      </c>
      <c r="J26" s="808">
        <f t="shared" si="2"/>
        <v>0</v>
      </c>
      <c r="K26" s="808">
        <f t="shared" si="2"/>
        <v>99.529369752044673</v>
      </c>
      <c r="L26" s="808">
        <f t="shared" si="2"/>
        <v>0</v>
      </c>
      <c r="M26" s="808">
        <f t="shared" si="2"/>
        <v>0</v>
      </c>
      <c r="N26" s="808">
        <f t="shared" si="2"/>
        <v>0</v>
      </c>
      <c r="O26" s="808">
        <f t="shared" si="2"/>
        <v>0</v>
      </c>
      <c r="P26" s="808">
        <f t="shared" si="2"/>
        <v>0</v>
      </c>
      <c r="Q26" s="808">
        <f t="shared" si="2"/>
        <v>0</v>
      </c>
      <c r="R26" s="808">
        <f t="shared" si="2"/>
        <v>3913.6782593796534</v>
      </c>
      <c r="S26" s="67"/>
    </row>
    <row r="27" spans="1:19" s="458" customFormat="1" ht="17.25" thickTop="1" thickBot="1">
      <c r="A27" s="699" t="s">
        <v>116</v>
      </c>
      <c r="B27" s="800"/>
      <c r="C27" s="700">
        <f ca="1">C22+C16+C26</f>
        <v>18744.457689719828</v>
      </c>
      <c r="D27" s="700">
        <f t="shared" ref="D27:R27" ca="1" si="3">D22+D16+D26</f>
        <v>0</v>
      </c>
      <c r="E27" s="700">
        <f t="shared" ca="1" si="3"/>
        <v>16616.164119258454</v>
      </c>
      <c r="F27" s="700">
        <f t="shared" si="3"/>
        <v>1853.1428820474796</v>
      </c>
      <c r="G27" s="700">
        <f t="shared" ca="1" si="3"/>
        <v>32450.7548595029</v>
      </c>
      <c r="H27" s="700">
        <f t="shared" si="3"/>
        <v>21397.328572136143</v>
      </c>
      <c r="I27" s="700">
        <f t="shared" si="3"/>
        <v>4061.992397129362</v>
      </c>
      <c r="J27" s="700">
        <f t="shared" si="3"/>
        <v>0</v>
      </c>
      <c r="K27" s="700">
        <f t="shared" si="3"/>
        <v>6162.5836579880843</v>
      </c>
      <c r="L27" s="700">
        <f t="shared" si="3"/>
        <v>0</v>
      </c>
      <c r="M27" s="700">
        <f t="shared" ca="1" si="3"/>
        <v>0</v>
      </c>
      <c r="N27" s="700">
        <f t="shared" si="3"/>
        <v>1150.7441307239028</v>
      </c>
      <c r="O27" s="700">
        <f t="shared" ca="1" si="3"/>
        <v>5966.2680674663234</v>
      </c>
      <c r="P27" s="700">
        <f t="shared" si="3"/>
        <v>78.166666666666671</v>
      </c>
      <c r="Q27" s="700">
        <f t="shared" si="3"/>
        <v>286</v>
      </c>
      <c r="R27" s="700">
        <f t="shared" ca="1" si="3"/>
        <v>108767.60304263912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690.58183862774035</v>
      </c>
      <c r="D40" s="690">
        <f ca="1">tertiair!C20</f>
        <v>0</v>
      </c>
      <c r="E40" s="690">
        <f ca="1">tertiair!D20</f>
        <v>417.93391795466368</v>
      </c>
      <c r="F40" s="690">
        <f>tertiair!E20</f>
        <v>12.345855883676196</v>
      </c>
      <c r="G40" s="690">
        <f ca="1">tertiair!F20</f>
        <v>163.74179054783801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1284.6034030139183</v>
      </c>
    </row>
    <row r="41" spans="1:18">
      <c r="A41" s="818" t="s">
        <v>225</v>
      </c>
      <c r="B41" s="825"/>
      <c r="C41" s="690">
        <f ca="1">huishoudens!B12</f>
        <v>2773.9859314055875</v>
      </c>
      <c r="D41" s="690">
        <f ca="1">huishoudens!C12</f>
        <v>0</v>
      </c>
      <c r="E41" s="690">
        <f>huishoudens!D12</f>
        <v>2717.9504787228038</v>
      </c>
      <c r="F41" s="690">
        <f>huishoudens!E12</f>
        <v>364.37333731908365</v>
      </c>
      <c r="G41" s="690">
        <f>huishoudens!F12</f>
        <v>7737.3299057173381</v>
      </c>
      <c r="H41" s="690">
        <f>huishoudens!G12</f>
        <v>0</v>
      </c>
      <c r="I41" s="690">
        <f>huishoudens!H12</f>
        <v>0</v>
      </c>
      <c r="J41" s="690">
        <f>huishoudens!I12</f>
        <v>0</v>
      </c>
      <c r="K41" s="690">
        <f>huishoudens!J12</f>
        <v>2145.8694501608861</v>
      </c>
      <c r="L41" s="690">
        <f>huishoudens!K12</f>
        <v>0</v>
      </c>
      <c r="M41" s="690">
        <f>huishoudens!L12</f>
        <v>0</v>
      </c>
      <c r="N41" s="690">
        <f>huishoudens!M12</f>
        <v>0</v>
      </c>
      <c r="O41" s="690">
        <f>huishoudens!N12</f>
        <v>0</v>
      </c>
      <c r="P41" s="690">
        <f>huishoudens!O12</f>
        <v>0</v>
      </c>
      <c r="Q41" s="767">
        <f>huishoudens!P12</f>
        <v>0</v>
      </c>
      <c r="R41" s="846">
        <f t="shared" ca="1" si="4"/>
        <v>15739.509103325699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190.11425120240898</v>
      </c>
      <c r="D43" s="690">
        <f ca="1">industrie!C22</f>
        <v>0</v>
      </c>
      <c r="E43" s="690">
        <f>industrie!D22</f>
        <v>118.47432285302321</v>
      </c>
      <c r="F43" s="690">
        <f>industrie!E22</f>
        <v>23.290496920710147</v>
      </c>
      <c r="G43" s="690">
        <f>industrie!F22</f>
        <v>153.60520524962473</v>
      </c>
      <c r="H43" s="690">
        <f>industrie!G22</f>
        <v>0</v>
      </c>
      <c r="I43" s="690">
        <f>industrie!H22</f>
        <v>0</v>
      </c>
      <c r="J43" s="690">
        <f>industrie!I22</f>
        <v>0</v>
      </c>
      <c r="K43" s="690">
        <f>industrie!J22</f>
        <v>0.45176787467191809</v>
      </c>
      <c r="L43" s="690">
        <f>industrie!K22</f>
        <v>0</v>
      </c>
      <c r="M43" s="690">
        <f>industrie!L22</f>
        <v>0</v>
      </c>
      <c r="N43" s="690">
        <f>industrie!M22</f>
        <v>0</v>
      </c>
      <c r="O43" s="690">
        <f>industrie!N22</f>
        <v>0</v>
      </c>
      <c r="P43" s="690">
        <f>industrie!O22</f>
        <v>0</v>
      </c>
      <c r="Q43" s="767">
        <f>industrie!P22</f>
        <v>0</v>
      </c>
      <c r="R43" s="845">
        <f t="shared" ca="1" si="4"/>
        <v>485.93604410043901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3654.682021235737</v>
      </c>
      <c r="D46" s="725">
        <f t="shared" ref="D46:Q46" ca="1" si="5">SUM(D39:D45)</f>
        <v>0</v>
      </c>
      <c r="E46" s="725">
        <f t="shared" ca="1" si="5"/>
        <v>3254.3587195304908</v>
      </c>
      <c r="F46" s="725">
        <f t="shared" si="5"/>
        <v>400.00969012347002</v>
      </c>
      <c r="G46" s="725">
        <f t="shared" ca="1" si="5"/>
        <v>8054.6769015148002</v>
      </c>
      <c r="H46" s="725">
        <f t="shared" si="5"/>
        <v>0</v>
      </c>
      <c r="I46" s="725">
        <f t="shared" si="5"/>
        <v>0</v>
      </c>
      <c r="J46" s="725">
        <f t="shared" si="5"/>
        <v>0</v>
      </c>
      <c r="K46" s="725">
        <f t="shared" si="5"/>
        <v>2146.3212180355581</v>
      </c>
      <c r="L46" s="725">
        <f t="shared" si="5"/>
        <v>0</v>
      </c>
      <c r="M46" s="725">
        <f t="shared" ca="1" si="5"/>
        <v>0</v>
      </c>
      <c r="N46" s="725">
        <f t="shared" si="5"/>
        <v>0</v>
      </c>
      <c r="O46" s="725">
        <f t="shared" ca="1" si="5"/>
        <v>0</v>
      </c>
      <c r="P46" s="725">
        <f t="shared" si="5"/>
        <v>0</v>
      </c>
      <c r="Q46" s="725">
        <f t="shared" si="5"/>
        <v>0</v>
      </c>
      <c r="R46" s="725">
        <f ca="1">SUM(R39:R45)</f>
        <v>17510.048550440057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121.18689194741037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121.18689194741037</v>
      </c>
    </row>
    <row r="50" spans="1:18">
      <c r="A50" s="821" t="s">
        <v>307</v>
      </c>
      <c r="B50" s="831"/>
      <c r="C50" s="696">
        <f ca="1">transport!B18</f>
        <v>0.32032068790021373</v>
      </c>
      <c r="D50" s="696">
        <f>transport!C18</f>
        <v>0</v>
      </c>
      <c r="E50" s="696">
        <f>transport!D18</f>
        <v>0.55068514244383682</v>
      </c>
      <c r="F50" s="696">
        <f>transport!E18</f>
        <v>18.760628878861244</v>
      </c>
      <c r="G50" s="696">
        <f>transport!F18</f>
        <v>0</v>
      </c>
      <c r="H50" s="696">
        <f>transport!G18</f>
        <v>5591.8998368129396</v>
      </c>
      <c r="I50" s="696">
        <f>transport!H18</f>
        <v>1011.4361068852111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6622.9675784073561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0.32032068790021373</v>
      </c>
      <c r="D52" s="725">
        <f t="shared" ref="D52:Q52" ca="1" si="6">SUM(D48:D51)</f>
        <v>0</v>
      </c>
      <c r="E52" s="725">
        <f t="shared" si="6"/>
        <v>0.55068514244383682</v>
      </c>
      <c r="F52" s="725">
        <f t="shared" si="6"/>
        <v>18.760628878861244</v>
      </c>
      <c r="G52" s="725">
        <f t="shared" si="6"/>
        <v>0</v>
      </c>
      <c r="H52" s="725">
        <f t="shared" si="6"/>
        <v>5713.0867287603496</v>
      </c>
      <c r="I52" s="725">
        <f t="shared" si="6"/>
        <v>1011.4361068852111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6744.1544703547661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136.47149158601772</v>
      </c>
      <c r="D54" s="696">
        <f ca="1">+landbouw!C12</f>
        <v>0</v>
      </c>
      <c r="E54" s="696">
        <f>+landbouw!D12</f>
        <v>17.21791481627514</v>
      </c>
      <c r="F54" s="696">
        <f>+landbouw!E12</f>
        <v>1.8931152224466203</v>
      </c>
      <c r="G54" s="696">
        <f>+landbouw!F12</f>
        <v>609.6746459724734</v>
      </c>
      <c r="H54" s="696">
        <f>+landbouw!G12</f>
        <v>0</v>
      </c>
      <c r="I54" s="696">
        <f>+landbouw!H12</f>
        <v>0</v>
      </c>
      <c r="J54" s="696">
        <f>+landbouw!I12</f>
        <v>0</v>
      </c>
      <c r="K54" s="696">
        <f>+landbouw!J12</f>
        <v>35.233396892223816</v>
      </c>
      <c r="L54" s="696">
        <f>+landbouw!K12</f>
        <v>0</v>
      </c>
      <c r="M54" s="696">
        <f>+landbouw!L12</f>
        <v>0</v>
      </c>
      <c r="N54" s="696">
        <f>+landbouw!M12</f>
        <v>0</v>
      </c>
      <c r="O54" s="696">
        <f>+landbouw!N12</f>
        <v>0</v>
      </c>
      <c r="P54" s="696">
        <f>+landbouw!O12</f>
        <v>0</v>
      </c>
      <c r="Q54" s="697">
        <f>+landbouw!P12</f>
        <v>0</v>
      </c>
      <c r="R54" s="724">
        <f ca="1">SUM(C54:Q54)</f>
        <v>800.49056448943668</v>
      </c>
    </row>
    <row r="55" spans="1:18" ht="15" thickBot="1">
      <c r="A55" s="821" t="s">
        <v>872</v>
      </c>
      <c r="B55" s="831"/>
      <c r="C55" s="696">
        <f ca="1">C25*'EF ele_warmte'!B12</f>
        <v>73.784936918426965</v>
      </c>
      <c r="D55" s="696"/>
      <c r="E55" s="696">
        <f>E25*EF_CO2_aardgas</f>
        <v>84.337832600997828</v>
      </c>
      <c r="F55" s="696"/>
      <c r="G55" s="696"/>
      <c r="H55" s="696"/>
      <c r="I55" s="696"/>
      <c r="J55" s="696"/>
      <c r="K55" s="696"/>
      <c r="L55" s="696"/>
      <c r="M55" s="696"/>
      <c r="N55" s="696"/>
      <c r="O55" s="696"/>
      <c r="P55" s="696"/>
      <c r="Q55" s="697"/>
      <c r="R55" s="724">
        <f ca="1">SUM(C55:Q55)</f>
        <v>158.12276951942479</v>
      </c>
    </row>
    <row r="56" spans="1:18" ht="15.75" thickBot="1">
      <c r="A56" s="819" t="s">
        <v>873</v>
      </c>
      <c r="B56" s="832"/>
      <c r="C56" s="725">
        <f ca="1">SUM(C54:C55)</f>
        <v>210.25642850444467</v>
      </c>
      <c r="D56" s="725">
        <f t="shared" ref="D56:Q56" ca="1" si="7">SUM(D54:D55)</f>
        <v>0</v>
      </c>
      <c r="E56" s="725">
        <f t="shared" si="7"/>
        <v>101.55574741727297</v>
      </c>
      <c r="F56" s="725">
        <f t="shared" si="7"/>
        <v>1.8931152224466203</v>
      </c>
      <c r="G56" s="725">
        <f t="shared" si="7"/>
        <v>609.6746459724734</v>
      </c>
      <c r="H56" s="725">
        <f t="shared" si="7"/>
        <v>0</v>
      </c>
      <c r="I56" s="725">
        <f t="shared" si="7"/>
        <v>0</v>
      </c>
      <c r="J56" s="725">
        <f t="shared" si="7"/>
        <v>0</v>
      </c>
      <c r="K56" s="725">
        <f t="shared" si="7"/>
        <v>35.233396892223816</v>
      </c>
      <c r="L56" s="725">
        <f t="shared" si="7"/>
        <v>0</v>
      </c>
      <c r="M56" s="725">
        <f t="shared" si="7"/>
        <v>0</v>
      </c>
      <c r="N56" s="725">
        <f t="shared" si="7"/>
        <v>0</v>
      </c>
      <c r="O56" s="725">
        <f t="shared" si="7"/>
        <v>0</v>
      </c>
      <c r="P56" s="725">
        <f t="shared" si="7"/>
        <v>0</v>
      </c>
      <c r="Q56" s="726">
        <f t="shared" si="7"/>
        <v>0</v>
      </c>
      <c r="R56" s="727">
        <f ca="1">SUM(R54:R55)</f>
        <v>958.61333400886144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3865.2587704280818</v>
      </c>
      <c r="D61" s="733">
        <f t="shared" ref="D61:Q61" ca="1" si="8">D46+D52+D56</f>
        <v>0</v>
      </c>
      <c r="E61" s="733">
        <f t="shared" ca="1" si="8"/>
        <v>3356.4651520902075</v>
      </c>
      <c r="F61" s="733">
        <f t="shared" si="8"/>
        <v>420.66343422477792</v>
      </c>
      <c r="G61" s="733">
        <f t="shared" ca="1" si="8"/>
        <v>8664.3515474872729</v>
      </c>
      <c r="H61" s="733">
        <f t="shared" si="8"/>
        <v>5713.0867287603496</v>
      </c>
      <c r="I61" s="733">
        <f t="shared" si="8"/>
        <v>1011.4361068852111</v>
      </c>
      <c r="J61" s="733">
        <f t="shared" si="8"/>
        <v>0</v>
      </c>
      <c r="K61" s="733">
        <f t="shared" si="8"/>
        <v>2181.554614927782</v>
      </c>
      <c r="L61" s="733">
        <f t="shared" si="8"/>
        <v>0</v>
      </c>
      <c r="M61" s="733">
        <f t="shared" ca="1" si="8"/>
        <v>0</v>
      </c>
      <c r="N61" s="733">
        <f t="shared" si="8"/>
        <v>0</v>
      </c>
      <c r="O61" s="733">
        <f t="shared" ca="1" si="8"/>
        <v>0</v>
      </c>
      <c r="P61" s="733">
        <f t="shared" si="8"/>
        <v>0</v>
      </c>
      <c r="Q61" s="733">
        <f t="shared" si="8"/>
        <v>0</v>
      </c>
      <c r="R61" s="733">
        <f ca="1">R46+R52+R56</f>
        <v>25212.816354803683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0.20620808744698635</v>
      </c>
      <c r="D63" s="776">
        <f t="shared" ca="1" si="9"/>
        <v>0</v>
      </c>
      <c r="E63" s="1011">
        <f t="shared" ca="1" si="9"/>
        <v>0.20199999999999999</v>
      </c>
      <c r="F63" s="776">
        <f t="shared" si="9"/>
        <v>0.22700000000000004</v>
      </c>
      <c r="G63" s="776">
        <f t="shared" ca="1" si="9"/>
        <v>0.26699999999999996</v>
      </c>
      <c r="H63" s="776">
        <f t="shared" si="9"/>
        <v>0.26699999999999996</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1254.5989999999999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1254.5989999999999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1254.5989999999999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1254.5989999999999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13452.362444895602</v>
      </c>
      <c r="C4" s="462">
        <f>huishoudens!C8</f>
        <v>0</v>
      </c>
      <c r="D4" s="462">
        <f>huishoudens!D8</f>
        <v>13455.200389716851</v>
      </c>
      <c r="E4" s="462">
        <f>huishoudens!E8</f>
        <v>1605.1688868682099</v>
      </c>
      <c r="F4" s="462">
        <f>huishoudens!F8</f>
        <v>28978.763691825236</v>
      </c>
      <c r="G4" s="462">
        <f>huishoudens!G8</f>
        <v>0</v>
      </c>
      <c r="H4" s="462">
        <f>huishoudens!H8</f>
        <v>0</v>
      </c>
      <c r="I4" s="462">
        <f>huishoudens!I8</f>
        <v>0</v>
      </c>
      <c r="J4" s="462">
        <f>huishoudens!J8</f>
        <v>6061.7781077991131</v>
      </c>
      <c r="K4" s="462">
        <f>huishoudens!K8</f>
        <v>0</v>
      </c>
      <c r="L4" s="462">
        <f>huishoudens!L8</f>
        <v>0</v>
      </c>
      <c r="M4" s="462">
        <f>huishoudens!M8</f>
        <v>0</v>
      </c>
      <c r="N4" s="462">
        <f>huishoudens!N8</f>
        <v>5505.5201674559539</v>
      </c>
      <c r="O4" s="462">
        <f>huishoudens!O8</f>
        <v>78.166666666666671</v>
      </c>
      <c r="P4" s="463">
        <f>huishoudens!P8</f>
        <v>286</v>
      </c>
      <c r="Q4" s="464">
        <f>SUM(B4:P4)</f>
        <v>69422.960355227624</v>
      </c>
    </row>
    <row r="5" spans="1:17">
      <c r="A5" s="461" t="s">
        <v>156</v>
      </c>
      <c r="B5" s="462">
        <f ca="1">tertiair!B16</f>
        <v>2907.169130565348</v>
      </c>
      <c r="C5" s="462">
        <f ca="1">tertiair!C16</f>
        <v>0</v>
      </c>
      <c r="D5" s="462">
        <f ca="1">tertiair!D16</f>
        <v>2068.9797918547706</v>
      </c>
      <c r="E5" s="462">
        <f>tertiair!E16</f>
        <v>54.387030324564734</v>
      </c>
      <c r="F5" s="462">
        <f ca="1">tertiair!F16</f>
        <v>613.26513313797</v>
      </c>
      <c r="G5" s="462">
        <f>tertiair!G16</f>
        <v>0</v>
      </c>
      <c r="H5" s="462">
        <f>tertiair!H16</f>
        <v>0</v>
      </c>
      <c r="I5" s="462">
        <f>tertiair!I16</f>
        <v>0</v>
      </c>
      <c r="J5" s="462">
        <f>tertiair!J16</f>
        <v>0</v>
      </c>
      <c r="K5" s="462">
        <f>tertiair!K16</f>
        <v>0</v>
      </c>
      <c r="L5" s="462">
        <f ca="1">tertiair!L16</f>
        <v>0</v>
      </c>
      <c r="M5" s="462">
        <f>tertiair!M16</f>
        <v>0</v>
      </c>
      <c r="N5" s="462">
        <f ca="1">tertiair!N16</f>
        <v>231.39905761731018</v>
      </c>
      <c r="O5" s="462">
        <f>tertiair!O16</f>
        <v>0</v>
      </c>
      <c r="P5" s="463">
        <f>tertiair!P16</f>
        <v>0</v>
      </c>
      <c r="Q5" s="461">
        <f t="shared" ref="Q5:Q14" ca="1" si="0">SUM(B5:P5)</f>
        <v>5875.2001434999638</v>
      </c>
    </row>
    <row r="6" spans="1:17">
      <c r="A6" s="461" t="s">
        <v>194</v>
      </c>
      <c r="B6" s="462">
        <f>'openbare verlichting'!B8</f>
        <v>441.78699999999998</v>
      </c>
      <c r="C6" s="462"/>
      <c r="D6" s="462"/>
      <c r="E6" s="462"/>
      <c r="F6" s="462"/>
      <c r="G6" s="462"/>
      <c r="H6" s="462"/>
      <c r="I6" s="462"/>
      <c r="J6" s="462"/>
      <c r="K6" s="462"/>
      <c r="L6" s="462"/>
      <c r="M6" s="462"/>
      <c r="N6" s="462"/>
      <c r="O6" s="462"/>
      <c r="P6" s="463"/>
      <c r="Q6" s="461">
        <f t="shared" si="0"/>
        <v>441.78699999999998</v>
      </c>
    </row>
    <row r="7" spans="1:17">
      <c r="A7" s="461" t="s">
        <v>112</v>
      </c>
      <c r="B7" s="462">
        <f>landbouw!B8</f>
        <v>661.81444809289019</v>
      </c>
      <c r="C7" s="462">
        <f>landbouw!C8</f>
        <v>0</v>
      </c>
      <c r="D7" s="462">
        <f>landbouw!D8</f>
        <v>85.237202060768013</v>
      </c>
      <c r="E7" s="462">
        <f>landbouw!E8</f>
        <v>8.3397146363287238</v>
      </c>
      <c r="F7" s="462">
        <f>landbouw!F8</f>
        <v>2283.4256403463423</v>
      </c>
      <c r="G7" s="462">
        <f>landbouw!G8</f>
        <v>0</v>
      </c>
      <c r="H7" s="462">
        <f>landbouw!H8</f>
        <v>0</v>
      </c>
      <c r="I7" s="462">
        <f>landbouw!I8</f>
        <v>0</v>
      </c>
      <c r="J7" s="462">
        <f>landbouw!J8</f>
        <v>99.529369752044673</v>
      </c>
      <c r="K7" s="462">
        <f>landbouw!K8</f>
        <v>0</v>
      </c>
      <c r="L7" s="462">
        <f>landbouw!L8</f>
        <v>0</v>
      </c>
      <c r="M7" s="462">
        <f>landbouw!M8</f>
        <v>0</v>
      </c>
      <c r="N7" s="462">
        <f>landbouw!N8</f>
        <v>0</v>
      </c>
      <c r="O7" s="462">
        <f>landbouw!O8</f>
        <v>0</v>
      </c>
      <c r="P7" s="463">
        <f>landbouw!P8</f>
        <v>0</v>
      </c>
      <c r="Q7" s="461">
        <f t="shared" si="0"/>
        <v>3138.3463748883742</v>
      </c>
    </row>
    <row r="8" spans="1:17">
      <c r="A8" s="461" t="s">
        <v>657</v>
      </c>
      <c r="B8" s="462">
        <f>industrie!B18</f>
        <v>921.95341878278691</v>
      </c>
      <c r="C8" s="462">
        <f>industrie!C18</f>
        <v>0</v>
      </c>
      <c r="D8" s="462">
        <f>industrie!D18</f>
        <v>586.50654877734257</v>
      </c>
      <c r="E8" s="462">
        <f>industrie!E18</f>
        <v>102.60130802074954</v>
      </c>
      <c r="F8" s="462">
        <f>industrie!F18</f>
        <v>575.30039419335105</v>
      </c>
      <c r="G8" s="462">
        <f>industrie!G18</f>
        <v>0</v>
      </c>
      <c r="H8" s="462">
        <f>industrie!H18</f>
        <v>0</v>
      </c>
      <c r="I8" s="462">
        <f>industrie!I18</f>
        <v>0</v>
      </c>
      <c r="J8" s="462">
        <f>industrie!J18</f>
        <v>1.2761804369263223</v>
      </c>
      <c r="K8" s="462">
        <f>industrie!K18</f>
        <v>0</v>
      </c>
      <c r="L8" s="462">
        <f>industrie!L18</f>
        <v>0</v>
      </c>
      <c r="M8" s="462">
        <f>industrie!M18</f>
        <v>0</v>
      </c>
      <c r="N8" s="462">
        <f>industrie!N18</f>
        <v>229.34884239305944</v>
      </c>
      <c r="O8" s="462">
        <f>industrie!O18</f>
        <v>0</v>
      </c>
      <c r="P8" s="463">
        <f>industrie!P18</f>
        <v>0</v>
      </c>
      <c r="Q8" s="461">
        <f t="shared" si="0"/>
        <v>2416.9866926042155</v>
      </c>
    </row>
    <row r="9" spans="1:17" s="467" customFormat="1">
      <c r="A9" s="465" t="s">
        <v>574</v>
      </c>
      <c r="B9" s="466">
        <f>transport!B14</f>
        <v>1.5533856691365917</v>
      </c>
      <c r="C9" s="466">
        <f>transport!C14</f>
        <v>0</v>
      </c>
      <c r="D9" s="466">
        <f>transport!D14</f>
        <v>2.7261640715041424</v>
      </c>
      <c r="E9" s="466">
        <f>transport!E14</f>
        <v>82.645942197626624</v>
      </c>
      <c r="F9" s="466">
        <f>transport!F14</f>
        <v>0</v>
      </c>
      <c r="G9" s="466">
        <f>transport!G14</f>
        <v>20943.445081696402</v>
      </c>
      <c r="H9" s="466">
        <f>transport!H14</f>
        <v>4061.992397129362</v>
      </c>
      <c r="I9" s="466">
        <f>transport!I14</f>
        <v>0</v>
      </c>
      <c r="J9" s="466">
        <f>transport!J14</f>
        <v>0</v>
      </c>
      <c r="K9" s="466">
        <f>transport!K14</f>
        <v>0</v>
      </c>
      <c r="L9" s="466">
        <f>transport!L14</f>
        <v>0</v>
      </c>
      <c r="M9" s="466">
        <f>transport!M14</f>
        <v>1130.5588217429845</v>
      </c>
      <c r="N9" s="466">
        <f>transport!N14</f>
        <v>0</v>
      </c>
      <c r="O9" s="466">
        <f>transport!O14</f>
        <v>0</v>
      </c>
      <c r="P9" s="466">
        <f>transport!P14</f>
        <v>0</v>
      </c>
      <c r="Q9" s="465">
        <f>SUM(B9:P9)</f>
        <v>26222.921792507012</v>
      </c>
    </row>
    <row r="10" spans="1:17">
      <c r="A10" s="461" t="s">
        <v>564</v>
      </c>
      <c r="B10" s="462">
        <f>transport!B54</f>
        <v>0</v>
      </c>
      <c r="C10" s="462">
        <f>transport!C54</f>
        <v>0</v>
      </c>
      <c r="D10" s="462">
        <f>transport!D54</f>
        <v>0</v>
      </c>
      <c r="E10" s="462">
        <f>transport!E54</f>
        <v>0</v>
      </c>
      <c r="F10" s="462">
        <f>transport!F54</f>
        <v>0</v>
      </c>
      <c r="G10" s="462">
        <f>transport!G54</f>
        <v>453.88349043973921</v>
      </c>
      <c r="H10" s="462">
        <f>transport!H54</f>
        <v>0</v>
      </c>
      <c r="I10" s="462">
        <f>transport!I54</f>
        <v>0</v>
      </c>
      <c r="J10" s="462">
        <f>transport!J54</f>
        <v>0</v>
      </c>
      <c r="K10" s="462">
        <f>transport!K54</f>
        <v>0</v>
      </c>
      <c r="L10" s="462">
        <f>transport!L54</f>
        <v>0</v>
      </c>
      <c r="M10" s="462">
        <f>transport!M54</f>
        <v>20.185308980918347</v>
      </c>
      <c r="N10" s="462">
        <f>transport!N54</f>
        <v>0</v>
      </c>
      <c r="O10" s="462">
        <f>transport!O54</f>
        <v>0</v>
      </c>
      <c r="P10" s="463">
        <f>transport!P54</f>
        <v>0</v>
      </c>
      <c r="Q10" s="461">
        <f t="shared" si="0"/>
        <v>474.06879942065757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357.81786171406196</v>
      </c>
      <c r="C14" s="469"/>
      <c r="D14" s="469">
        <f>'SEAP template'!E25</f>
        <v>417.51402277721695</v>
      </c>
      <c r="E14" s="469"/>
      <c r="F14" s="469"/>
      <c r="G14" s="469"/>
      <c r="H14" s="469"/>
      <c r="I14" s="469"/>
      <c r="J14" s="469"/>
      <c r="K14" s="469"/>
      <c r="L14" s="469"/>
      <c r="M14" s="469"/>
      <c r="N14" s="469"/>
      <c r="O14" s="469"/>
      <c r="P14" s="470"/>
      <c r="Q14" s="461">
        <f t="shared" si="0"/>
        <v>775.33188449127897</v>
      </c>
    </row>
    <row r="15" spans="1:17" s="474" customFormat="1">
      <c r="A15" s="471" t="s">
        <v>568</v>
      </c>
      <c r="B15" s="472">
        <f ca="1">SUM(B4:B14)</f>
        <v>18744.457689719824</v>
      </c>
      <c r="C15" s="472">
        <f t="shared" ref="C15:Q15" ca="1" si="1">SUM(C4:C14)</f>
        <v>0</v>
      </c>
      <c r="D15" s="472">
        <f t="shared" ca="1" si="1"/>
        <v>16616.16411925845</v>
      </c>
      <c r="E15" s="472">
        <f t="shared" si="1"/>
        <v>1853.1428820474796</v>
      </c>
      <c r="F15" s="472">
        <f t="shared" ca="1" si="1"/>
        <v>32450.7548595029</v>
      </c>
      <c r="G15" s="472">
        <f t="shared" si="1"/>
        <v>21397.328572136143</v>
      </c>
      <c r="H15" s="472">
        <f t="shared" si="1"/>
        <v>4061.992397129362</v>
      </c>
      <c r="I15" s="472">
        <f t="shared" si="1"/>
        <v>0</v>
      </c>
      <c r="J15" s="472">
        <f t="shared" si="1"/>
        <v>6162.5836579880843</v>
      </c>
      <c r="K15" s="472">
        <f t="shared" si="1"/>
        <v>0</v>
      </c>
      <c r="L15" s="472">
        <f t="shared" ca="1" si="1"/>
        <v>0</v>
      </c>
      <c r="M15" s="472">
        <f t="shared" si="1"/>
        <v>1150.7441307239028</v>
      </c>
      <c r="N15" s="472">
        <f t="shared" ca="1" si="1"/>
        <v>5966.2680674663234</v>
      </c>
      <c r="O15" s="472">
        <f t="shared" si="1"/>
        <v>78.166666666666671</v>
      </c>
      <c r="P15" s="472">
        <f t="shared" si="1"/>
        <v>286</v>
      </c>
      <c r="Q15" s="472">
        <f t="shared" ca="1" si="1"/>
        <v>108767.60304263912</v>
      </c>
    </row>
    <row r="17" spans="1:17">
      <c r="A17" s="475" t="s">
        <v>569</v>
      </c>
      <c r="B17" s="781">
        <f ca="1">huishoudens!B10</f>
        <v>0.20620808744698638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2773.9859314055875</v>
      </c>
      <c r="C22" s="462">
        <f t="shared" ref="C22:C32" ca="1" si="3">C4*$C$17</f>
        <v>0</v>
      </c>
      <c r="D22" s="462">
        <f t="shared" ref="D22:D32" si="4">D4*$D$17</f>
        <v>2717.9504787228038</v>
      </c>
      <c r="E22" s="462">
        <f t="shared" ref="E22:E32" si="5">E4*$E$17</f>
        <v>364.37333731908365</v>
      </c>
      <c r="F22" s="462">
        <f t="shared" ref="F22:F32" si="6">F4*$F$17</f>
        <v>7737.3299057173381</v>
      </c>
      <c r="G22" s="462">
        <f t="shared" ref="G22:G32" si="7">G4*$G$17</f>
        <v>0</v>
      </c>
      <c r="H22" s="462">
        <f t="shared" ref="H22:H32" si="8">H4*$H$17</f>
        <v>0</v>
      </c>
      <c r="I22" s="462">
        <f t="shared" ref="I22:I32" si="9">I4*$I$17</f>
        <v>0</v>
      </c>
      <c r="J22" s="462">
        <f t="shared" ref="J22:J32" si="10">J4*$J$17</f>
        <v>2145.8694501608861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15739.509103325699</v>
      </c>
    </row>
    <row r="23" spans="1:17">
      <c r="A23" s="461" t="s">
        <v>156</v>
      </c>
      <c r="B23" s="462">
        <f t="shared" ca="1" si="2"/>
        <v>599.48178629879862</v>
      </c>
      <c r="C23" s="462">
        <f t="shared" ca="1" si="3"/>
        <v>0</v>
      </c>
      <c r="D23" s="462">
        <f t="shared" ca="1" si="4"/>
        <v>417.93391795466368</v>
      </c>
      <c r="E23" s="462">
        <f t="shared" si="5"/>
        <v>12.345855883676196</v>
      </c>
      <c r="F23" s="462">
        <f t="shared" ca="1" si="6"/>
        <v>163.74179054783801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1193.5033506849766</v>
      </c>
    </row>
    <row r="24" spans="1:17">
      <c r="A24" s="461" t="s">
        <v>194</v>
      </c>
      <c r="B24" s="462">
        <f t="shared" ca="1" si="2"/>
        <v>91.100052328941771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91.100052328941771</v>
      </c>
    </row>
    <row r="25" spans="1:17">
      <c r="A25" s="461" t="s">
        <v>112</v>
      </c>
      <c r="B25" s="462">
        <f t="shared" ca="1" si="2"/>
        <v>136.47149158601772</v>
      </c>
      <c r="C25" s="462">
        <f t="shared" ca="1" si="3"/>
        <v>0</v>
      </c>
      <c r="D25" s="462">
        <f t="shared" si="4"/>
        <v>17.21791481627514</v>
      </c>
      <c r="E25" s="462">
        <f t="shared" si="5"/>
        <v>1.8931152224466203</v>
      </c>
      <c r="F25" s="462">
        <f t="shared" si="6"/>
        <v>609.6746459724734</v>
      </c>
      <c r="G25" s="462">
        <f t="shared" si="7"/>
        <v>0</v>
      </c>
      <c r="H25" s="462">
        <f t="shared" si="8"/>
        <v>0</v>
      </c>
      <c r="I25" s="462">
        <f t="shared" si="9"/>
        <v>0</v>
      </c>
      <c r="J25" s="462">
        <f t="shared" si="10"/>
        <v>35.233396892223816</v>
      </c>
      <c r="K25" s="462">
        <f t="shared" si="11"/>
        <v>0</v>
      </c>
      <c r="L25" s="462">
        <f t="shared" si="12"/>
        <v>0</v>
      </c>
      <c r="M25" s="462">
        <f t="shared" si="13"/>
        <v>0</v>
      </c>
      <c r="N25" s="462">
        <f t="shared" si="14"/>
        <v>0</v>
      </c>
      <c r="O25" s="462">
        <f t="shared" si="15"/>
        <v>0</v>
      </c>
      <c r="P25" s="463">
        <f t="shared" si="16"/>
        <v>0</v>
      </c>
      <c r="Q25" s="461">
        <f t="shared" ca="1" si="17"/>
        <v>800.49056448943668</v>
      </c>
    </row>
    <row r="26" spans="1:17">
      <c r="A26" s="461" t="s">
        <v>657</v>
      </c>
      <c r="B26" s="462">
        <f t="shared" ca="1" si="2"/>
        <v>190.11425120240898</v>
      </c>
      <c r="C26" s="462">
        <f t="shared" ca="1" si="3"/>
        <v>0</v>
      </c>
      <c r="D26" s="462">
        <f t="shared" si="4"/>
        <v>118.47432285302321</v>
      </c>
      <c r="E26" s="462">
        <f t="shared" si="5"/>
        <v>23.290496920710147</v>
      </c>
      <c r="F26" s="462">
        <f t="shared" si="6"/>
        <v>153.60520524962473</v>
      </c>
      <c r="G26" s="462">
        <f t="shared" si="7"/>
        <v>0</v>
      </c>
      <c r="H26" s="462">
        <f t="shared" si="8"/>
        <v>0</v>
      </c>
      <c r="I26" s="462">
        <f t="shared" si="9"/>
        <v>0</v>
      </c>
      <c r="J26" s="462">
        <f t="shared" si="10"/>
        <v>0.45176787467191809</v>
      </c>
      <c r="K26" s="462">
        <f t="shared" si="11"/>
        <v>0</v>
      </c>
      <c r="L26" s="462">
        <f t="shared" si="12"/>
        <v>0</v>
      </c>
      <c r="M26" s="462">
        <f t="shared" si="13"/>
        <v>0</v>
      </c>
      <c r="N26" s="462">
        <f t="shared" si="14"/>
        <v>0</v>
      </c>
      <c r="O26" s="462">
        <f t="shared" si="15"/>
        <v>0</v>
      </c>
      <c r="P26" s="463">
        <f t="shared" si="16"/>
        <v>0</v>
      </c>
      <c r="Q26" s="461">
        <f t="shared" ca="1" si="17"/>
        <v>485.93604410043901</v>
      </c>
    </row>
    <row r="27" spans="1:17" s="467" customFormat="1">
      <c r="A27" s="465" t="s">
        <v>574</v>
      </c>
      <c r="B27" s="775">
        <f t="shared" ca="1" si="2"/>
        <v>0.32032068790021373</v>
      </c>
      <c r="C27" s="466">
        <f t="shared" ca="1" si="3"/>
        <v>0</v>
      </c>
      <c r="D27" s="466">
        <f t="shared" si="4"/>
        <v>0.55068514244383682</v>
      </c>
      <c r="E27" s="466">
        <f t="shared" si="5"/>
        <v>18.760628878861244</v>
      </c>
      <c r="F27" s="466">
        <f t="shared" si="6"/>
        <v>0</v>
      </c>
      <c r="G27" s="466">
        <f t="shared" si="7"/>
        <v>5591.8998368129396</v>
      </c>
      <c r="H27" s="466">
        <f t="shared" si="8"/>
        <v>1011.4361068852111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6622.9675784073561</v>
      </c>
    </row>
    <row r="28" spans="1:17">
      <c r="A28" s="461" t="s">
        <v>564</v>
      </c>
      <c r="B28" s="462">
        <f t="shared" ca="1" si="2"/>
        <v>0</v>
      </c>
      <c r="C28" s="462">
        <f t="shared" ca="1" si="3"/>
        <v>0</v>
      </c>
      <c r="D28" s="462">
        <f t="shared" si="4"/>
        <v>0</v>
      </c>
      <c r="E28" s="462">
        <f t="shared" si="5"/>
        <v>0</v>
      </c>
      <c r="F28" s="462">
        <f t="shared" si="6"/>
        <v>0</v>
      </c>
      <c r="G28" s="462">
        <f t="shared" si="7"/>
        <v>121.18689194741037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121.18689194741037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73.784936918426965</v>
      </c>
      <c r="C32" s="462">
        <f t="shared" ca="1" si="3"/>
        <v>0</v>
      </c>
      <c r="D32" s="462">
        <f t="shared" si="4"/>
        <v>84.337832600997828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158.12276951942479</v>
      </c>
    </row>
    <row r="33" spans="1:17" s="474" customFormat="1">
      <c r="A33" s="471" t="s">
        <v>568</v>
      </c>
      <c r="B33" s="472">
        <f ca="1">SUM(B22:B32)</f>
        <v>3865.2587704280813</v>
      </c>
      <c r="C33" s="472">
        <f t="shared" ref="C33:Q33" ca="1" si="18">SUM(C22:C32)</f>
        <v>0</v>
      </c>
      <c r="D33" s="472">
        <f t="shared" ca="1" si="18"/>
        <v>3356.4651520902075</v>
      </c>
      <c r="E33" s="472">
        <f t="shared" si="18"/>
        <v>420.66343422477792</v>
      </c>
      <c r="F33" s="472">
        <f t="shared" ca="1" si="18"/>
        <v>8664.3515474872747</v>
      </c>
      <c r="G33" s="472">
        <f t="shared" si="18"/>
        <v>5713.0867287603496</v>
      </c>
      <c r="H33" s="472">
        <f t="shared" si="18"/>
        <v>1011.4361068852111</v>
      </c>
      <c r="I33" s="472">
        <f t="shared" si="18"/>
        <v>0</v>
      </c>
      <c r="J33" s="472">
        <f t="shared" si="18"/>
        <v>2181.554614927782</v>
      </c>
      <c r="K33" s="472">
        <f t="shared" si="18"/>
        <v>0</v>
      </c>
      <c r="L33" s="472">
        <f t="shared" ca="1" si="18"/>
        <v>0</v>
      </c>
      <c r="M33" s="472">
        <f t="shared" si="18"/>
        <v>0</v>
      </c>
      <c r="N33" s="472">
        <f t="shared" ca="1" si="18"/>
        <v>0</v>
      </c>
      <c r="O33" s="472">
        <f t="shared" si="18"/>
        <v>0</v>
      </c>
      <c r="P33" s="472">
        <f t="shared" si="18"/>
        <v>0</v>
      </c>
      <c r="Q33" s="472">
        <f t="shared" ca="1" si="18"/>
        <v>25212.816354803683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1254.5989999999999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1254.5989999999999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0.20620808744698638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0.20620808744698638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2019-08-12T08:04:26Z</dcterms:modified>
</cp:coreProperties>
</file>