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K22" i="18" l="1"/>
  <c r="J22"/>
  <c r="I22"/>
  <c r="H22"/>
  <c r="K12"/>
  <c r="J12"/>
  <c r="I12"/>
  <c r="H12"/>
  <c r="L19"/>
  <c r="L20" s="1"/>
  <c r="K19"/>
  <c r="K20" s="1"/>
  <c r="J19"/>
  <c r="I19"/>
  <c r="H19"/>
  <c r="G19"/>
  <c r="F19"/>
  <c r="E19"/>
  <c r="D19"/>
  <c r="C19"/>
  <c r="B19"/>
  <c r="N18"/>
  <c r="M18"/>
  <c r="L18"/>
  <c r="K18"/>
  <c r="J18"/>
  <c r="I18"/>
  <c r="H18"/>
  <c r="G18"/>
  <c r="G20" s="1"/>
  <c r="F18"/>
  <c r="F20" s="1"/>
  <c r="E18"/>
  <c r="D18"/>
  <c r="C18"/>
  <c r="B18"/>
  <c r="L9"/>
  <c r="L10" s="1"/>
  <c r="K9"/>
  <c r="K10" s="1"/>
  <c r="G9"/>
  <c r="F9"/>
  <c r="D9"/>
  <c r="D10" s="1"/>
  <c r="C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E9" s="1"/>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C98" s="1"/>
  <c r="M58"/>
  <c r="G22"/>
  <c r="F22"/>
  <c r="E22"/>
  <c r="O18" s="1"/>
  <c r="D22"/>
  <c r="C22"/>
  <c r="D20"/>
  <c r="B17"/>
  <c r="G12"/>
  <c r="F12"/>
  <c r="E12"/>
  <c r="D12"/>
  <c r="C12"/>
  <c r="G10"/>
  <c r="F10"/>
  <c r="B8"/>
  <c r="B6"/>
  <c r="B5"/>
  <c r="B4"/>
  <c r="O9" l="1"/>
  <c r="I102"/>
  <c r="H17" s="1"/>
  <c r="H20" s="1"/>
  <c r="C102"/>
  <c r="G102"/>
  <c r="I17" s="1"/>
  <c r="I20" s="1"/>
  <c r="B102"/>
  <c r="C17" s="1"/>
  <c r="C20" s="1"/>
  <c r="F102"/>
  <c r="I101"/>
  <c r="H8" s="1"/>
  <c r="H10" s="1"/>
  <c r="H101"/>
  <c r="C101"/>
  <c r="B101"/>
  <c r="C8" s="1"/>
  <c r="C10" s="1"/>
  <c r="D101"/>
  <c r="F101"/>
  <c r="G101"/>
  <c r="B10"/>
  <c r="B20"/>
  <c r="O19"/>
  <c r="D102"/>
  <c r="H102"/>
  <c r="E101"/>
  <c r="E8" s="1"/>
  <c r="E10" s="1"/>
  <c r="E102"/>
  <c r="E17" s="1"/>
  <c r="E20" s="1"/>
  <c r="N6" i="17"/>
  <c r="I8" i="18" l="1"/>
  <c r="I10" s="1"/>
  <c r="J8"/>
  <c r="J10" s="1"/>
  <c r="J17"/>
  <c r="J20" s="1"/>
  <c r="L6" i="17"/>
  <c r="F6"/>
  <c r="D6"/>
  <c r="C6"/>
  <c r="N16" i="16"/>
  <c r="L16"/>
  <c r="F16"/>
  <c r="D16"/>
  <c r="C16"/>
  <c r="B16"/>
  <c r="B13" i="15"/>
  <c r="O8" i="18" l="1"/>
  <c r="O10" s="1"/>
  <c r="O17"/>
  <c r="O20" s="1"/>
  <c r="J89" i="14"/>
  <c r="J19" i="59" s="1"/>
  <c r="I89" i="14"/>
  <c r="I19" i="59" s="1"/>
  <c r="F89" i="14"/>
  <c r="F19" i="59" s="1"/>
  <c r="J88" i="14"/>
  <c r="J18" i="59" s="1"/>
  <c r="H88" i="14"/>
  <c r="H18" i="59" s="1"/>
  <c r="J77" i="14"/>
  <c r="J9" i="59" s="1"/>
  <c r="M77" i="14"/>
  <c r="M9" i="59" s="1"/>
  <c r="I77" i="14"/>
  <c r="I9" i="59" s="1"/>
  <c r="F13" i="15"/>
  <c r="D13"/>
  <c r="C13"/>
  <c r="D88" i="14"/>
  <c r="D18" i="59" s="1"/>
  <c r="E77" i="14"/>
  <c r="E9" i="59" s="1"/>
  <c r="D77" i="14"/>
  <c r="D9" i="59" s="1"/>
  <c r="D5" i="17"/>
  <c r="B19" i="6"/>
  <c r="B18"/>
  <c r="B5"/>
  <c r="C29" i="14" s="1"/>
  <c r="B6" i="6"/>
  <c r="P7" i="48"/>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O17"/>
  <c r="O32" s="1"/>
  <c r="M4"/>
  <c r="L4"/>
  <c r="K4"/>
  <c r="I4"/>
  <c r="H4"/>
  <c r="G4"/>
  <c r="P11"/>
  <c r="P29" s="1"/>
  <c r="O11"/>
  <c r="N11"/>
  <c r="M11"/>
  <c r="L11"/>
  <c r="K11"/>
  <c r="J11"/>
  <c r="I11"/>
  <c r="H11"/>
  <c r="G11"/>
  <c r="F11"/>
  <c r="E11"/>
  <c r="Q11" s="1"/>
  <c r="D11"/>
  <c r="C11"/>
  <c r="B11"/>
  <c r="P32"/>
  <c r="Q12"/>
  <c r="P28"/>
  <c r="P27"/>
  <c r="P25"/>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c r="O17" i="59" s="1"/>
  <c r="N87" i="14"/>
  <c r="N17" i="59" s="1"/>
  <c r="L87" i="14"/>
  <c r="L17" i="59" s="1"/>
  <c r="K87" i="14"/>
  <c r="K17" i="59" s="1"/>
  <c r="H87" i="14"/>
  <c r="H17" i="59" s="1"/>
  <c r="H20" s="1"/>
  <c r="G87" i="14"/>
  <c r="G17" i="59" s="1"/>
  <c r="E87" i="14"/>
  <c r="E17" i="59" s="1"/>
  <c r="O77" i="14"/>
  <c r="O9" i="59" s="1"/>
  <c r="N77" i="14"/>
  <c r="N9" i="59" s="1"/>
  <c r="L77" i="14"/>
  <c r="K77"/>
  <c r="K9" i="59" s="1"/>
  <c r="G77" i="14"/>
  <c r="G9" i="59" s="1"/>
  <c r="O76" i="14"/>
  <c r="O8" i="59" s="1"/>
  <c r="O10" s="1"/>
  <c r="N76" i="14"/>
  <c r="N8" i="59" s="1"/>
  <c r="N10" s="1"/>
  <c r="L76" i="14"/>
  <c r="L8" i="59" s="1"/>
  <c r="K76" i="14"/>
  <c r="H76"/>
  <c r="H8" i="59" s="1"/>
  <c r="G76" i="14"/>
  <c r="G8" i="59" s="1"/>
  <c r="G10" s="1"/>
  <c r="E76" i="14"/>
  <c r="E8" i="59" s="1"/>
  <c r="B75" i="14"/>
  <c r="B7" i="59" s="1"/>
  <c r="B74" i="14"/>
  <c r="B6" i="59" s="1"/>
  <c r="B73" i="14"/>
  <c r="B5" i="59" s="1"/>
  <c r="B72" i="14"/>
  <c r="B4" i="59" s="1"/>
  <c r="C64" i="14"/>
  <c r="Q54"/>
  <c r="P54"/>
  <c r="P56" s="1"/>
  <c r="L54"/>
  <c r="J54"/>
  <c r="I54"/>
  <c r="H54"/>
  <c r="H56" s="1"/>
  <c r="Q24"/>
  <c r="Q26" s="1"/>
  <c r="P24"/>
  <c r="P26" s="1"/>
  <c r="N24"/>
  <c r="N26" s="1"/>
  <c r="L24"/>
  <c r="J24"/>
  <c r="I24"/>
  <c r="H24"/>
  <c r="Q50"/>
  <c r="P50"/>
  <c r="O50"/>
  <c r="M50"/>
  <c r="L50"/>
  <c r="K50"/>
  <c r="J50"/>
  <c r="G50"/>
  <c r="D50"/>
  <c r="Q49"/>
  <c r="Q52" s="1"/>
  <c r="P49"/>
  <c r="Q20"/>
  <c r="P20"/>
  <c r="O20"/>
  <c r="M20"/>
  <c r="L20"/>
  <c r="K20"/>
  <c r="J20"/>
  <c r="G20"/>
  <c r="D20"/>
  <c r="Q19"/>
  <c r="P19"/>
  <c r="O19"/>
  <c r="M19"/>
  <c r="L19"/>
  <c r="K19"/>
  <c r="K22" s="1"/>
  <c r="J19"/>
  <c r="I19"/>
  <c r="G19"/>
  <c r="F19"/>
  <c r="E19"/>
  <c r="D19"/>
  <c r="Q48"/>
  <c r="P48"/>
  <c r="P52" s="1"/>
  <c r="O48"/>
  <c r="M48"/>
  <c r="L48"/>
  <c r="K48"/>
  <c r="J48"/>
  <c r="G48"/>
  <c r="D48"/>
  <c r="Q18"/>
  <c r="Q22" s="1"/>
  <c r="P18"/>
  <c r="O18"/>
  <c r="M18"/>
  <c r="L18"/>
  <c r="K18"/>
  <c r="J18"/>
  <c r="J22" s="1"/>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L56"/>
  <c r="J56"/>
  <c r="Q56"/>
  <c r="I56"/>
  <c r="R44"/>
  <c r="I26"/>
  <c r="E25"/>
  <c r="E55" s="1"/>
  <c r="C25"/>
  <c r="B14" i="48" s="1"/>
  <c r="L26" i="14"/>
  <c r="J26"/>
  <c r="H26"/>
  <c r="L78" l="1"/>
  <c r="L9" i="59"/>
  <c r="M22" i="14"/>
  <c r="K78"/>
  <c r="K8" i="59"/>
  <c r="K10" s="1"/>
  <c r="E90" i="14"/>
  <c r="E18" i="59"/>
  <c r="E20" s="1"/>
  <c r="O28" i="48"/>
  <c r="D22" i="14"/>
  <c r="L22"/>
  <c r="K20" i="59"/>
  <c r="L20"/>
  <c r="D14" i="48"/>
  <c r="L10" i="59"/>
  <c r="E10"/>
  <c r="G22" i="14"/>
  <c r="O22"/>
  <c r="P22"/>
  <c r="O25" i="48"/>
  <c r="N78" i="14"/>
  <c r="K90"/>
  <c r="L90"/>
  <c r="H90"/>
  <c r="L13" i="15"/>
  <c r="N13"/>
  <c r="F77" i="14"/>
  <c r="O78"/>
  <c r="N88"/>
  <c r="E78"/>
  <c r="H77"/>
  <c r="H9" i="59" s="1"/>
  <c r="H10" s="1"/>
  <c r="O88" i="14"/>
  <c r="G89"/>
  <c r="G78"/>
  <c r="O31" i="48"/>
  <c r="O27"/>
  <c r="O29"/>
  <c r="P31"/>
  <c r="O24"/>
  <c r="O30"/>
  <c r="P24"/>
  <c r="P30"/>
  <c r="R9" i="14"/>
  <c r="R25"/>
  <c r="B77" l="1"/>
  <c r="B9" i="59" s="1"/>
  <c r="F9"/>
  <c r="O90" i="14"/>
  <c r="O18" i="59"/>
  <c r="O20" s="1"/>
  <c r="C89" i="14"/>
  <c r="C19" i="59" s="1"/>
  <c r="G19"/>
  <c r="G20" s="1"/>
  <c r="N90" i="14"/>
  <c r="N18" i="59"/>
  <c r="N20" s="1"/>
  <c r="Q14" i="48"/>
  <c r="Q89" i="14"/>
  <c r="P19" i="59" s="1"/>
  <c r="G90" i="14"/>
  <c r="C77"/>
  <c r="C9" i="59" s="1"/>
  <c r="Q88" i="14"/>
  <c r="P18" i="59" s="1"/>
  <c r="H78" i="14"/>
  <c r="Q77"/>
  <c r="P9" i="59" s="1"/>
  <c r="B88" i="14"/>
  <c r="B18" i="59" s="1"/>
  <c r="I87" i="14"/>
  <c r="I17" i="59" s="1"/>
  <c r="I20" s="1"/>
  <c r="F87" i="14"/>
  <c r="F76"/>
  <c r="B89"/>
  <c r="B19" i="59" s="1"/>
  <c r="D87" i="14"/>
  <c r="D17" i="59" s="1"/>
  <c r="D20" s="1"/>
  <c r="I76" i="14"/>
  <c r="I8" i="59" s="1"/>
  <c r="I10" s="1"/>
  <c r="M87" i="14"/>
  <c r="M76"/>
  <c r="D76"/>
  <c r="D8" i="59" s="1"/>
  <c r="D10" s="1"/>
  <c r="C88" i="14"/>
  <c r="C18" i="59" s="1"/>
  <c r="M90" i="14" l="1"/>
  <c r="M17" i="59"/>
  <c r="M20" s="1"/>
  <c r="M78" i="14"/>
  <c r="M8" i="59"/>
  <c r="M10" s="1"/>
  <c r="F90" i="14"/>
  <c r="F17" i="59"/>
  <c r="F20" s="1"/>
  <c r="F78" i="14"/>
  <c r="F8" i="59"/>
  <c r="F10" s="1"/>
  <c r="I78" i="14"/>
  <c r="J76"/>
  <c r="J87"/>
  <c r="Q87"/>
  <c r="D90"/>
  <c r="Q76"/>
  <c r="D78"/>
  <c r="I90"/>
  <c r="J90" l="1"/>
  <c r="J17" i="59"/>
  <c r="J20" s="1"/>
  <c r="J78" i="14"/>
  <c r="J8" i="59"/>
  <c r="J10" s="1"/>
  <c r="Q90" i="14"/>
  <c r="B17" i="6" s="1"/>
  <c r="P17" i="59"/>
  <c r="P20" s="1"/>
  <c r="Q78" i="14"/>
  <c r="B9" i="6" s="1"/>
  <c r="P8" i="59"/>
  <c r="P10" s="1"/>
  <c r="B87" i="14"/>
  <c r="C76"/>
  <c r="B76"/>
  <c r="C87"/>
  <c r="B90" l="1"/>
  <c r="B17" i="59"/>
  <c r="B20" s="1"/>
  <c r="C78" i="14"/>
  <c r="C8" i="59"/>
  <c r="C10" s="1"/>
  <c r="B78" i="14"/>
  <c r="B8" i="59"/>
  <c r="B10" s="1"/>
  <c r="C90" i="14"/>
  <c r="C17" i="59"/>
  <c r="C20" s="1"/>
  <c r="C42" i="22"/>
  <c r="B4" i="6" l="1"/>
  <c r="H14" i="15"/>
  <c r="H16" s="1"/>
  <c r="G14"/>
  <c r="G16" s="1"/>
  <c r="I10" i="14" l="1"/>
  <c r="I16" s="1"/>
  <c r="H5" i="48"/>
  <c r="H10" i="14"/>
  <c r="H16" s="1"/>
  <c r="G5" i="48"/>
  <c r="A32" i="23"/>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M5" i="48" l="1"/>
  <c r="N10" i="14"/>
  <c r="N16" s="1"/>
  <c r="E35" i="50"/>
  <c r="E34" s="1"/>
  <c r="E33"/>
  <c r="E32" s="1"/>
  <c r="E31"/>
  <c r="E30" s="1"/>
  <c r="E29"/>
  <c r="E28" s="1"/>
  <c r="E77" i="22" l="1"/>
  <c r="B28" i="17" l="1"/>
  <c r="B27"/>
  <c r="B26"/>
  <c r="B31" i="19" l="1"/>
  <c r="B24"/>
  <c r="B46" i="15" l="1"/>
  <c r="B69" i="13"/>
  <c r="B35" i="19" l="1"/>
  <c r="B26"/>
  <c r="B27" s="1"/>
  <c r="B6" i="13" l="1"/>
  <c r="B17" i="17" l="1"/>
  <c r="B34" l="1"/>
  <c r="B18" i="13" l="1"/>
  <c r="B19"/>
  <c r="B20"/>
  <c r="B21"/>
  <c r="B6" i="16" l="1"/>
  <c r="L5" i="17" l="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E32" i="48" l="1"/>
  <c r="E28"/>
  <c r="E24"/>
  <c r="E31"/>
  <c r="E29"/>
  <c r="E30"/>
  <c r="M26"/>
  <c r="M32"/>
  <c r="M22"/>
  <c r="M29"/>
  <c r="M24"/>
  <c r="M25"/>
  <c r="M30"/>
  <c r="M23"/>
  <c r="K5"/>
  <c r="L10" i="14"/>
  <c r="L16" s="1"/>
  <c r="L27" s="1"/>
  <c r="D30" i="48"/>
  <c r="D28"/>
  <c r="D31"/>
  <c r="D24"/>
  <c r="D29"/>
  <c r="D32"/>
  <c r="L32"/>
  <c r="L28"/>
  <c r="L29"/>
  <c r="L30"/>
  <c r="L24"/>
  <c r="L22"/>
  <c r="L27"/>
  <c r="L31"/>
  <c r="P5"/>
  <c r="P23" s="1"/>
  <c r="Q10" i="14"/>
  <c r="K32" i="48"/>
  <c r="K28"/>
  <c r="K26"/>
  <c r="K24"/>
  <c r="K25"/>
  <c r="K29"/>
  <c r="K27"/>
  <c r="K22"/>
  <c r="K31"/>
  <c r="K30"/>
  <c r="B7"/>
  <c r="C24" i="14"/>
  <c r="C26" s="1"/>
  <c r="J29" i="48"/>
  <c r="J31"/>
  <c r="J32"/>
  <c r="J28"/>
  <c r="J24"/>
  <c r="J30"/>
  <c r="J27"/>
  <c r="P4"/>
  <c r="Q11" i="14"/>
  <c r="O4" i="48"/>
  <c r="P11" i="14"/>
  <c r="I28" i="48"/>
  <c r="I29"/>
  <c r="I31"/>
  <c r="I26"/>
  <c r="I32"/>
  <c r="I25"/>
  <c r="I27"/>
  <c r="I30"/>
  <c r="I22"/>
  <c r="I24"/>
  <c r="E11" i="14"/>
  <c r="D4" i="48"/>
  <c r="D22" s="1"/>
  <c r="H29"/>
  <c r="H26"/>
  <c r="H32"/>
  <c r="H25"/>
  <c r="H28"/>
  <c r="H22"/>
  <c r="H30"/>
  <c r="H24"/>
  <c r="H23"/>
  <c r="D11" i="14"/>
  <c r="C4" i="48"/>
  <c r="G32"/>
  <c r="G26"/>
  <c r="G22"/>
  <c r="G30"/>
  <c r="G25"/>
  <c r="G24"/>
  <c r="G29"/>
  <c r="G23"/>
  <c r="C11" i="14"/>
  <c r="B4" i="48"/>
  <c r="F29"/>
  <c r="F32"/>
  <c r="F30"/>
  <c r="F28"/>
  <c r="F31"/>
  <c r="F27"/>
  <c r="F24"/>
  <c r="N29"/>
  <c r="N32"/>
  <c r="N27"/>
  <c r="N24"/>
  <c r="N28"/>
  <c r="N31"/>
  <c r="N30"/>
  <c r="B10"/>
  <c r="C19" i="14"/>
  <c r="N46"/>
  <c r="D8" i="17"/>
  <c r="D12" s="1"/>
  <c r="E54" i="14" s="1"/>
  <c r="E56" s="1"/>
  <c r="B8" i="9"/>
  <c r="B6" i="48" s="1"/>
  <c r="Q6" s="1"/>
  <c r="C16" i="15"/>
  <c r="I14"/>
  <c r="I16" s="1"/>
  <c r="B13" i="16"/>
  <c r="C35"/>
  <c r="D14" i="15"/>
  <c r="P18" i="16"/>
  <c r="L18"/>
  <c r="L22" s="1"/>
  <c r="M43" i="14" s="1"/>
  <c r="N5" i="17"/>
  <c r="N8" s="1"/>
  <c r="J8"/>
  <c r="F8"/>
  <c r="L16" i="15"/>
  <c r="G6" i="22"/>
  <c r="G9"/>
  <c r="M6"/>
  <c r="M11"/>
  <c r="G11"/>
  <c r="G7"/>
  <c r="G8"/>
  <c r="M8"/>
  <c r="G10"/>
  <c r="M7"/>
  <c r="M10"/>
  <c r="M9"/>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J12" i="17"/>
  <c r="K54" i="14" s="1"/>
  <c r="K56" s="1"/>
  <c r="E5" i="17"/>
  <c r="C8"/>
  <c r="E9" i="48" l="1"/>
  <c r="F20" i="14"/>
  <c r="F22" s="1"/>
  <c r="P22" i="16"/>
  <c r="Q43" i="14" s="1"/>
  <c r="P8" i="48"/>
  <c r="P26" s="1"/>
  <c r="Q13" i="14"/>
  <c r="D9" i="48"/>
  <c r="D27" s="1"/>
  <c r="E20" i="14"/>
  <c r="E22" s="1"/>
  <c r="P22" i="48"/>
  <c r="B9"/>
  <c r="C20" i="14"/>
  <c r="O5" i="48"/>
  <c r="O23" s="1"/>
  <c r="P10" i="14"/>
  <c r="F4" i="48"/>
  <c r="F22" s="1"/>
  <c r="G11" i="14"/>
  <c r="K24"/>
  <c r="K26" s="1"/>
  <c r="J7" i="48"/>
  <c r="J25" s="1"/>
  <c r="O22"/>
  <c r="J10" i="14"/>
  <c r="J16" s="1"/>
  <c r="J27" s="1"/>
  <c r="I5" i="48"/>
  <c r="K23"/>
  <c r="K15"/>
  <c r="M12" i="22"/>
  <c r="N18" i="14"/>
  <c r="M13" i="48"/>
  <c r="M31" s="1"/>
  <c r="C22" i="14"/>
  <c r="G13" i="48"/>
  <c r="H18" i="14"/>
  <c r="R18" s="1"/>
  <c r="H13" i="48"/>
  <c r="H31" s="1"/>
  <c r="I18" i="14"/>
  <c r="L46"/>
  <c r="L61" s="1"/>
  <c r="L63" s="1"/>
  <c r="K33" i="48"/>
  <c r="Q16" i="14"/>
  <c r="Q27" s="1"/>
  <c r="D24"/>
  <c r="D26" s="1"/>
  <c r="C7" i="48"/>
  <c r="C8"/>
  <c r="D13" i="14"/>
  <c r="F7" i="48"/>
  <c r="F25" s="1"/>
  <c r="G24" i="14"/>
  <c r="G26" s="1"/>
  <c r="L8" i="48"/>
  <c r="L26" s="1"/>
  <c r="M13" i="14"/>
  <c r="D7" i="48"/>
  <c r="E24" i="14"/>
  <c r="M10"/>
  <c r="L5" i="48"/>
  <c r="D10" i="14"/>
  <c r="C5" i="48"/>
  <c r="I20" i="15"/>
  <c r="J40" i="14" s="1"/>
  <c r="J46" s="1"/>
  <c r="J61" s="1"/>
  <c r="H12" i="22"/>
  <c r="O18" i="16"/>
  <c r="B36" i="13"/>
  <c r="B48" s="1"/>
  <c r="C48" s="1"/>
  <c r="N5" s="1"/>
  <c r="N8" s="1"/>
  <c r="E8" i="17"/>
  <c r="G31" i="20"/>
  <c r="H48" i="14" s="1"/>
  <c r="G12" i="22"/>
  <c r="L8" i="17"/>
  <c r="D16" i="15"/>
  <c r="B34" i="13"/>
  <c r="B46" s="1"/>
  <c r="E5" s="1"/>
  <c r="E8" s="1"/>
  <c r="B35"/>
  <c r="D18" i="16"/>
  <c r="M51" i="22"/>
  <c r="M50" s="1"/>
  <c r="M54" s="1"/>
  <c r="G51"/>
  <c r="G50" s="1"/>
  <c r="G54" s="1"/>
  <c r="F12" i="17"/>
  <c r="G54" i="14" s="1"/>
  <c r="G56" s="1"/>
  <c r="M31" i="20"/>
  <c r="N48" i="14" s="1"/>
  <c r="H31" i="20"/>
  <c r="I48" i="14" s="1"/>
  <c r="M5" i="22"/>
  <c r="M14" s="1"/>
  <c r="G5"/>
  <c r="G14" s="1"/>
  <c r="H5"/>
  <c r="E5" i="15"/>
  <c r="O20"/>
  <c r="P40" i="14" s="1"/>
  <c r="P20" i="15"/>
  <c r="Q40" i="14" s="1"/>
  <c r="J5" i="15"/>
  <c r="F5"/>
  <c r="F16" s="1"/>
  <c r="B5"/>
  <c r="B16" s="1"/>
  <c r="B5" i="16"/>
  <c r="B18" s="1"/>
  <c r="N5" i="15"/>
  <c r="N16" s="1"/>
  <c r="F12" i="13"/>
  <c r="G41" i="14" s="1"/>
  <c r="F13" i="16"/>
  <c r="E13"/>
  <c r="N13"/>
  <c r="J13"/>
  <c r="B47" i="13"/>
  <c r="N12" i="16"/>
  <c r="J12"/>
  <c r="F12"/>
  <c r="E12"/>
  <c r="C50" i="13"/>
  <c r="J5" s="1"/>
  <c r="J8" s="1"/>
  <c r="N4" i="48" l="1"/>
  <c r="N22" s="1"/>
  <c r="O11" i="14"/>
  <c r="E12" i="13"/>
  <c r="F41" i="14" s="1"/>
  <c r="E4" i="48"/>
  <c r="F11" i="14"/>
  <c r="M9" i="48"/>
  <c r="N20" i="14"/>
  <c r="H20"/>
  <c r="G9" i="48"/>
  <c r="O8"/>
  <c r="P13" i="14"/>
  <c r="P16" s="1"/>
  <c r="P27" s="1"/>
  <c r="N19"/>
  <c r="N22" s="1"/>
  <c r="N27" s="1"/>
  <c r="N63" s="1"/>
  <c r="M10" i="48"/>
  <c r="M28" s="1"/>
  <c r="E7"/>
  <c r="E25" s="1"/>
  <c r="F24" i="14"/>
  <c r="F26" s="1"/>
  <c r="G31" i="48"/>
  <c r="Q13"/>
  <c r="I23"/>
  <c r="I33" s="1"/>
  <c r="I15"/>
  <c r="H19" i="14"/>
  <c r="R19" s="1"/>
  <c r="G10" i="48"/>
  <c r="K11" i="14"/>
  <c r="J4" i="48"/>
  <c r="E27"/>
  <c r="Q46" i="14"/>
  <c r="Q61" s="1"/>
  <c r="Q63" s="1"/>
  <c r="N52"/>
  <c r="N61" s="1"/>
  <c r="P33" i="48"/>
  <c r="J63" i="14"/>
  <c r="P15" i="48"/>
  <c r="N12" i="17"/>
  <c r="O54" i="14" s="1"/>
  <c r="O56" s="1"/>
  <c r="N7" i="48"/>
  <c r="N25" s="1"/>
  <c r="O24" i="14"/>
  <c r="O26" s="1"/>
  <c r="B8" i="48"/>
  <c r="C13" i="14"/>
  <c r="D22" i="16"/>
  <c r="E43" i="14" s="1"/>
  <c r="D8" i="48"/>
  <c r="D26" s="1"/>
  <c r="E13" i="14"/>
  <c r="L12" i="17"/>
  <c r="M54" i="14" s="1"/>
  <c r="M56" s="1"/>
  <c r="M24"/>
  <c r="M26" s="1"/>
  <c r="L7" i="48"/>
  <c r="L25" s="1"/>
  <c r="M16" i="14"/>
  <c r="D16"/>
  <c r="D27" s="1"/>
  <c r="B20" i="6" s="1"/>
  <c r="B22" s="1"/>
  <c r="C22" i="59" s="1"/>
  <c r="E26" i="14"/>
  <c r="D25" i="48"/>
  <c r="C15"/>
  <c r="C10" i="14"/>
  <c r="B5" i="48"/>
  <c r="G10" i="14"/>
  <c r="F5" i="48"/>
  <c r="E10" i="14"/>
  <c r="D5" i="48"/>
  <c r="L23"/>
  <c r="O10" i="14"/>
  <c r="N5" i="48"/>
  <c r="D20" i="15"/>
  <c r="E40" i="14" s="1"/>
  <c r="E46" s="1"/>
  <c r="E61" s="1"/>
  <c r="E12" i="17"/>
  <c r="F54" i="14" s="1"/>
  <c r="F56" s="1"/>
  <c r="H14" i="22"/>
  <c r="E16" i="15"/>
  <c r="O22" i="16"/>
  <c r="P43" i="14" s="1"/>
  <c r="P46" s="1"/>
  <c r="P61" s="1"/>
  <c r="P63" s="1"/>
  <c r="J16" i="15"/>
  <c r="M58" i="22"/>
  <c r="N49" i="14"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M46" s="1"/>
  <c r="H52" l="1"/>
  <c r="H61" s="1"/>
  <c r="O26" i="48"/>
  <c r="O33" s="1"/>
  <c r="O15"/>
  <c r="H9"/>
  <c r="I20" i="14"/>
  <c r="E22" i="48"/>
  <c r="Q4"/>
  <c r="E20" i="15"/>
  <c r="F40" i="14" s="1"/>
  <c r="E5" i="48"/>
  <c r="E23" s="1"/>
  <c r="F10" i="14"/>
  <c r="G28" i="48"/>
  <c r="Q10"/>
  <c r="M27"/>
  <c r="M33" s="1"/>
  <c r="M15"/>
  <c r="K10" i="14"/>
  <c r="J5" i="48"/>
  <c r="J23" s="1"/>
  <c r="J22"/>
  <c r="G27"/>
  <c r="G33" s="1"/>
  <c r="G15"/>
  <c r="R11" i="14"/>
  <c r="H22"/>
  <c r="H27" s="1"/>
  <c r="M61"/>
  <c r="M27"/>
  <c r="E16"/>
  <c r="E27" s="1"/>
  <c r="E63" s="1"/>
  <c r="L15" i="48"/>
  <c r="R24" i="14"/>
  <c r="R26" s="1"/>
  <c r="L33" i="48"/>
  <c r="Q7"/>
  <c r="D23"/>
  <c r="D33" s="1"/>
  <c r="D15"/>
  <c r="C16" i="14"/>
  <c r="C27" s="1"/>
  <c r="B3" i="6" s="1"/>
  <c r="B12" s="1"/>
  <c r="F23" i="48"/>
  <c r="N23"/>
  <c r="B15"/>
  <c r="F18" i="16"/>
  <c r="E18"/>
  <c r="N18"/>
  <c r="N22" s="1"/>
  <c r="O43" i="14" s="1"/>
  <c r="O46" s="1"/>
  <c r="O61" s="1"/>
  <c r="J18" i="16"/>
  <c r="G18" i="22"/>
  <c r="H50" i="14" s="1"/>
  <c r="H18" i="22"/>
  <c r="I50" i="14" s="1"/>
  <c r="I52" s="1"/>
  <c r="I61" s="1"/>
  <c r="C10" i="17"/>
  <c r="C12" s="1"/>
  <c r="D54" i="14" s="1"/>
  <c r="D56" s="1"/>
  <c r="C16" i="22"/>
  <c r="C10" i="13"/>
  <c r="C17" i="48" s="1"/>
  <c r="C18" i="15"/>
  <c r="C20" s="1"/>
  <c r="D40" i="14" s="1"/>
  <c r="C20" i="16"/>
  <c r="C22" s="1"/>
  <c r="D43" i="14" s="1"/>
  <c r="C17" i="19"/>
  <c r="C19" s="1"/>
  <c r="D39" i="14" s="1"/>
  <c r="C29" i="20"/>
  <c r="C17" i="49"/>
  <c r="C56" i="22"/>
  <c r="C58" s="1"/>
  <c r="D49" i="14" s="1"/>
  <c r="D52" s="1"/>
  <c r="E8" i="48" l="1"/>
  <c r="E26" s="1"/>
  <c r="F13" i="14"/>
  <c r="F16" s="1"/>
  <c r="F27" s="1"/>
  <c r="F63" s="1"/>
  <c r="J22" i="16"/>
  <c r="K43" i="14" s="1"/>
  <c r="K46" s="1"/>
  <c r="K61" s="1"/>
  <c r="K13"/>
  <c r="K16" s="1"/>
  <c r="K27" s="1"/>
  <c r="J8" i="48"/>
  <c r="J26" s="1"/>
  <c r="H27"/>
  <c r="H33" s="1"/>
  <c r="H15"/>
  <c r="Q9"/>
  <c r="R20" i="14"/>
  <c r="R22" s="1"/>
  <c r="I22"/>
  <c r="I27" s="1"/>
  <c r="I63" s="1"/>
  <c r="F46"/>
  <c r="F61" s="1"/>
  <c r="J15" i="48"/>
  <c r="J33"/>
  <c r="E22" i="16"/>
  <c r="F43" i="14" s="1"/>
  <c r="Q5" i="48"/>
  <c r="E33"/>
  <c r="E15"/>
  <c r="R10" i="14"/>
  <c r="H63"/>
  <c r="C55"/>
  <c r="R55" s="1"/>
  <c r="C12" i="59"/>
  <c r="M63" i="14"/>
  <c r="N8" i="48"/>
  <c r="O13" i="14"/>
  <c r="O16" s="1"/>
  <c r="O27" s="1"/>
  <c r="O63" s="1"/>
  <c r="G13"/>
  <c r="F8" i="48"/>
  <c r="C32"/>
  <c r="C27"/>
  <c r="C31"/>
  <c r="C26"/>
  <c r="C22"/>
  <c r="C24"/>
  <c r="C25"/>
  <c r="C28"/>
  <c r="C30"/>
  <c r="C29"/>
  <c r="C23"/>
  <c r="F22" i="16"/>
  <c r="G43" i="14" s="1"/>
  <c r="G46" s="1"/>
  <c r="G61" s="1"/>
  <c r="C12" i="13"/>
  <c r="D41" i="14" s="1"/>
  <c r="D46" s="1"/>
  <c r="D61" s="1"/>
  <c r="D63" s="1"/>
  <c r="K63" l="1"/>
  <c r="G16"/>
  <c r="G27" s="1"/>
  <c r="G63" s="1"/>
  <c r="R13"/>
  <c r="R16" s="1"/>
  <c r="R27" s="1"/>
  <c r="F26" i="48"/>
  <c r="F33" s="1"/>
  <c r="Q8"/>
  <c r="Q15" s="1"/>
  <c r="F15"/>
  <c r="N26"/>
  <c r="N33" s="1"/>
  <c r="N15"/>
  <c r="C33"/>
  <c r="B10" i="9"/>
  <c r="B12" s="1"/>
  <c r="B29" i="20"/>
  <c r="B31" s="1"/>
  <c r="C48" i="14" s="1"/>
  <c r="B20" i="16"/>
  <c r="B22" s="1"/>
  <c r="C43" i="14" s="1"/>
  <c r="R43" s="1"/>
  <c r="B18" i="15"/>
  <c r="B20" s="1"/>
  <c r="B10" i="17"/>
  <c r="B12" s="1"/>
  <c r="C54" i="14" s="1"/>
  <c r="B56" i="22"/>
  <c r="B58" s="1"/>
  <c r="C49" i="14" s="1"/>
  <c r="R49" s="1"/>
  <c r="B16" i="22"/>
  <c r="B18" s="1"/>
  <c r="C50" i="14" s="1"/>
  <c r="R50" s="1"/>
  <c r="B17" i="19"/>
  <c r="B19" s="1"/>
  <c r="C39" i="14" s="1"/>
  <c r="B17" i="49"/>
  <c r="B19" s="1"/>
  <c r="C42" i="14" s="1"/>
  <c r="R42" s="1"/>
  <c r="B10" i="13"/>
  <c r="R54" i="14" l="1"/>
  <c r="R56" s="1"/>
  <c r="C56"/>
  <c r="R39"/>
  <c r="C40"/>
  <c r="R40" s="1"/>
  <c r="B12" i="13"/>
  <c r="C41" i="14" s="1"/>
  <c r="R41" s="1"/>
  <c r="B17" i="48"/>
  <c r="C52" i="14"/>
  <c r="R48"/>
  <c r="R52" s="1"/>
  <c r="C46" l="1"/>
  <c r="C61" s="1"/>
  <c r="C63" s="1"/>
  <c r="R46"/>
  <c r="R61" s="1"/>
  <c r="B22" i="48"/>
  <c r="B26"/>
  <c r="Q26" s="1"/>
  <c r="B32"/>
  <c r="Q32" s="1"/>
  <c r="B24"/>
  <c r="Q24" s="1"/>
  <c r="B28"/>
  <c r="Q28" s="1"/>
  <c r="B30"/>
  <c r="Q30" s="1"/>
  <c r="B27"/>
  <c r="Q27" s="1"/>
  <c r="B25"/>
  <c r="Q25" s="1"/>
  <c r="B31"/>
  <c r="Q31" s="1"/>
  <c r="B29"/>
  <c r="Q29" s="1"/>
  <c r="B23"/>
  <c r="Q23" s="1"/>
  <c r="Q22" l="1"/>
  <c r="Q33" s="1"/>
  <c r="B33"/>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<sst xmlns="http://schemas.openxmlformats.org/spreadsheetml/2006/main" count="2432" uniqueCount="913">
  <si>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</si>
  <si>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</si>
  <si>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</si>
  <si>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</si>
  <si>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</si>
  <si>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</si>
  <si>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</si>
  <si>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</si>
  <si>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</si>
  <si>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</si>
  <si>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</si>
  <si>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</si>
  <si>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</si>
  <si>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</si>
  <si>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</si>
  <si>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</si>
  <si>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</si>
  <si>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</si>
  <si>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</si>
  <si>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</si>
  <si>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</si>
  <si>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</si>
  <si>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</si>
  <si>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</si>
  <si>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</si>
  <si>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</si>
  <si>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</si>
  <si>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</si>
  <si>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</si>
  <si>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</si>
  <si>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</si>
  <si>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</si>
  <si>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</si>
  <si>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</si>
  <si>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</si>
  <si>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</si>
  <si>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</si>
  <si>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</si>
  <si>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</si>
  <si>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</si>
  <si>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</si>
  <si>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</si>
  <si>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</si>
  <si>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</si>
  <si>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</si>
  <si>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</si>
  <si>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</si>
  <si>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</si>
  <si>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</si>
  <si>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</si>
  <si>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</si>
  <si>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</si>
  <si>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</si>
  <si>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</si>
  <si>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</si>
  <si>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</si>
  <si>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</si>
  <si>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</si>
  <si>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</si>
  <si>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</si>
  <si>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</si>
  <si>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</si>
  <si>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</si>
  <si>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</si>
  <si>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</si>
  <si>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</si>
  <si>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</si>
  <si>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</si>
  <si>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</si>
  <si>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</si>
  <si>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</si>
  <si>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</si>
  <si>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</si>
  <si>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</si>
  <si>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</si>
  <si>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</si>
  <si>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</si>
  <si>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</si>
  <si>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</si>
  <si>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</si>
  <si>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</si>
  <si>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</si>
  <si>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</si>
  <si>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</si>
  <si>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</si>
  <si>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</si>
  <si>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</si>
  <si>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</si>
  <si>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</si>
  <si>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</si>
  <si>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</si>
  <si>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</si>
  <si>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</si>
  <si>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</si>
  <si>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</si>
  <si>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</si>
  <si>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</si>
  <si>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</si>
  <si>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</si>
  <si>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</si>
  <si>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</si>
  <si>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</si>
  <si>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</si>
  <si>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</si>
  <si>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</si>
  <si>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</si>
  <si>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</si>
  <si>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</si>
  <si>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</si>
  <si>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</si>
  <si>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</si>
  <si>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</si>
  <si>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</si>
  <si>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</si>
  <si>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</si>
  <si>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</si>
  <si>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</si>
  <si>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</si>
  <si>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</si>
  <si>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</si>
  <si>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</si>
  <si>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</si>
  <si>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</si>
  <si>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</si>
  <si>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</si>
  <si>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</si>
  <si>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</si>
  <si>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</si>
  <si>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</si>
  <si>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</si>
  <si>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</si>
  <si>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</si>
  <si>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</si>
  <si>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</si>
  <si>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</si>
  <si>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</si>
  <si>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</si>
  <si>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</si>
  <si>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</si>
  <si>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</si>
  <si>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</si>
  <si>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</si>
  <si>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</si>
  <si>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</si>
  <si>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</si>
  <si>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</si>
  <si>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</si>
  <si>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</si>
  <si>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</si>
  <si>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</si>
  <si>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</si>
  <si>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</si>
  <si>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</si>
  <si>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</si>
  <si>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</si>
  <si>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</si>
  <si>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</si>
  <si>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</si>
  <si>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</si>
  <si>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</si>
  <si>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</si>
  <si>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</si>
  <si>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</si>
  <si>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</si>
  <si>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</si>
  <si>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</si>
  <si>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</si>
  <si>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</si>
  <si>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</si>
  <si>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</si>
  <si>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</si>
  <si>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</si>
  <si>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</si>
  <si>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</si>
  <si>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</si>
  <si>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</si>
  <si>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</si>
  <si>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</si>
  <si>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</si>
  <si>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</si>
  <si>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</si>
  <si>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</si>
  <si>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</si>
  <si>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</si>
  <si>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</si>
  <si>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</si>
  <si>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</si>
  <si>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</si>
  <si>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</si>
  <si>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</si>
  <si>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</si>
  <si>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</si>
  <si>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</si>
  <si>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</si>
  <si>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</si>
  <si>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</si>
  <si>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</si>
  <si>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</si>
  <si>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</si>
  <si>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</si>
  <si>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</si>
  <si>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</si>
  <si>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</si>
  <si>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</si>
  <si>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</si>
  <si>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</si>
  <si>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</si>
  <si>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</si>
  <si>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</si>
  <si>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</si>
  <si>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</si>
  <si>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</si>
  <si>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</si>
  <si>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</si>
  <si>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</si>
  <si>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</si>
  <si>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</si>
  <si>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</si>
  <si>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</si>
  <si>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</si>
  <si>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</si>
  <si>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</si>
  <si>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</si>
  <si>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</si>
  <si>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</si>
  <si>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</si>
  <si>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</si>
  <si>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</si>
  <si>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</si>
  <si>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</si>
  <si>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</si>
  <si>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</si>
  <si>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</si>
  <si>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</si>
  <si>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</si>
  <si>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</si>
  <si>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</si>
  <si>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</si>
  <si>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</si>
  <si>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</si>
  <si>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</si>
  <si>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</si>
  <si>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</si>
  <si>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</si>
  <si>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</si>
  <si>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</si>
  <si>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</si>
  <si>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</si>
  <si>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</si>
  <si>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</si>
  <si>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</si>
  <si>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</si>
  <si>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</si>
  <si>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</si>
  <si>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</si>
  <si>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</si>
  <si>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</si>
  <si>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</si>
  <si>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</si>
  <si>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</si>
  <si>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</si>
  <si>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</si>
  <si>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</si>
  <si>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</si>
  <si>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</si>
  <si>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</si>
  <si>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</si>
  <si>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</si>
  <si>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</si>
  <si>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</si>
  <si>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</si>
  <si>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</si>
  <si>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</si>
  <si>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</si>
  <si>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</si>
  <si>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</si>
  <si>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</si>
  <si>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</si>
  <si>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</si>
  <si>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</si>
  <si>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</si>
  <si>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</si>
  <si>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</si>
  <si>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</si>
  <si>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</si>
  <si>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</si>
  <si>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</si>
  <si>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</si>
  <si>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</si>
  <si>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</si>
  <si>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</si>
  <si>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</si>
  <si>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</si>
  <si>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</si>
  <si>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</si>
  <si>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</si>
  <si>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</si>
  <si>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</si>
  <si>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</si>
  <si>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</si>
  <si>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</si>
  <si>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</si>
  <si>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</si>
  <si>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</si>
  <si>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</si>
  <si>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</si>
  <si>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</si>
  <si>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</si>
  <si>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</si>
  <si>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</si>
  <si>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</si>
  <si>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</si>
  <si>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</si>
  <si>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</si>
  <si>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</si>
  <si>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</si>
  <si>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</si>
  <si>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</si>
  <si>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</si>
  <si>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</si>
  <si>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</si>
  <si>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</si>
  <si>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</si>
  <si>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</si>
  <si>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</si>
  <si>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</si>
  <si>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</si>
  <si>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</si>
  <si>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</si>
  <si>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</si>
  <si>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</si>
  <si>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</si>
  <si>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</si>
  <si>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</si>
  <si>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</si>
  <si>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</si>
  <si>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</si>
  <si>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</si>
  <si>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</si>
  <si>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</si>
  <si>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</si>
  <si>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</si>
  <si>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</si>
  <si>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</si>
  <si>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</si>
  <si>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</si>
  <si>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</si>
  <si>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</si>
  <si>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</si>
  <si>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</si>
  <si>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</si>
  <si>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</si>
  <si>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</si>
  <si>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</si>
  <si>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</si>
  <si>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</si>
  <si>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</si>
  <si>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</si>
  <si>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</si>
  <si>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</si>
  <si>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</si>
  <si>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</si>
  <si>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</si>
  <si>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</si>
  <si>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</si>
  <si>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</si>
  <si>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</si>
  <si>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</si>
  <si>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</si>
  <si>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</si>
  <si>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</si>
  <si>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</si>
  <si>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</si>
  <si>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</si>
  <si>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</si>
  <si>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</si>
  <si>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</si>
  <si>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</si>
  <si>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</si>
  <si>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</si>
  <si>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</si>
  <si>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</si>
  <si>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</si>
  <si>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</si>
  <si>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</si>
  <si>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</si>
  <si>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</si>
  <si>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</si>
  <si>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</si>
  <si>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</si>
  <si>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</si>
  <si>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</si>
  <si>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</si>
  <si>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</si>
  <si>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</si>
  <si>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</si>
  <si>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</si>
  <si>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</si>
  <si>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</si>
  <si>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</si>
  <si>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</si>
  <si>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</si>
  <si>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</si>
  <si>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</si>
  <si>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</si>
  <si>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</si>
  <si>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</si>
  <si>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</si>
  <si>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</si>
  <si>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</si>
  <si>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</si>
  <si>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</si>
  <si>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</si>
  <si>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</si>
  <si>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</si>
  <si>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</si>
  <si>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</si>
  <si>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</si>
  <si>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</si>
  <si>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</si>
  <si>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</si>
  <si>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</si>
  <si>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</si>
  <si>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</si>
  <si>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</si>
  <si>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</si>
  <si>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</si>
  <si>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</si>
  <si>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</si>
  <si>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</si>
  <si>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</si>
  <si>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</si>
  <si>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</si>
  <si>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</si>
  <si>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</si>
  <si>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</si>
  <si>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</si>
  <si>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</si>
  <si>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</si>
  <si>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</si>
  <si>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</si>
  <si>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</si>
  <si>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</si>
  <si>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</si>
  <si>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</si>
  <si>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</si>
  <si>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</si>
  <si>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</si>
  <si>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</si>
  <si>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</si>
  <si>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</si>
  <si>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</si>
  <si>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</si>
  <si>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</si>
  <si>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</si>
  <si>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</si>
  <si>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</si>
  <si>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</si>
  <si>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</si>
  <si>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</si>
  <si>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</si>
  <si>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</si>
  <si>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</si>
  <si>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</si>
  <si>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</si>
  <si>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</si>
  <si>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</si>
  <si>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</si>
  <si>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</si>
  <si>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</si>
  <si>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</si>
  <si>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</si>
  <si>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</si>
  <si>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</si>
  <si>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</si>
  <si>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</si>
  <si>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</si>
  <si>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</si>
  <si>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</si>
  <si>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</si>
  <si>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</si>
  <si>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</si>
  <si>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</si>
  <si>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</si>
  <si>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</si>
  <si>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</si>
  <si>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</si>
  <si>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</si>
  <si>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</si>
  <si>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</si>
  <si>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</si>
  <si>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</si>
  <si>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</si>
  <si>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</si>
  <si>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</si>
  <si>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</si>
  <si>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</si>
  <si>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</si>
  <si>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</si>
  <si>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</si>
  <si>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</si>
  <si>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</si>
  <si>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</si>
  <si>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</si>
  <si>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</si>
  <si>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</si>
  <si>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</si>
  <si>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</si>
  <si>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</si>
  <si>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</si>
  <si>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</si>
  <si>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</si>
  <si>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</si>
  <si>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</si>
  <si>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</si>
  <si>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</si>
  <si>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</si>
  <si>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</si>
  <si>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</si>
  <si>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</si>
  <si>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</si>
  <si>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</si>
  <si>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</si>
  <si>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</si>
  <si>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</si>
  <si>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</si>
  <si>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</si>
  <si>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</si>
  <si>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</si>
  <si>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</si>
  <si>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</si>
  <si>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</si>
  <si>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</si>
  <si>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</si>
  <si>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</si>
  <si>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</si>
  <si>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</si>
  <si>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</si>
  <si>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</si>
  <si>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</si>
  <si>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</si>
  <si>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</si>
  <si>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</si>
  <si>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</si>
  <si>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</si>
  <si>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</si>
  <si>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</si>
  <si>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</si>
  <si>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</si>
  <si>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</si>
  <si>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</si>
  <si>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</si>
  <si>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</si>
  <si>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</si>
  <si>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</si>
  <si>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</si>
  <si>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</si>
  <si>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</si>
  <si>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</si>
  <si>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</si>
  <si>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</si>
  <si>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</si>
  <si>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</si>
  <si>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</si>
  <si>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</si>
  <si>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</si>
  <si>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</si>
  <si>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</si>
  <si>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</si>
  <si>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</si>
  <si>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</si>
  <si>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</si>
  <si>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</si>
  <si>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</si>
  <si>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</si>
  <si>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</si>
  <si>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</si>
  <si>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</si>
  <si>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</si>
  <si>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</si>
  <si>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</si>
  <si>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</si>
  <si>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</si>
  <si>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</si>
  <si>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</si>
  <si>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</si>
  <si>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</si>
  <si>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</si>
  <si>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</si>
  <si>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</si>
  <si>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</si>
  <si>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</si>
  <si>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</si>
  <si>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</si>
  <si>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</si>
  <si>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</si>
  <si>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</si>
  <si>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</si>
  <si>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</si>
  <si>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</si>
  <si>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</si>
  <si>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</si>
  <si>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</si>
  <si>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</si>
  <si>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</si>
  <si>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</si>
  <si>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</si>
  <si>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</si>
  <si>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</si>
  <si>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</si>
  <si>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</si>
  <si>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</si>
  <si>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</si>
  <si>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</si>
  <si>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</si>
  <si>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</si>
  <si>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</si>
  <si>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</si>
  <si>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</si>
  <si>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</si>
  <si>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</si>
  <si>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</si>
  <si>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</si>
  <si>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</si>
  <si>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</si>
  <si>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</si>
  <si>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</si>
  <si>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</si>
  <si>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</si>
  <si>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</si>
  <si>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</si>
  <si>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</si>
  <si>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</si>
  <si>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</si>
  <si>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</si>
  <si>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</si>
  <si>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</si>
  <si>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</si>
  <si>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</si>
  <si>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</si>
  <si>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</si>
  <si>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</si>
  <si>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</si>
  <si>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</si>
  <si>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</si>
  <si>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</si>
  <si>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</si>
  <si>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</si>
  <si>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</si>
  <si>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</si>
  <si>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</si>
  <si>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</si>
  <si>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</si>
  <si>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</si>
  <si>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</si>
  <si>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</si>
  <si>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</si>
  <si>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</si>
  <si>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</si>
  <si>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</si>
  <si>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</si>
  <si>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</si>
  <si>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</si>
  <si>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</si>
  <si>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</si>
  <si>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</si>
  <si>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</si>
  <si>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</si>
  <si>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</si>
  <si>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</si>
  <si>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</si>
  <si>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</si>
  <si>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</si>
  <si>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</si>
  <si>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</si>
  <si>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</si>
  <si>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</si>
  <si>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</si>
  <si>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</si>
  <si>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</si>
  <si>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</si>
  <si>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</si>
  <si>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</si>
  <si>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</si>
  <si>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</si>
  <si>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</si>
  <si>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</si>
  <si>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</si>
  <si>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</si>
  <si>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</si>
  <si>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</si>
  <si>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</si>
  <si>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</si>
  <si>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</si>
  <si>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</si>
  <si>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</si>
  <si>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</si>
  <si>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</si>
  <si>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</si>
  <si>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</si>
  <si>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</si>
  <si>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</si>
  <si>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</si>
  <si>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</si>
  <si>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</si>
  <si>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</si>
  <si>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</si>
  <si>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</si>
  <si>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</si>
  <si>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</si>
  <si>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</si>
  <si>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</si>
  <si>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</si>
  <si>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</si>
  <si>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</si>
  <si>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</si>
  <si>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</si>
  <si>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</si>
  <si>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</si>
  <si>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</si>
  <si>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</si>
  <si>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</si>
  <si>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</si>
  <si>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</si>
  <si>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</si>
  <si>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</si>
  <si>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</si>
  <si>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</si>
  <si>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</si>
  <si>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</si>
  <si>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</si>
  <si>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</si>
  <si>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</si>
  <si>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</si>
  <si>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</si>
  <si>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</si>
  <si>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</si>
  <si>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</si>
  <si>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</si>
  <si>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</si>
  <si>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</si>
  <si>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</si>
  <si>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</si>
  <si>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</si>
  <si>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</si>
  <si>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</si>
  <si>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</si>
  <si>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</si>
  <si>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</si>
  <si>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</si>
  <si>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</si>
  <si>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</si>
  <si>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</si>
  <si>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</si>
  <si>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</si>
  <si>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</si>
  <si>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</si>
  <si>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</si>
  <si>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</si>
  <si>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</si>
  <si>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</si>
  <si>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</si>
  <si>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</si>
  <si>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</si>
  <si>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</si>
  <si>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</si>
  <si>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</si>
  <si>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</si>
  <si>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</si>
  <si>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</si>
  <si>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</si>
  <si>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</si>
  <si>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</si>
  <si>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</si>
  <si>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</si>
  <si>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</si>
  <si>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</si>
  <si>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</si>
  <si>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</si>
  <si>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</si>
  <si>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</si>
  <si>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</si>
  <si>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</si>
  <si>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</si>
  <si>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</si>
  <si>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</si>
  <si>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</si>
  <si>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</si>
  <si>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</si>
  <si>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</si>
  <si>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</si>
  <si>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</si>
  <si>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</si>
  <si>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</si>
  <si>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</si>
  <si>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</si>
  <si>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</si>
  <si>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</si>
  <si>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</si>
  <si>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</si>
  <si>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</si>
  <si>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</si>
  <si>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</si>
  <si>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</si>
  <si>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</si>
  <si>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</si>
  <si>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</si>
  <si>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</si>
  <si>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</si>
  <si>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</si>
  <si>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</si>
  <si>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</si>
  <si>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</si>
  <si>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</si>
  <si>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</si>
  <si>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</si>
  <si>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</si>
  <si>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</si>
  <si>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</si>
  <si>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</si>
  <si>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</si>
  <si>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</si>
  <si>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</si>
  <si>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</si>
  <si>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</si>
  <si>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</si>
  <si>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</si>
  <si>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</si>
  <si>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</si>
  <si>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</si>
  <si>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</si>
  <si>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</si>
  <si>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</si>
  <si>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</si>
  <si>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</si>
  <si>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</si>
  <si>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</si>
  <si>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</si>
  <si>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</si>
  <si>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</si>
  <si>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</si>
  <si>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</si>
  <si>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</si>
  <si>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</si>
  <si>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</si>
  <si>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</si>
  <si>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</si>
  <si>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</si>
  <si>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</si>
  <si>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</si>
  <si>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</si>
  <si>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</si>
  <si>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</si>
  <si>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</si>
  <si>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</si>
  <si>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</si>
  <si>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</si>
  <si>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</si>
  <si>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</si>
  <si>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</si>
  <si>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</si>
  <si>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</si>
  <si>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</si>
  <si>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</si>
  <si>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</si>
  <si>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</si>
  <si>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</si>
  <si>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</si>
  <si>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</si>
  <si>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</si>
  <si>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</si>
  <si>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</si>
  <si>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</si>
  <si>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</si>
  <si>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</si>
  <si>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</si>
  <si>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</si>
  <si>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</si>
  <si>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</si>
  <si>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</si>
  <si>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</si>
  <si>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</si>
  <si>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</si>
  <si>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</si>
  <si>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</si>
  <si>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</si>
  <si>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</si>
  <si>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</si>
  <si>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</si>
  <si>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</si>
  <si>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</si>
  <si>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</si>
  <si>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</si>
  <si>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</si>
  <si>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</si>
  <si>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</si>
  <si>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</si>
  <si>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</si>
  <si>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</si>
  <si>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</si>
  <si>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</si>
  <si>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</si>
  <si>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2013_08</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</si>
  <si>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</si>
  <si>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</si>
  <si>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</si>
  <si>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45059</t>
  </si>
  <si>
    <t>BRAKEL</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</si>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</sst>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 * #,##0.00_ ;_ * \-#,##0.00_ ;_ * &quot;-&quot;??_ ;_ @_ "/>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7" fontId="12" fillId="0" borderId="0" applyFont="0" applyFill="0" applyBorder="0" applyAlignment="0" applyProtection="0"/>
    <xf numFmtId="169"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5" fontId="12" fillId="0" borderId="0" applyFont="0" applyFill="0" applyBorder="0" applyAlignment="0" applyProtection="0"/>
    <xf numFmtId="172" fontId="12" fillId="10" borderId="0" applyNumberFormat="0" applyFont="0" applyBorder="0" applyAlignment="0"/>
    <xf numFmtId="167" fontId="35" fillId="0" borderId="0" applyFont="0" applyFill="0" applyBorder="0" applyAlignment="0" applyProtection="0"/>
    <xf numFmtId="169" fontId="35" fillId="0" borderId="0" applyFont="0" applyFill="0" applyBorder="0" applyAlignment="0" applyProtection="0"/>
    <xf numFmtId="166" fontId="35" fillId="0" borderId="0" applyFont="0" applyFill="0" applyBorder="0" applyAlignment="0" applyProtection="0"/>
    <xf numFmtId="168"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6" fontId="12"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5"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5"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7" fontId="29" fillId="59" borderId="184" applyNumberFormat="0" applyFont="0" applyBorder="0" applyAlignment="0" applyProtection="0">
      <alignment horizontal="right" vertical="center"/>
    </xf>
    <xf numFmtId="170" fontId="19" fillId="0" borderId="184">
      <alignment vertical="center"/>
    </xf>
    <xf numFmtId="170" fontId="19" fillId="0" borderId="184">
      <alignment vertical="center"/>
    </xf>
    <xf numFmtId="170" fontId="19" fillId="0" borderId="184">
      <alignment vertical="center"/>
    </xf>
    <xf numFmtId="173" fontId="26" fillId="8" borderId="184">
      <alignment horizontal="right" vertical="center"/>
    </xf>
    <xf numFmtId="173" fontId="26" fillId="8" borderId="184">
      <alignment horizontal="right" vertical="center"/>
    </xf>
    <xf numFmtId="173" fontId="26" fillId="8"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cellStyleXfs>
  <cellXfs count="1311">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4" fillId="0" borderId="0" xfId="148" applyBorder="1" applyAlignment="1" applyProtection="1">
      <alignment vertical="top"/>
    </xf>
    <xf numFmtId="172" fontId="9" fillId="0" borderId="111" xfId="0" applyFont="1" applyBorder="1"/>
    <xf numFmtId="172" fontId="74" fillId="0" borderId="80" xfId="148" applyBorder="1" applyAlignment="1" applyProtection="1"/>
    <xf numFmtId="172" fontId="74" fillId="0" borderId="80" xfId="148" quotePrefix="1" applyBorder="1" applyAlignment="1" applyProtection="1"/>
    <xf numFmtId="172" fontId="9" fillId="0" borderId="115"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5"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48"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7" fillId="23" borderId="4" xfId="0" applyFont="1" applyFill="1" applyBorder="1"/>
    <xf numFmtId="172" fontId="97" fillId="0" borderId="8" xfId="0" applyFont="1" applyFill="1" applyBorder="1"/>
    <xf numFmtId="172" fontId="44" fillId="0" borderId="134" xfId="5" applyFont="1" applyFill="1" applyBorder="1" applyAlignment="1">
      <alignment wrapText="1"/>
    </xf>
    <xf numFmtId="172" fontId="0" fillId="0" borderId="111" xfId="0" applyFill="1" applyBorder="1"/>
    <xf numFmtId="172" fontId="9" fillId="0" borderId="111" xfId="0" applyFont="1" applyFill="1" applyBorder="1"/>
    <xf numFmtId="172" fontId="97"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5"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49" xfId="0" applyFont="1" applyFill="1" applyBorder="1"/>
    <xf numFmtId="172" fontId="43" fillId="0" borderId="151" xfId="5"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8"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8" fillId="0" borderId="0" xfId="0" applyNumberFormat="1" applyFont="1" applyAlignment="1">
      <alignment horizontal="center"/>
    </xf>
    <xf numFmtId="172" fontId="6" fillId="0" borderId="152" xfId="1" applyBorder="1"/>
    <xf numFmtId="172" fontId="6" fillId="0" borderId="0" xfId="1" applyBorder="1"/>
    <xf numFmtId="172" fontId="0" fillId="0" borderId="152" xfId="0" applyBorder="1"/>
    <xf numFmtId="172" fontId="47" fillId="23" borderId="3" xfId="1" applyFont="1" applyFill="1" applyBorder="1"/>
    <xf numFmtId="172" fontId="47"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2"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1" applyFont="1" applyFill="1" applyBorder="1"/>
    <xf numFmtId="172" fontId="26" fillId="0" borderId="8" xfId="0" applyFont="1" applyFill="1" applyBorder="1"/>
    <xf numFmtId="172" fontId="26" fillId="0" borderId="149" xfId="1"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51" fillId="0" borderId="0" xfId="0" applyFont="1"/>
    <xf numFmtId="10" fontId="0" fillId="3" borderId="0" xfId="52"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4" fillId="0" borderId="0" xfId="5" applyNumberFormat="1" applyFont="1" applyFill="1" applyBorder="1" applyAlignment="1">
      <alignment horizontal="right" wrapText="1"/>
    </xf>
    <xf numFmtId="176"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48" applyAlignment="1" applyProtection="1">
      <alignment vertical="center"/>
    </xf>
    <xf numFmtId="14" fontId="0" fillId="0" borderId="0" xfId="0" applyNumberFormat="1"/>
    <xf numFmtId="172" fontId="74" fillId="0" borderId="0" xfId="148" quotePrefix="1" applyAlignment="1" applyProtection="1"/>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2" applyNumberFormat="1" applyFont="1" applyBorder="1" applyAlignment="1">
      <alignment horizontal="center"/>
    </xf>
    <xf numFmtId="170" fontId="9" fillId="0" borderId="146" xfId="2" applyNumberFormat="1" applyFont="1" applyBorder="1" applyAlignment="1">
      <alignment horizontal="center"/>
    </xf>
    <xf numFmtId="170" fontId="16" fillId="0" borderId="145" xfId="2" applyNumberFormat="1" applyFont="1" applyBorder="1" applyAlignment="1">
      <alignment horizontal="center"/>
    </xf>
    <xf numFmtId="174" fontId="9" fillId="0" borderId="143" xfId="2" applyNumberFormat="1" applyFont="1" applyBorder="1" applyAlignment="1">
      <alignment horizontal="center"/>
    </xf>
    <xf numFmtId="174" fontId="9" fillId="0" borderId="148" xfId="2" applyNumberFormat="1" applyFont="1" applyBorder="1" applyAlignment="1">
      <alignment horizontal="center"/>
    </xf>
    <xf numFmtId="174" fontId="16" fillId="0" borderId="143"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1" xfId="2" applyNumberFormat="1" applyFill="1" applyBorder="1" applyAlignment="1">
      <alignment horizontal="center"/>
    </xf>
    <xf numFmtId="170" fontId="9" fillId="0" borderId="150" xfId="2" applyNumberFormat="1" applyFont="1" applyBorder="1" applyAlignment="1">
      <alignment horizontal="center"/>
    </xf>
    <xf numFmtId="170" fontId="17" fillId="2" borderId="121" xfId="2" applyNumberFormat="1" applyFont="1" applyFill="1" applyBorder="1" applyAlignment="1">
      <alignment horizontal="center"/>
    </xf>
    <xf numFmtId="170" fontId="9" fillId="0" borderId="143" xfId="2" applyNumberFormat="1" applyFont="1" applyBorder="1" applyAlignment="1">
      <alignment horizontal="center"/>
    </xf>
    <xf numFmtId="170" fontId="9" fillId="0" borderId="148" xfId="2" applyNumberFormat="1" applyFont="1" applyBorder="1" applyAlignment="1">
      <alignment horizontal="center"/>
    </xf>
    <xf numFmtId="170" fontId="16"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99"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0" fontId="74"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1" xfId="0" applyFont="1" applyFill="1" applyBorder="1" applyAlignment="1">
      <alignment horizontal="right"/>
    </xf>
    <xf numFmtId="172" fontId="0" fillId="0" borderId="121" xfId="0" applyBorder="1" applyAlignment="1">
      <alignment horizontal="right"/>
    </xf>
    <xf numFmtId="9" fontId="117"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1" xfId="0" applyFont="1" applyFill="1" applyBorder="1"/>
    <xf numFmtId="0" fontId="7" fillId="0" borderId="0" xfId="264"/>
    <xf numFmtId="0" fontId="7" fillId="0" borderId="0" xfId="264" applyNumberFormat="1"/>
    <xf numFmtId="172" fontId="74"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2" fontId="0" fillId="60" borderId="186" xfId="0" applyFill="1" applyBorder="1" applyAlignment="1">
      <alignment horizontal="left" vertical="top" wrapText="1"/>
    </xf>
    <xf numFmtId="172"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41" fillId="0" borderId="0" xfId="0"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0" fontId="26" fillId="0" borderId="0" xfId="225"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224" applyFont="1" applyFill="1" applyBorder="1" applyAlignment="1">
      <alignment horizontal="left"/>
    </xf>
    <xf numFmtId="0" fontId="83" fillId="0" borderId="0" xfId="225" applyFont="1"/>
    <xf numFmtId="0" fontId="26" fillId="23" borderId="52" xfId="225" applyFont="1" applyFill="1" applyBorder="1"/>
    <xf numFmtId="0" fontId="6" fillId="0" borderId="0" xfId="225"/>
    <xf numFmtId="1" fontId="0" fillId="0" borderId="0" xfId="0" applyNumberFormat="1"/>
    <xf numFmtId="0" fontId="26" fillId="0" borderId="203" xfId="225" applyFont="1" applyBorder="1"/>
    <xf numFmtId="0" fontId="0" fillId="0" borderId="203"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157402.54460500766</c:v>
                </c:pt>
                <c:pt idx="1">
                  <c:v>26107.329544597196</c:v>
                </c:pt>
                <c:pt idx="2">
                  <c:v>1049.2760000000001</c:v>
                </c:pt>
                <c:pt idx="3">
                  <c:v>5563.2307545456588</c:v>
                </c:pt>
                <c:pt idx="4">
                  <c:v>13246.058625061201</c:v>
                </c:pt>
                <c:pt idx="5">
                  <c:v>57864.997477068151</c:v>
                </c:pt>
                <c:pt idx="6">
                  <c:v>1613.2377749523148</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682368"/>
        <c:axId val="182683904"/>
      </c:barChart>
      <c:catAx>
        <c:axId val="182682368"/>
        <c:scaling>
          <c:orientation val="minMax"/>
        </c:scaling>
        <c:axPos val="b"/>
        <c:numFmt formatCode="General" sourceLinked="0"/>
        <c:tickLblPos val="nextTo"/>
        <c:crossAx val="182683904"/>
        <c:crosses val="autoZero"/>
        <c:auto val="1"/>
        <c:lblAlgn val="ctr"/>
        <c:lblOffset val="100"/>
      </c:catAx>
      <c:valAx>
        <c:axId val="182683904"/>
        <c:scaling>
          <c:orientation val="minMax"/>
        </c:scaling>
        <c:axPos val="l"/>
        <c:majorGridlines/>
        <c:numFmt formatCode="#,##0" sourceLinked="1"/>
        <c:tickLblPos val="nextTo"/>
        <c:crossAx val="18268236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157402.54460500766</c:v>
                </c:pt>
                <c:pt idx="1">
                  <c:v>26107.329544597196</c:v>
                </c:pt>
                <c:pt idx="2">
                  <c:v>1049.2760000000001</c:v>
                </c:pt>
                <c:pt idx="3">
                  <c:v>5563.2307545456588</c:v>
                </c:pt>
                <c:pt idx="4">
                  <c:v>13246.058625061201</c:v>
                </c:pt>
                <c:pt idx="5">
                  <c:v>57864.997477068151</c:v>
                </c:pt>
                <c:pt idx="6">
                  <c:v>1613.2377749523148</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32908.994930876986</c:v>
                </c:pt>
                <c:pt idx="2">
                  <c:v>5068.3845581738215</c:v>
                </c:pt>
                <c:pt idx="3">
                  <c:v>217.17477748016842</c:v>
                </c:pt>
                <c:pt idx="4">
                  <c:v>1422.4396305208627</c:v>
                </c:pt>
                <c:pt idx="5">
                  <c:v>2557.5381469079593</c:v>
                </c:pt>
                <c:pt idx="6">
                  <c:v>14624.043704205918</c:v>
                </c:pt>
                <c:pt idx="7">
                  <c:v>412.39430259393669</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791552"/>
        <c:axId val="182801536"/>
      </c:barChart>
      <c:catAx>
        <c:axId val="182791552"/>
        <c:scaling>
          <c:orientation val="minMax"/>
        </c:scaling>
        <c:axPos val="b"/>
        <c:numFmt formatCode="General" sourceLinked="0"/>
        <c:tickLblPos val="nextTo"/>
        <c:crossAx val="182801536"/>
        <c:crosses val="autoZero"/>
        <c:auto val="1"/>
        <c:lblAlgn val="ctr"/>
        <c:lblOffset val="100"/>
      </c:catAx>
      <c:valAx>
        <c:axId val="182801536"/>
        <c:scaling>
          <c:orientation val="minMax"/>
        </c:scaling>
        <c:axPos val="l"/>
        <c:majorGridlines/>
        <c:numFmt formatCode="#,##0" sourceLinked="1"/>
        <c:tickLblPos val="nextTo"/>
        <c:crossAx val="18279155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32908.994930876986</c:v>
                </c:pt>
                <c:pt idx="2">
                  <c:v>5068.3845581738215</c:v>
                </c:pt>
                <c:pt idx="3">
                  <c:v>217.17477748016842</c:v>
                </c:pt>
                <c:pt idx="4">
                  <c:v>1422.4396305208627</c:v>
                </c:pt>
                <c:pt idx="5">
                  <c:v>2557.5381469079593</c:v>
                </c:pt>
                <c:pt idx="6">
                  <c:v>14624.043704205918</c:v>
                </c:pt>
                <c:pt idx="7">
                  <c:v>412.39430259393669</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xmlns=""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902</v>
      </c>
      <c r="B4" s="106"/>
      <c r="C4" s="107"/>
    </row>
    <row r="5" spans="1:7" s="396" customFormat="1" ht="15.75" customHeight="1">
      <c r="A5" s="393" t="s">
        <v>0</v>
      </c>
      <c r="B5" s="394"/>
      <c r="C5" s="395"/>
    </row>
    <row r="6" spans="1:7" s="396" customFormat="1" ht="15" customHeight="1">
      <c r="A6" s="397" t="str">
        <f>txtNIS</f>
        <v>45059</v>
      </c>
      <c r="B6" s="398"/>
      <c r="C6" s="399"/>
    </row>
    <row r="7" spans="1:7" s="396" customFormat="1" ht="15.75" customHeight="1">
      <c r="A7" s="400" t="str">
        <f>txtMunicipality</f>
        <v>BRAKEL</v>
      </c>
      <c r="B7" s="398"/>
      <c r="C7" s="399"/>
    </row>
    <row r="8" spans="1:7" ht="15.75" thickBot="1">
      <c r="A8" s="45"/>
      <c r="B8" s="108"/>
      <c r="C8" s="109"/>
    </row>
    <row r="9" spans="1:7" s="389" customFormat="1" ht="15.75" thickBot="1">
      <c r="A9" s="413" t="s">
        <v>357</v>
      </c>
      <c r="B9" s="416"/>
      <c r="C9" s="417"/>
    </row>
    <row r="10" spans="1:7" s="15" customFormat="1" ht="57.75" customHeight="1" thickBot="1">
      <c r="A10" s="1066" t="s">
        <v>675</v>
      </c>
      <c r="B10" s="1067"/>
      <c r="C10" s="1068"/>
    </row>
    <row r="11" spans="1:7" s="390" customFormat="1" ht="15.75" thickBot="1">
      <c r="A11" s="413" t="s">
        <v>360</v>
      </c>
      <c r="B11" s="416"/>
      <c r="C11" s="417"/>
      <c r="G11" s="391"/>
    </row>
    <row r="12" spans="1:7">
      <c r="A12" s="44"/>
      <c r="B12" s="43"/>
      <c r="C12" s="96"/>
    </row>
    <row r="13" spans="1:7" s="390" customFormat="1">
      <c r="A13" s="771"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69" t="s">
        <v>533</v>
      </c>
      <c r="C16" s="1070"/>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86"/>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589</v>
      </c>
      <c r="B13" s="462"/>
      <c r="C13" s="482"/>
      <c r="D13" s="482"/>
      <c r="E13" s="482"/>
      <c r="F13" s="482"/>
      <c r="G13" s="482"/>
      <c r="H13" s="482"/>
      <c r="I13" s="482"/>
      <c r="J13" s="482"/>
      <c r="K13" s="482"/>
      <c r="L13" s="482"/>
      <c r="M13" s="482"/>
      <c r="N13" s="482"/>
      <c r="O13" s="1190"/>
      <c r="P13" s="1190"/>
    </row>
    <row r="14" spans="1:16" outlineLevel="1">
      <c r="A14" s="480"/>
      <c r="B14" s="52"/>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0.20697583617672413</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83" t="s">
        <v>328</v>
      </c>
      <c r="B1" s="1184" t="s">
        <v>195</v>
      </c>
      <c r="C1" s="1185"/>
      <c r="D1" s="1185"/>
      <c r="E1" s="1185"/>
      <c r="F1" s="1185"/>
      <c r="G1" s="1185"/>
      <c r="H1" s="1185"/>
      <c r="I1" s="1185"/>
      <c r="J1" s="1185"/>
      <c r="K1" s="1185"/>
      <c r="L1" s="1185"/>
      <c r="M1" s="1185"/>
      <c r="N1" s="1185"/>
      <c r="O1" s="1185"/>
      <c r="P1" s="1185"/>
    </row>
    <row r="2" spans="1:16" ht="15" customHeight="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2"/>
      <c r="D5" s="478"/>
      <c r="E5" s="478"/>
      <c r="F5" s="52"/>
      <c r="G5" s="478"/>
      <c r="H5" s="478"/>
      <c r="I5" s="52"/>
      <c r="J5" s="52"/>
      <c r="K5" s="52"/>
      <c r="L5" s="52"/>
      <c r="M5" s="52"/>
      <c r="N5" s="52"/>
      <c r="O5" s="52"/>
      <c r="P5" s="52"/>
    </row>
    <row r="6" spans="1:16">
      <c r="B6" s="478"/>
      <c r="C6" s="52"/>
      <c r="D6" s="478"/>
      <c r="E6" s="478"/>
      <c r="F6" s="52"/>
      <c r="G6" s="478"/>
      <c r="H6" s="478"/>
      <c r="I6" s="52"/>
      <c r="J6" s="52"/>
      <c r="K6" s="52"/>
      <c r="L6" s="52"/>
      <c r="M6" s="52"/>
      <c r="N6" s="52"/>
      <c r="O6" s="52"/>
      <c r="P6" s="52"/>
    </row>
    <row r="7" spans="1:16">
      <c r="B7" s="478"/>
      <c r="C7" s="52"/>
      <c r="D7" s="478"/>
      <c r="E7" s="478"/>
      <c r="F7" s="52"/>
      <c r="G7" s="478"/>
      <c r="H7" s="478"/>
      <c r="I7" s="52"/>
      <c r="J7" s="52"/>
      <c r="K7" s="52"/>
      <c r="L7" s="52"/>
      <c r="M7" s="52"/>
      <c r="N7" s="52"/>
      <c r="O7" s="52"/>
      <c r="P7" s="52"/>
    </row>
    <row r="8" spans="1:16">
      <c r="A8" s="474"/>
      <c r="B8" s="478"/>
      <c r="C8" s="52"/>
      <c r="D8" s="478"/>
      <c r="E8" s="478"/>
      <c r="F8" s="52"/>
      <c r="G8" s="478"/>
      <c r="H8" s="478"/>
      <c r="I8" s="52"/>
      <c r="J8" s="52"/>
      <c r="K8" s="52"/>
      <c r="L8" s="52"/>
      <c r="M8" s="52"/>
      <c r="N8" s="52"/>
      <c r="O8" s="52"/>
      <c r="P8" s="52"/>
    </row>
    <row r="9" spans="1:16">
      <c r="B9" s="478"/>
      <c r="C9" s="52"/>
      <c r="D9" s="478"/>
      <c r="E9" s="478"/>
      <c r="F9" s="52"/>
      <c r="G9" s="478"/>
      <c r="H9" s="478"/>
      <c r="I9" s="52"/>
      <c r="J9" s="52"/>
      <c r="K9" s="52"/>
      <c r="L9" s="52"/>
      <c r="M9" s="52"/>
      <c r="N9" s="52"/>
      <c r="O9" s="52"/>
      <c r="P9" s="52"/>
    </row>
    <row r="10" spans="1:16">
      <c r="B10" s="478"/>
      <c r="C10" s="52"/>
      <c r="D10" s="478"/>
      <c r="E10" s="478"/>
      <c r="F10" s="52"/>
      <c r="G10" s="478"/>
      <c r="H10" s="478"/>
      <c r="I10" s="52"/>
      <c r="J10" s="52"/>
      <c r="K10" s="52"/>
      <c r="L10" s="52"/>
      <c r="M10" s="52"/>
      <c r="N10" s="52"/>
      <c r="O10" s="52"/>
      <c r="P10" s="52"/>
    </row>
    <row r="11" spans="1:16">
      <c r="B11" s="478"/>
      <c r="C11" s="52"/>
      <c r="D11" s="478"/>
      <c r="E11" s="478"/>
      <c r="F11" s="52"/>
      <c r="G11" s="478"/>
      <c r="H11" s="478"/>
      <c r="I11" s="52"/>
      <c r="J11" s="52"/>
      <c r="K11" s="52"/>
      <c r="L11" s="52"/>
      <c r="M11" s="52"/>
      <c r="N11" s="52"/>
      <c r="O11" s="52"/>
      <c r="P11" s="52"/>
    </row>
    <row r="12" spans="1:16">
      <c r="B12" s="478"/>
      <c r="C12" s="52"/>
      <c r="D12" s="478"/>
      <c r="E12" s="478"/>
      <c r="F12" s="52"/>
      <c r="G12" s="478"/>
      <c r="H12" s="478"/>
      <c r="I12" s="52"/>
      <c r="J12" s="52"/>
      <c r="K12" s="52"/>
      <c r="L12" s="52"/>
      <c r="M12" s="52"/>
      <c r="N12" s="52"/>
      <c r="O12" s="52"/>
      <c r="P12" s="52"/>
    </row>
    <row r="13" spans="1:16">
      <c r="B13" s="478"/>
      <c r="C13" s="52"/>
      <c r="D13" s="478"/>
      <c r="E13" s="478"/>
      <c r="F13" s="52"/>
      <c r="G13" s="478"/>
      <c r="H13" s="478"/>
      <c r="I13" s="52"/>
      <c r="J13" s="52"/>
      <c r="K13" s="52"/>
      <c r="L13" s="52"/>
      <c r="M13" s="52"/>
      <c r="N13" s="52"/>
      <c r="O13" s="52"/>
      <c r="P13" s="52"/>
    </row>
    <row r="14" spans="1:16">
      <c r="B14" s="478"/>
      <c r="C14" s="52"/>
      <c r="D14" s="478"/>
      <c r="E14" s="478"/>
      <c r="F14" s="52"/>
      <c r="G14" s="478"/>
      <c r="H14" s="478"/>
      <c r="I14" s="52"/>
      <c r="J14" s="52"/>
      <c r="K14" s="52"/>
      <c r="L14" s="52"/>
      <c r="M14" s="52"/>
      <c r="N14" s="52"/>
      <c r="O14" s="52"/>
      <c r="P14" s="52"/>
    </row>
    <row r="15" spans="1:16">
      <c r="B15" s="478"/>
      <c r="C15" s="52"/>
      <c r="D15" s="478"/>
      <c r="E15" s="478"/>
      <c r="F15" s="52"/>
      <c r="G15" s="478"/>
      <c r="H15" s="478"/>
      <c r="I15" s="52"/>
      <c r="J15" s="52"/>
      <c r="K15" s="52"/>
      <c r="L15" s="52"/>
      <c r="M15" s="52"/>
      <c r="N15" s="52"/>
      <c r="O15" s="52"/>
      <c r="P15" s="52"/>
    </row>
    <row r="16" spans="1:16">
      <c r="B16" s="478"/>
      <c r="C16" s="52"/>
      <c r="D16" s="478"/>
      <c r="E16" s="478"/>
      <c r="F16" s="52"/>
      <c r="G16" s="478"/>
      <c r="H16" s="478"/>
      <c r="I16" s="52"/>
      <c r="J16" s="52"/>
      <c r="K16" s="52"/>
      <c r="L16" s="52"/>
      <c r="M16" s="52"/>
      <c r="N16" s="52"/>
      <c r="O16" s="52"/>
      <c r="P16" s="52"/>
    </row>
    <row r="17" spans="1:16">
      <c r="B17" s="478"/>
      <c r="C17" s="52"/>
      <c r="D17" s="478"/>
      <c r="E17" s="478"/>
      <c r="F17" s="52"/>
      <c r="G17" s="478"/>
      <c r="H17" s="478"/>
      <c r="I17" s="52"/>
      <c r="J17" s="52"/>
      <c r="K17" s="52"/>
      <c r="L17" s="52"/>
      <c r="M17" s="52"/>
      <c r="N17" s="52"/>
      <c r="O17" s="52"/>
      <c r="P17" s="52"/>
    </row>
    <row r="18" spans="1:16">
      <c r="B18" s="478"/>
      <c r="C18" s="52"/>
      <c r="D18" s="478"/>
      <c r="E18" s="478"/>
      <c r="F18" s="52"/>
      <c r="G18" s="478"/>
      <c r="H18" s="478"/>
      <c r="I18" s="52"/>
      <c r="J18" s="52"/>
      <c r="K18" s="52"/>
      <c r="L18" s="52"/>
      <c r="M18" s="52"/>
      <c r="N18" s="52"/>
      <c r="O18" s="52"/>
      <c r="P18" s="52"/>
    </row>
    <row r="19" spans="1:16">
      <c r="B19" s="478"/>
      <c r="C19" s="52"/>
      <c r="D19" s="478"/>
      <c r="E19" s="478"/>
      <c r="F19" s="52"/>
      <c r="G19" s="478"/>
      <c r="H19" s="478"/>
      <c r="I19" s="52"/>
      <c r="J19" s="52"/>
      <c r="K19" s="52"/>
      <c r="L19" s="52"/>
      <c r="M19" s="52"/>
      <c r="N19" s="52"/>
      <c r="O19" s="52"/>
      <c r="P19" s="52"/>
    </row>
    <row r="20" spans="1:16">
      <c r="B20" s="478"/>
      <c r="C20" s="52"/>
      <c r="D20" s="478"/>
      <c r="E20" s="478"/>
      <c r="F20" s="52"/>
      <c r="G20" s="478"/>
      <c r="H20" s="478"/>
      <c r="I20" s="52"/>
      <c r="J20" s="52"/>
      <c r="K20" s="52"/>
      <c r="L20" s="52"/>
      <c r="M20" s="52"/>
      <c r="N20" s="52"/>
      <c r="O20" s="52"/>
      <c r="P20" s="52"/>
    </row>
    <row r="21" spans="1:16">
      <c r="B21" s="478"/>
      <c r="C21" s="52"/>
      <c r="D21" s="478"/>
      <c r="E21" s="478"/>
      <c r="F21" s="52"/>
      <c r="G21" s="478"/>
      <c r="H21" s="478"/>
      <c r="I21" s="52"/>
      <c r="J21" s="52"/>
      <c r="K21" s="52"/>
      <c r="L21" s="52"/>
      <c r="M21" s="52"/>
      <c r="N21" s="52"/>
      <c r="O21" s="52"/>
      <c r="P21" s="52"/>
    </row>
    <row r="22" spans="1:16">
      <c r="B22" s="478"/>
      <c r="C22" s="52"/>
      <c r="D22" s="478"/>
      <c r="E22" s="478"/>
      <c r="F22" s="52"/>
      <c r="G22" s="478"/>
      <c r="H22" s="478"/>
      <c r="I22" s="52"/>
      <c r="J22" s="52"/>
      <c r="K22" s="52"/>
      <c r="L22" s="52"/>
      <c r="M22" s="52"/>
      <c r="N22" s="52"/>
      <c r="O22" s="52"/>
      <c r="P22" s="52"/>
    </row>
    <row r="23" spans="1:16" ht="15.75" thickBot="1">
      <c r="B23" s="478"/>
      <c r="C23" s="52"/>
      <c r="D23" s="478"/>
      <c r="E23" s="478"/>
      <c r="F23" s="52"/>
      <c r="G23" s="478"/>
      <c r="H23" s="478"/>
      <c r="I23" s="52"/>
      <c r="J23" s="52"/>
      <c r="K23" s="52"/>
      <c r="L23" s="52"/>
      <c r="M23" s="52"/>
      <c r="N23" s="52"/>
      <c r="O23" s="52"/>
      <c r="P23" s="52"/>
    </row>
    <row r="24" spans="1:16" ht="15.75" thickBot="1">
      <c r="A24" s="481" t="s">
        <v>589</v>
      </c>
    </row>
    <row r="26" spans="1:16" s="474" customFormat="1">
      <c r="A26" s="483" t="s">
        <v>538</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607</v>
      </c>
      <c r="B27" s="483">
        <f>B26</f>
        <v>0</v>
      </c>
      <c r="C27" s="483"/>
      <c r="D27" s="483">
        <f>D26</f>
        <v>0</v>
      </c>
      <c r="E27" s="483">
        <f>E26</f>
        <v>0</v>
      </c>
      <c r="F27" s="483"/>
      <c r="G27" s="483">
        <f>(1-transport!C35)*'Eigen vloot'!G26</f>
        <v>0</v>
      </c>
      <c r="H27" s="483">
        <f>(1-transport!C42)*'Eigen vloot'!H26</f>
        <v>0</v>
      </c>
      <c r="I27" s="483"/>
      <c r="J27" s="483"/>
      <c r="K27" s="483"/>
      <c r="L27" s="483"/>
      <c r="M27" s="687">
        <f>G26*transport!C35+'Eigen vloot'!H26*transport!C42</f>
        <v>0</v>
      </c>
      <c r="N27" s="483"/>
      <c r="O27" s="483"/>
      <c r="P27" s="483"/>
    </row>
    <row r="29" spans="1:16">
      <c r="A29" s="488" t="s">
        <v>616</v>
      </c>
      <c r="B29" s="513">
        <f ca="1">'EF ele_warmte'!B12</f>
        <v>0.20697583617672413</v>
      </c>
      <c r="C29" s="513">
        <f ca="1">'EF ele_warmte'!B22</f>
        <v>0</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688">
        <f ca="1">B27*B29</f>
        <v>0</v>
      </c>
      <c r="C31" s="688"/>
      <c r="D31" s="688">
        <f>D27*D29</f>
        <v>0</v>
      </c>
      <c r="E31" s="688">
        <f>E27*E29</f>
        <v>0</v>
      </c>
      <c r="F31" s="688"/>
      <c r="G31" s="688">
        <f>G27*G29</f>
        <v>0</v>
      </c>
      <c r="H31" s="688">
        <f>H27*H29</f>
        <v>0</v>
      </c>
      <c r="I31" s="688"/>
      <c r="J31" s="688"/>
      <c r="K31" s="688"/>
      <c r="L31" s="688"/>
      <c r="M31" s="688">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60" bestFit="1" customWidth="1"/>
    <col min="3" max="3" width="26" customWidth="1"/>
    <col min="4" max="4" width="69.42578125" customWidth="1"/>
  </cols>
  <sheetData>
    <row r="1" spans="1:11" s="43" customFormat="1" ht="15.75" thickBot="1">
      <c r="B1" s="462"/>
    </row>
    <row r="2" spans="1:11" s="43" customFormat="1">
      <c r="A2" s="186" t="s">
        <v>535</v>
      </c>
      <c r="B2" s="514"/>
      <c r="C2" s="187"/>
      <c r="D2" s="188"/>
    </row>
    <row r="3" spans="1:11">
      <c r="A3" s="101"/>
      <c r="B3" s="515"/>
      <c r="C3" s="142" t="s">
        <v>182</v>
      </c>
      <c r="D3" s="145" t="s">
        <v>392</v>
      </c>
    </row>
    <row r="4" spans="1:11">
      <c r="A4" s="44" t="s">
        <v>450</v>
      </c>
      <c r="B4" s="47"/>
      <c r="C4" s="32"/>
      <c r="D4" s="144" t="s">
        <v>394</v>
      </c>
    </row>
    <row r="5" spans="1:11">
      <c r="A5" s="44"/>
      <c r="B5" s="48"/>
      <c r="C5" s="32"/>
      <c r="D5" s="144"/>
    </row>
    <row r="6" spans="1:11" s="10" customFormat="1" ht="21.75" thickBot="1">
      <c r="A6" s="191" t="s">
        <v>483</v>
      </c>
      <c r="B6" s="516"/>
      <c r="C6" s="192"/>
      <c r="D6" s="193"/>
    </row>
    <row r="7" spans="1:11" s="43" customFormat="1" ht="15.75" thickBot="1">
      <c r="B7" s="462"/>
    </row>
    <row r="8" spans="1:11" s="43" customFormat="1">
      <c r="A8" s="186" t="s">
        <v>548</v>
      </c>
      <c r="B8" s="514"/>
      <c r="C8" s="187"/>
      <c r="D8" s="188"/>
    </row>
    <row r="9" spans="1:11" s="32" customFormat="1">
      <c r="A9" s="46"/>
      <c r="B9" s="517"/>
      <c r="C9" s="42"/>
      <c r="D9" s="305"/>
    </row>
    <row r="10" spans="1:11">
      <c r="A10" s="306" t="s">
        <v>577</v>
      </c>
      <c r="B10" s="515"/>
      <c r="C10" s="142" t="s">
        <v>182</v>
      </c>
      <c r="D10" s="145" t="s">
        <v>392</v>
      </c>
      <c r="I10" s="1191"/>
      <c r="K10" s="58"/>
    </row>
    <row r="11" spans="1:11" s="43" customFormat="1">
      <c r="A11" s="44" t="s">
        <v>578</v>
      </c>
      <c r="B11" s="47"/>
      <c r="D11" s="143" t="s">
        <v>393</v>
      </c>
      <c r="I11" s="1191"/>
      <c r="K11" s="58"/>
    </row>
    <row r="12" spans="1:11" s="43" customFormat="1">
      <c r="A12" s="44" t="s">
        <v>579</v>
      </c>
      <c r="B12" s="47"/>
      <c r="D12" s="143" t="s">
        <v>393</v>
      </c>
      <c r="I12" s="1191"/>
      <c r="K12" s="58"/>
    </row>
    <row r="13" spans="1:11" s="43" customFormat="1">
      <c r="A13" s="44"/>
      <c r="B13" s="462"/>
      <c r="D13" s="96"/>
      <c r="I13" s="1191"/>
    </row>
    <row r="14" spans="1:11" s="43" customFormat="1">
      <c r="A14" s="306" t="s">
        <v>576</v>
      </c>
      <c r="B14" s="515"/>
      <c r="C14" s="142" t="s">
        <v>182</v>
      </c>
      <c r="D14" s="145" t="s">
        <v>392</v>
      </c>
      <c r="I14" s="1191"/>
    </row>
    <row r="15" spans="1:11" s="43" customFormat="1">
      <c r="A15" s="44" t="s">
        <v>71</v>
      </c>
      <c r="B15" s="47"/>
      <c r="D15" s="143" t="s">
        <v>393</v>
      </c>
      <c r="I15" s="1191"/>
      <c r="J15" s="1191"/>
    </row>
    <row r="16" spans="1:11" s="43" customFormat="1">
      <c r="A16" s="44" t="s">
        <v>540</v>
      </c>
      <c r="B16" s="47"/>
      <c r="D16" s="143" t="s">
        <v>393</v>
      </c>
      <c r="I16" s="1191"/>
      <c r="J16" s="1191"/>
    </row>
    <row r="17" spans="1:11" s="43" customFormat="1">
      <c r="A17" s="44" t="s">
        <v>78</v>
      </c>
      <c r="B17" s="47"/>
      <c r="D17" s="143" t="s">
        <v>393</v>
      </c>
      <c r="I17" s="1191"/>
      <c r="J17" s="1191"/>
    </row>
    <row r="18" spans="1:11" s="43" customFormat="1">
      <c r="A18" s="44" t="s">
        <v>541</v>
      </c>
      <c r="B18" s="47"/>
      <c r="D18" s="143" t="s">
        <v>393</v>
      </c>
      <c r="I18" s="1191"/>
      <c r="J18" s="1191"/>
      <c r="K18" s="58"/>
    </row>
    <row r="19" spans="1:11" s="43" customFormat="1">
      <c r="A19" s="44" t="s">
        <v>77</v>
      </c>
      <c r="B19" s="47"/>
      <c r="D19" s="143" t="s">
        <v>393</v>
      </c>
      <c r="I19" s="1191"/>
      <c r="J19" s="1192"/>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8"/>
      <c r="C26" s="108"/>
      <c r="D26" s="109"/>
      <c r="I26" s="58"/>
      <c r="J26" s="58"/>
      <c r="K26" s="58"/>
    </row>
    <row r="28" spans="1:11" ht="15.75" thickBot="1"/>
    <row r="29" spans="1:11" s="43" customFormat="1">
      <c r="A29" s="186" t="s">
        <v>536</v>
      </c>
      <c r="B29" s="514"/>
      <c r="C29" s="187"/>
      <c r="D29" s="188"/>
    </row>
    <row r="30" spans="1:11" s="32" customFormat="1">
      <c r="A30" s="46"/>
      <c r="B30" s="517"/>
      <c r="C30" s="42"/>
      <c r="D30" s="305"/>
    </row>
    <row r="31" spans="1:11">
      <c r="A31" s="306" t="s">
        <v>577</v>
      </c>
      <c r="B31" s="515"/>
      <c r="C31" s="142" t="s">
        <v>182</v>
      </c>
      <c r="D31" s="145" t="s">
        <v>392</v>
      </c>
    </row>
    <row r="32" spans="1:11">
      <c r="A32" s="452" t="s">
        <v>578</v>
      </c>
      <c r="B32" s="47"/>
      <c r="C32" s="48"/>
      <c r="D32" s="143" t="s">
        <v>393</v>
      </c>
    </row>
    <row r="33" spans="1:11">
      <c r="A33" s="44"/>
      <c r="B33" s="48"/>
      <c r="C33" s="48"/>
      <c r="D33" s="143"/>
    </row>
    <row r="34" spans="1:11" s="43" customFormat="1">
      <c r="A34" s="306" t="s">
        <v>576</v>
      </c>
      <c r="B34" s="515"/>
      <c r="C34" s="142" t="s">
        <v>182</v>
      </c>
      <c r="D34" s="145" t="s">
        <v>392</v>
      </c>
      <c r="I34"/>
    </row>
    <row r="35" spans="1:11" s="43" customFormat="1">
      <c r="A35" s="451" t="s">
        <v>71</v>
      </c>
      <c r="B35" s="47"/>
      <c r="D35" s="143" t="s">
        <v>393</v>
      </c>
      <c r="I35" s="1191"/>
      <c r="J35" s="1191"/>
    </row>
    <row r="36" spans="1:11" s="43" customFormat="1">
      <c r="A36" s="451" t="s">
        <v>540</v>
      </c>
      <c r="B36" s="47"/>
      <c r="D36" s="143" t="s">
        <v>393</v>
      </c>
      <c r="I36" s="1191"/>
      <c r="J36" s="1191"/>
    </row>
    <row r="37" spans="1:11" s="43" customFormat="1">
      <c r="A37" s="451" t="s">
        <v>78</v>
      </c>
      <c r="B37" s="47"/>
      <c r="D37" s="143" t="s">
        <v>393</v>
      </c>
      <c r="I37" s="1191"/>
      <c r="J37" s="1191"/>
    </row>
    <row r="38" spans="1:11" s="43" customFormat="1">
      <c r="A38" s="451" t="s">
        <v>541</v>
      </c>
      <c r="B38" s="47"/>
      <c r="D38" s="143" t="s">
        <v>393</v>
      </c>
      <c r="I38" s="1191"/>
      <c r="J38" s="1191"/>
      <c r="K38" s="58"/>
    </row>
    <row r="39" spans="1:11" s="43" customFormat="1">
      <c r="A39" s="451" t="s">
        <v>77</v>
      </c>
      <c r="B39" s="47"/>
      <c r="D39" s="143" t="s">
        <v>393</v>
      </c>
      <c r="I39" s="1191"/>
      <c r="J39" s="1192"/>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4"/>
      <c r="C48" s="187"/>
      <c r="D48" s="188"/>
    </row>
    <row r="49" spans="1:4">
      <c r="A49" s="101"/>
      <c r="B49" s="515"/>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4"/>
      <c r="C55" s="187"/>
      <c r="D55" s="188"/>
    </row>
    <row r="56" spans="1:4">
      <c r="A56" s="101"/>
      <c r="B56" s="515"/>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9" t="s">
        <v>602</v>
      </c>
      <c r="B1" s="650"/>
      <c r="C1" s="650"/>
      <c r="D1" s="650"/>
      <c r="E1" s="651"/>
    </row>
    <row r="2" spans="1:5">
      <c r="A2" s="662" t="s">
        <v>395</v>
      </c>
      <c r="B2" s="667" t="s">
        <v>527</v>
      </c>
      <c r="C2" s="663"/>
      <c r="D2" s="663"/>
      <c r="E2" s="664"/>
    </row>
    <row r="3" spans="1:5">
      <c r="A3" s="665"/>
      <c r="B3" s="666"/>
      <c r="C3" s="654"/>
      <c r="D3" s="654"/>
      <c r="E3" s="655"/>
    </row>
    <row r="4" spans="1:5" s="335" customFormat="1" ht="45">
      <c r="A4" s="653" t="s">
        <v>606</v>
      </c>
      <c r="B4" s="661" t="s">
        <v>595</v>
      </c>
      <c r="C4" s="682" t="s">
        <v>617</v>
      </c>
      <c r="D4" s="683" t="s">
        <v>618</v>
      </c>
      <c r="E4" s="684" t="s">
        <v>619</v>
      </c>
    </row>
    <row r="5" spans="1:5">
      <c r="A5" s="656" t="s">
        <v>596</v>
      </c>
      <c r="B5" s="648" t="s">
        <v>597</v>
      </c>
      <c r="C5" s="679">
        <v>3.678273E-2</v>
      </c>
      <c r="D5" s="680">
        <v>0.27778000000000003</v>
      </c>
      <c r="E5" s="672">
        <f>C5*D5</f>
        <v>1.0217506739400001E-2</v>
      </c>
    </row>
    <row r="6" spans="1:5">
      <c r="A6" s="656" t="s">
        <v>596</v>
      </c>
      <c r="B6" s="648" t="s">
        <v>598</v>
      </c>
      <c r="C6" s="679">
        <v>4.2278999999999997E-2</v>
      </c>
      <c r="D6" s="680">
        <v>0.27778000000000003</v>
      </c>
      <c r="E6" s="672">
        <f t="shared" ref="E6:E21" si="0">C6*D6</f>
        <v>1.174426062E-2</v>
      </c>
    </row>
    <row r="7" spans="1:5">
      <c r="A7" s="656" t="s">
        <v>596</v>
      </c>
      <c r="B7" s="648" t="s">
        <v>599</v>
      </c>
      <c r="C7" s="679">
        <v>42.279000000000003</v>
      </c>
      <c r="D7" s="680">
        <v>0.27778000000000003</v>
      </c>
      <c r="E7" s="672">
        <f t="shared" si="0"/>
        <v>11.744260620000002</v>
      </c>
    </row>
    <row r="8" spans="1:5">
      <c r="A8" s="656" t="s">
        <v>600</v>
      </c>
      <c r="B8" s="648" t="s">
        <v>597</v>
      </c>
      <c r="C8" s="679">
        <v>3.8573799999999998E-2</v>
      </c>
      <c r="D8" s="680">
        <v>0.27778000000000003</v>
      </c>
      <c r="E8" s="672">
        <f t="shared" si="0"/>
        <v>1.0715030164E-2</v>
      </c>
    </row>
    <row r="9" spans="1:5">
      <c r="A9" s="656" t="s">
        <v>600</v>
      </c>
      <c r="B9" s="648" t="s">
        <v>598</v>
      </c>
      <c r="C9" s="679">
        <v>4.0604000000000001E-2</v>
      </c>
      <c r="D9" s="680">
        <v>0.27778000000000003</v>
      </c>
      <c r="E9" s="672">
        <f t="shared" si="0"/>
        <v>1.1278979120000001E-2</v>
      </c>
    </row>
    <row r="10" spans="1:5">
      <c r="A10" s="656" t="s">
        <v>600</v>
      </c>
      <c r="B10" s="648" t="s">
        <v>599</v>
      </c>
      <c r="C10" s="679">
        <v>40.603999999999999</v>
      </c>
      <c r="D10" s="680">
        <v>0.27778000000000003</v>
      </c>
      <c r="E10" s="672">
        <f t="shared" si="0"/>
        <v>11.278979120000001</v>
      </c>
    </row>
    <row r="11" spans="1:5">
      <c r="A11" s="656" t="s">
        <v>620</v>
      </c>
      <c r="B11" s="648" t="s">
        <v>597</v>
      </c>
      <c r="C11" s="679">
        <v>2.3511000000000001E-2</v>
      </c>
      <c r="D11" s="680">
        <v>0.27778000000000003</v>
      </c>
      <c r="E11" s="672">
        <f t="shared" si="0"/>
        <v>6.5308855800000004E-3</v>
      </c>
    </row>
    <row r="12" spans="1:5">
      <c r="A12" s="656" t="s">
        <v>620</v>
      </c>
      <c r="B12" s="648" t="s">
        <v>598</v>
      </c>
      <c r="C12" s="679">
        <v>4.6100000000000002E-2</v>
      </c>
      <c r="D12" s="680">
        <v>0.27778000000000003</v>
      </c>
      <c r="E12" s="672">
        <f t="shared" si="0"/>
        <v>1.2805658000000001E-2</v>
      </c>
    </row>
    <row r="13" spans="1:5">
      <c r="A13" s="656" t="s">
        <v>620</v>
      </c>
      <c r="B13" s="648" t="s">
        <v>599</v>
      </c>
      <c r="C13" s="679">
        <v>46.1</v>
      </c>
      <c r="D13" s="680">
        <v>0.27778000000000003</v>
      </c>
      <c r="E13" s="672">
        <f t="shared" si="0"/>
        <v>12.805658000000001</v>
      </c>
    </row>
    <row r="14" spans="1:5">
      <c r="A14" s="656" t="s">
        <v>621</v>
      </c>
      <c r="B14" s="648" t="s">
        <v>597</v>
      </c>
      <c r="C14" s="679">
        <v>2.6525139999999999E-2</v>
      </c>
      <c r="D14" s="680">
        <v>0.27778000000000003</v>
      </c>
      <c r="E14" s="672">
        <f t="shared" si="0"/>
        <v>7.3681533892000009E-3</v>
      </c>
    </row>
    <row r="15" spans="1:5">
      <c r="A15" s="656" t="s">
        <v>621</v>
      </c>
      <c r="B15" s="648" t="s">
        <v>598</v>
      </c>
      <c r="C15" s="679">
        <v>4.5733000000000003E-2</v>
      </c>
      <c r="D15" s="680">
        <v>0.27778000000000003</v>
      </c>
      <c r="E15" s="672">
        <f t="shared" si="0"/>
        <v>1.2703712740000001E-2</v>
      </c>
    </row>
    <row r="16" spans="1:5">
      <c r="A16" s="656" t="s">
        <v>621</v>
      </c>
      <c r="B16" s="648" t="s">
        <v>599</v>
      </c>
      <c r="C16" s="679">
        <v>45.732999999999997</v>
      </c>
      <c r="D16" s="680">
        <v>0.27778000000000003</v>
      </c>
      <c r="E16" s="672">
        <f t="shared" si="0"/>
        <v>12.70371274</v>
      </c>
    </row>
    <row r="17" spans="1:10">
      <c r="A17" s="656" t="s">
        <v>604</v>
      </c>
      <c r="B17" s="648" t="s">
        <v>601</v>
      </c>
      <c r="C17" s="679">
        <v>3.2923000000000001E-2</v>
      </c>
      <c r="D17" s="680">
        <f>0.27778</f>
        <v>0.27778000000000003</v>
      </c>
      <c r="E17" s="672">
        <f t="shared" si="0"/>
        <v>9.1453509400000015E-3</v>
      </c>
    </row>
    <row r="18" spans="1:10">
      <c r="A18" s="656" t="s">
        <v>605</v>
      </c>
      <c r="B18" s="648" t="s">
        <v>601</v>
      </c>
      <c r="C18" s="679">
        <v>3.8852400000000002E-2</v>
      </c>
      <c r="D18" s="680">
        <f>0.27778</f>
        <v>0.27778000000000003</v>
      </c>
      <c r="E18" s="672">
        <f t="shared" si="0"/>
        <v>1.0792419672000002E-2</v>
      </c>
    </row>
    <row r="19" spans="1:10">
      <c r="A19" s="656" t="s">
        <v>608</v>
      </c>
      <c r="B19" s="648" t="s">
        <v>597</v>
      </c>
      <c r="C19" s="679">
        <v>2.4812460000000001E-2</v>
      </c>
      <c r="D19" s="680">
        <v>0.27778000000000003</v>
      </c>
      <c r="E19" s="672">
        <f t="shared" si="0"/>
        <v>6.8924051388000009E-3</v>
      </c>
    </row>
    <row r="20" spans="1:10">
      <c r="A20" s="656" t="s">
        <v>608</v>
      </c>
      <c r="B20" s="648" t="s">
        <v>598</v>
      </c>
      <c r="C20" s="679">
        <v>4.5948999999999997E-2</v>
      </c>
      <c r="D20" s="680">
        <v>0.27778000000000003</v>
      </c>
      <c r="E20" s="672">
        <f t="shared" si="0"/>
        <v>1.276371322E-2</v>
      </c>
    </row>
    <row r="21" spans="1:10">
      <c r="A21" s="656" t="s">
        <v>608</v>
      </c>
      <c r="B21" s="648" t="s">
        <v>599</v>
      </c>
      <c r="C21" s="679">
        <v>45.948999999999998</v>
      </c>
      <c r="D21" s="680">
        <v>0.27778000000000003</v>
      </c>
      <c r="E21" s="672">
        <f t="shared" si="0"/>
        <v>12.763713220000001</v>
      </c>
    </row>
    <row r="22" spans="1:10" ht="15.75" thickBot="1">
      <c r="A22" s="677"/>
      <c r="B22" s="659"/>
      <c r="C22" s="681"/>
      <c r="D22" s="681"/>
      <c r="E22" s="660"/>
    </row>
    <row r="23" spans="1:10" ht="15.75" thickBot="1">
      <c r="A23" s="652"/>
      <c r="B23" s="652"/>
      <c r="C23" s="652"/>
      <c r="D23" s="652"/>
      <c r="E23" s="652"/>
    </row>
    <row r="24" spans="1:10" ht="15.75" thickBot="1">
      <c r="A24" s="649" t="s">
        <v>603</v>
      </c>
      <c r="B24" s="650"/>
      <c r="C24" s="650"/>
      <c r="D24" s="650"/>
      <c r="E24" s="651"/>
    </row>
    <row r="25" spans="1:10">
      <c r="A25" s="676" t="s">
        <v>395</v>
      </c>
      <c r="B25" s="654" t="s">
        <v>674</v>
      </c>
      <c r="C25" s="654"/>
      <c r="D25" s="654"/>
      <c r="E25" s="655"/>
    </row>
    <row r="26" spans="1:10">
      <c r="A26" s="44"/>
      <c r="B26" s="43"/>
      <c r="C26" s="43"/>
      <c r="D26" s="43"/>
      <c r="E26" s="96"/>
    </row>
    <row r="27" spans="1:10" s="335" customFormat="1">
      <c r="A27" s="653" t="s">
        <v>606</v>
      </c>
      <c r="B27" s="661" t="s">
        <v>595</v>
      </c>
      <c r="C27" s="669"/>
      <c r="D27" s="668"/>
      <c r="E27" s="684" t="s">
        <v>610</v>
      </c>
    </row>
    <row r="28" spans="1:10">
      <c r="A28" s="656" t="s">
        <v>202</v>
      </c>
      <c r="B28" s="648" t="s">
        <v>597</v>
      </c>
      <c r="C28" s="670"/>
      <c r="D28" s="671"/>
      <c r="E28" s="678">
        <f>E29*0.853</f>
        <v>1.0116343055555555E-2</v>
      </c>
      <c r="G28" s="652"/>
      <c r="H28" s="792"/>
      <c r="I28" s="792"/>
      <c r="J28" s="792"/>
    </row>
    <row r="29" spans="1:10">
      <c r="A29" s="656" t="s">
        <v>202</v>
      </c>
      <c r="B29" s="648" t="s">
        <v>598</v>
      </c>
      <c r="C29" s="670"/>
      <c r="D29" s="671"/>
      <c r="E29" s="678">
        <f>0.042695/3.6</f>
        <v>1.1859722222222221E-2</v>
      </c>
      <c r="F29" s="908"/>
      <c r="G29" s="652"/>
      <c r="H29" s="792"/>
      <c r="I29" s="792"/>
      <c r="J29" s="792"/>
    </row>
    <row r="30" spans="1:10">
      <c r="A30" s="656" t="s">
        <v>120</v>
      </c>
      <c r="B30" s="648" t="s">
        <v>597</v>
      </c>
      <c r="C30" s="670"/>
      <c r="D30" s="671"/>
      <c r="E30" s="678">
        <f>E31*0.755</f>
        <v>9.1803805555555566E-3</v>
      </c>
      <c r="H30" s="792"/>
      <c r="I30" s="792"/>
      <c r="J30" s="792"/>
    </row>
    <row r="31" spans="1:10">
      <c r="A31" s="656" t="s">
        <v>120</v>
      </c>
      <c r="B31" s="648" t="s">
        <v>598</v>
      </c>
      <c r="C31" s="670"/>
      <c r="D31" s="671"/>
      <c r="E31" s="678">
        <f>0.043774/3.6</f>
        <v>1.2159444444444445E-2</v>
      </c>
      <c r="H31" s="792"/>
      <c r="I31" s="792"/>
      <c r="J31" s="792"/>
    </row>
    <row r="32" spans="1:10">
      <c r="A32" s="656" t="s">
        <v>608</v>
      </c>
      <c r="B32" s="648" t="s">
        <v>597</v>
      </c>
      <c r="C32" s="670"/>
      <c r="D32" s="671"/>
      <c r="E32" s="678">
        <f>E33*0.55</f>
        <v>7.1139444444444453E-3</v>
      </c>
      <c r="H32" s="792"/>
    </row>
    <row r="33" spans="1:8">
      <c r="A33" s="656" t="s">
        <v>608</v>
      </c>
      <c r="B33" s="648" t="s">
        <v>598</v>
      </c>
      <c r="C33" s="670"/>
      <c r="D33" s="671"/>
      <c r="E33" s="678">
        <f>0.046564/3.6</f>
        <v>1.2934444444444445E-2</v>
      </c>
      <c r="H33" s="792"/>
    </row>
    <row r="34" spans="1:8">
      <c r="A34" s="656" t="s">
        <v>609</v>
      </c>
      <c r="B34" s="648" t="s">
        <v>597</v>
      </c>
      <c r="C34" s="670"/>
      <c r="D34" s="671"/>
      <c r="E34" s="678">
        <f>E35*0.0007</f>
        <v>9.3333333333333326E-6</v>
      </c>
      <c r="H34" s="792"/>
    </row>
    <row r="35" spans="1:8">
      <c r="A35" s="656" t="s">
        <v>609</v>
      </c>
      <c r="B35" s="648" t="s">
        <v>598</v>
      </c>
      <c r="C35" s="670"/>
      <c r="D35" s="671"/>
      <c r="E35" s="678">
        <f>0.048/3.6</f>
        <v>1.3333333333333332E-2</v>
      </c>
      <c r="H35" s="792"/>
    </row>
    <row r="36" spans="1:8" ht="15.75" thickBot="1">
      <c r="A36" s="657"/>
      <c r="B36" s="658"/>
      <c r="C36" s="673"/>
      <c r="D36" s="674"/>
      <c r="E36" s="67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45059</v>
      </c>
      <c r="B1" s="1284"/>
      <c r="C1" s="1284"/>
      <c r="D1" s="1284"/>
      <c r="E1" s="1284"/>
      <c r="F1" s="1285"/>
    </row>
    <row r="3" spans="1:6" ht="19.5">
      <c r="A3" s="1286" t="s">
        <v>0</v>
      </c>
    </row>
    <row r="4" spans="1:6" ht="22.5">
      <c r="A4" s="1287" t="s">
        <v>906</v>
      </c>
    </row>
    <row r="5" spans="1:6" ht="22.5">
      <c r="A5" s="1287" t="s">
        <v>907</v>
      </c>
    </row>
    <row r="6" spans="1:6" ht="15.75" thickBot="1"/>
    <row r="7" spans="1:6" ht="20.25" thickBot="1">
      <c r="A7" s="1288" t="s">
        <v>1</v>
      </c>
      <c r="B7" s="336" t="s">
        <v>395</v>
      </c>
      <c r="C7" s="336" t="s">
        <v>651</v>
      </c>
      <c r="D7" s="336"/>
      <c r="E7" s="336"/>
      <c r="F7" s="337"/>
    </row>
    <row r="8" spans="1:6" ht="16.5" thickTop="1" thickBot="1">
      <c r="A8" s="1289" t="s">
        <v>4</v>
      </c>
      <c r="B8" s="1290">
        <v>2013</v>
      </c>
      <c r="C8" s="1290">
        <v>2020</v>
      </c>
      <c r="D8" s="1284"/>
      <c r="E8" s="1284"/>
      <c r="F8" s="1285"/>
    </row>
    <row r="9" spans="1:6">
      <c r="A9" s="1291" t="s">
        <v>2</v>
      </c>
      <c r="B9" s="338">
        <v>5983</v>
      </c>
      <c r="C9" s="338">
        <v>6134</v>
      </c>
      <c r="D9" s="338"/>
      <c r="E9" s="338"/>
      <c r="F9" s="338"/>
    </row>
    <row r="10" spans="1:6">
      <c r="A10" s="339"/>
    </row>
    <row r="11" spans="1:6" ht="15.75" thickBot="1">
      <c r="A11" s="339"/>
    </row>
    <row r="12" spans="1:6" ht="20.25" thickBot="1">
      <c r="A12" s="1288" t="s">
        <v>3</v>
      </c>
      <c r="B12" s="336" t="s">
        <v>395</v>
      </c>
      <c r="C12" s="336" t="s">
        <v>683</v>
      </c>
      <c r="D12" s="336"/>
      <c r="E12" s="336"/>
      <c r="F12" s="340"/>
    </row>
    <row r="13" spans="1:6" ht="16.5" thickTop="1" thickBot="1">
      <c r="A13" s="1292" t="s">
        <v>4</v>
      </c>
      <c r="B13" s="1293" t="s">
        <v>5</v>
      </c>
      <c r="C13" s="1293"/>
      <c r="D13" s="1293"/>
      <c r="E13" s="1293"/>
      <c r="F13" s="1294"/>
    </row>
    <row r="14" spans="1:6">
      <c r="A14" s="1295" t="s">
        <v>908</v>
      </c>
      <c r="B14" s="335">
        <v>3433</v>
      </c>
    </row>
    <row r="15" spans="1:6">
      <c r="A15" s="1295" t="s">
        <v>184</v>
      </c>
      <c r="B15" s="335">
        <v>38</v>
      </c>
    </row>
    <row r="16" spans="1:6">
      <c r="A16" s="1295" t="s">
        <v>6</v>
      </c>
      <c r="B16" s="335">
        <v>1252</v>
      </c>
    </row>
    <row r="17" spans="1:6">
      <c r="A17" s="1295" t="s">
        <v>7</v>
      </c>
      <c r="B17" s="335">
        <v>1143</v>
      </c>
    </row>
    <row r="18" spans="1:6">
      <c r="A18" s="1295" t="s">
        <v>8</v>
      </c>
      <c r="B18" s="335">
        <v>1638</v>
      </c>
    </row>
    <row r="19" spans="1:6">
      <c r="A19" s="1295" t="s">
        <v>9</v>
      </c>
      <c r="B19" s="335">
        <v>1487</v>
      </c>
    </row>
    <row r="20" spans="1:6">
      <c r="A20" s="1295" t="s">
        <v>10</v>
      </c>
      <c r="B20" s="335">
        <v>1295</v>
      </c>
    </row>
    <row r="21" spans="1:6">
      <c r="A21" s="1295" t="s">
        <v>11</v>
      </c>
      <c r="B21" s="335">
        <v>705</v>
      </c>
    </row>
    <row r="22" spans="1:6">
      <c r="A22" s="1295" t="s">
        <v>12</v>
      </c>
      <c r="B22" s="335">
        <v>1109</v>
      </c>
    </row>
    <row r="23" spans="1:6">
      <c r="A23" s="1295" t="s">
        <v>13</v>
      </c>
      <c r="B23" s="335">
        <v>6</v>
      </c>
    </row>
    <row r="24" spans="1:6">
      <c r="A24" s="1295" t="s">
        <v>14</v>
      </c>
      <c r="B24" s="335">
        <v>0</v>
      </c>
    </row>
    <row r="25" spans="1:6">
      <c r="A25" s="1295" t="s">
        <v>15</v>
      </c>
      <c r="B25" s="335">
        <v>292</v>
      </c>
    </row>
    <row r="26" spans="1:6">
      <c r="A26" s="1295" t="s">
        <v>16</v>
      </c>
      <c r="B26" s="335">
        <v>127</v>
      </c>
    </row>
    <row r="27" spans="1:6">
      <c r="A27" s="1295" t="s">
        <v>17</v>
      </c>
      <c r="B27" s="335">
        <v>1</v>
      </c>
    </row>
    <row r="28" spans="1:6" s="341" customFormat="1">
      <c r="A28" s="1296" t="s">
        <v>18</v>
      </c>
      <c r="B28" s="1296">
        <v>26</v>
      </c>
    </row>
    <row r="29" spans="1:6">
      <c r="A29" s="1296" t="s">
        <v>909</v>
      </c>
      <c r="B29" s="1296">
        <v>114</v>
      </c>
      <c r="C29" s="341"/>
      <c r="D29" s="341"/>
      <c r="E29" s="341"/>
      <c r="F29" s="341"/>
    </row>
    <row r="30" spans="1:6">
      <c r="A30" s="1291" t="s">
        <v>910</v>
      </c>
      <c r="B30" s="1291">
        <v>16</v>
      </c>
      <c r="C30" s="338"/>
      <c r="D30" s="338"/>
      <c r="E30" s="338"/>
      <c r="F30" s="338"/>
    </row>
    <row r="31" spans="1:6" ht="15.75" thickBot="1">
      <c r="A31" s="339"/>
    </row>
    <row r="32" spans="1:6" ht="20.25" thickBot="1">
      <c r="A32" s="1288" t="s">
        <v>19</v>
      </c>
      <c r="B32" s="336" t="s">
        <v>395</v>
      </c>
      <c r="C32" s="336" t="s">
        <v>684</v>
      </c>
      <c r="D32" s="336"/>
      <c r="E32" s="336"/>
      <c r="F32" s="340"/>
    </row>
    <row r="33" spans="1:6" ht="16.5" thickTop="1" thickBot="1">
      <c r="A33" s="1297"/>
      <c r="B33" s="1298"/>
      <c r="C33" s="1298" t="s">
        <v>20</v>
      </c>
      <c r="D33" s="1298"/>
      <c r="E33" s="1298" t="s">
        <v>21</v>
      </c>
      <c r="F33" s="1299"/>
    </row>
    <row r="34" spans="1:6" ht="16.5" thickTop="1" thickBot="1">
      <c r="A34" s="1300" t="s">
        <v>22</v>
      </c>
      <c r="B34" s="1301" t="s">
        <v>23</v>
      </c>
      <c r="C34" s="1301" t="s">
        <v>5</v>
      </c>
      <c r="D34" s="1301" t="s">
        <v>24</v>
      </c>
      <c r="E34" s="1301" t="s">
        <v>5</v>
      </c>
      <c r="F34" s="1302" t="s">
        <v>24</v>
      </c>
    </row>
    <row r="35" spans="1:6">
      <c r="A35" s="1295" t="s">
        <v>25</v>
      </c>
      <c r="B35" s="1295" t="s">
        <v>26</v>
      </c>
      <c r="C35" s="335">
        <v>0</v>
      </c>
      <c r="D35" s="335">
        <v>0</v>
      </c>
      <c r="E35" s="335">
        <v>0</v>
      </c>
      <c r="F35" s="335">
        <v>0</v>
      </c>
    </row>
    <row r="36" spans="1:6">
      <c r="A36" s="1295" t="s">
        <v>25</v>
      </c>
      <c r="B36" s="1295" t="s">
        <v>27</v>
      </c>
      <c r="C36" s="335">
        <v>0</v>
      </c>
      <c r="D36" s="335">
        <v>0</v>
      </c>
      <c r="E36" s="335">
        <v>0</v>
      </c>
      <c r="F36" s="335">
        <v>0</v>
      </c>
    </row>
    <row r="37" spans="1:6">
      <c r="A37" s="1295" t="s">
        <v>25</v>
      </c>
      <c r="B37" s="1295" t="s">
        <v>28</v>
      </c>
      <c r="C37" s="335">
        <v>0</v>
      </c>
      <c r="D37" s="335">
        <v>0</v>
      </c>
      <c r="E37" s="335">
        <v>0</v>
      </c>
      <c r="F37" s="335">
        <v>0</v>
      </c>
    </row>
    <row r="38" spans="1:6">
      <c r="A38" s="1295" t="s">
        <v>25</v>
      </c>
      <c r="B38" s="1295" t="s">
        <v>29</v>
      </c>
      <c r="C38" s="335">
        <v>0</v>
      </c>
      <c r="D38" s="335">
        <v>0</v>
      </c>
      <c r="E38" s="335">
        <v>4</v>
      </c>
      <c r="F38" s="335">
        <v>26104.607921249</v>
      </c>
    </row>
    <row r="39" spans="1:6">
      <c r="A39" s="1295" t="s">
        <v>30</v>
      </c>
      <c r="B39" s="1295" t="s">
        <v>31</v>
      </c>
      <c r="C39" s="335">
        <v>1763</v>
      </c>
      <c r="D39" s="335">
        <v>29459879.282506902</v>
      </c>
      <c r="E39" s="335">
        <v>5940</v>
      </c>
      <c r="F39" s="335">
        <v>26903629.957367901</v>
      </c>
    </row>
    <row r="40" spans="1:6">
      <c r="A40" s="1295" t="s">
        <v>30</v>
      </c>
      <c r="B40" s="1295" t="s">
        <v>29</v>
      </c>
      <c r="C40" s="335">
        <v>0</v>
      </c>
      <c r="D40" s="335">
        <v>0</v>
      </c>
      <c r="E40" s="335">
        <v>0</v>
      </c>
      <c r="F40" s="335">
        <v>0</v>
      </c>
    </row>
    <row r="41" spans="1:6">
      <c r="A41" s="1295" t="s">
        <v>32</v>
      </c>
      <c r="B41" s="1295" t="s">
        <v>33</v>
      </c>
      <c r="C41" s="335">
        <v>12</v>
      </c>
      <c r="D41" s="335">
        <v>205028.79092370599</v>
      </c>
      <c r="E41" s="335">
        <v>93</v>
      </c>
      <c r="F41" s="335">
        <v>693459.45004040003</v>
      </c>
    </row>
    <row r="42" spans="1:6">
      <c r="A42" s="1295" t="s">
        <v>32</v>
      </c>
      <c r="B42" s="1295" t="s">
        <v>34</v>
      </c>
      <c r="C42" s="335">
        <v>0</v>
      </c>
      <c r="D42" s="335">
        <v>0</v>
      </c>
      <c r="E42" s="335">
        <v>0</v>
      </c>
      <c r="F42" s="335">
        <v>0</v>
      </c>
    </row>
    <row r="43" spans="1:6">
      <c r="A43" s="1295" t="s">
        <v>32</v>
      </c>
      <c r="B43" s="1295" t="s">
        <v>35</v>
      </c>
      <c r="C43" s="335">
        <v>0</v>
      </c>
      <c r="D43" s="335">
        <v>0</v>
      </c>
      <c r="E43" s="335">
        <v>0</v>
      </c>
      <c r="F43" s="335">
        <v>0</v>
      </c>
    </row>
    <row r="44" spans="1:6">
      <c r="A44" s="1295" t="s">
        <v>32</v>
      </c>
      <c r="B44" s="1295" t="s">
        <v>36</v>
      </c>
      <c r="C44" s="335">
        <v>0</v>
      </c>
      <c r="D44" s="335">
        <v>0</v>
      </c>
      <c r="E44" s="335">
        <v>3</v>
      </c>
      <c r="F44" s="335">
        <v>16224.843165702399</v>
      </c>
    </row>
    <row r="45" spans="1:6">
      <c r="A45" s="1295" t="s">
        <v>32</v>
      </c>
      <c r="B45" s="1295" t="s">
        <v>37</v>
      </c>
      <c r="C45" s="335">
        <v>0</v>
      </c>
      <c r="D45" s="335">
        <v>0</v>
      </c>
      <c r="E45" s="335">
        <v>0</v>
      </c>
      <c r="F45" s="335">
        <v>0</v>
      </c>
    </row>
    <row r="46" spans="1:6">
      <c r="A46" s="1295" t="s">
        <v>32</v>
      </c>
      <c r="B46" s="1295" t="s">
        <v>38</v>
      </c>
      <c r="C46" s="335">
        <v>0</v>
      </c>
      <c r="D46" s="335">
        <v>0</v>
      </c>
      <c r="E46" s="335">
        <v>0</v>
      </c>
      <c r="F46" s="335">
        <v>0</v>
      </c>
    </row>
    <row r="47" spans="1:6">
      <c r="A47" s="1295" t="s">
        <v>32</v>
      </c>
      <c r="B47" s="1295" t="s">
        <v>39</v>
      </c>
      <c r="C47" s="335">
        <v>0</v>
      </c>
      <c r="D47" s="335">
        <v>0</v>
      </c>
      <c r="E47" s="335">
        <v>3</v>
      </c>
      <c r="F47" s="335">
        <v>11058.5849972494</v>
      </c>
    </row>
    <row r="48" spans="1:6">
      <c r="A48" s="1295" t="s">
        <v>32</v>
      </c>
      <c r="B48" s="1295" t="s">
        <v>29</v>
      </c>
      <c r="C48" s="335">
        <v>20</v>
      </c>
      <c r="D48" s="335">
        <v>1472036.34068964</v>
      </c>
      <c r="E48" s="335">
        <v>41</v>
      </c>
      <c r="F48" s="335">
        <v>6460497.9534869296</v>
      </c>
    </row>
    <row r="49" spans="1:6">
      <c r="A49" s="1295" t="s">
        <v>32</v>
      </c>
      <c r="B49" s="1295" t="s">
        <v>40</v>
      </c>
      <c r="C49" s="335">
        <v>0</v>
      </c>
      <c r="D49" s="335">
        <v>0</v>
      </c>
      <c r="E49" s="335">
        <v>0</v>
      </c>
      <c r="F49" s="335">
        <v>0</v>
      </c>
    </row>
    <row r="50" spans="1:6">
      <c r="A50" s="1295" t="s">
        <v>32</v>
      </c>
      <c r="B50" s="1295" t="s">
        <v>41</v>
      </c>
      <c r="C50" s="335">
        <v>0</v>
      </c>
      <c r="D50" s="335">
        <v>0</v>
      </c>
      <c r="E50" s="335">
        <v>7</v>
      </c>
      <c r="F50" s="335">
        <v>168444.438554908</v>
      </c>
    </row>
    <row r="51" spans="1:6">
      <c r="A51" s="1295" t="s">
        <v>42</v>
      </c>
      <c r="B51" s="1295" t="s">
        <v>43</v>
      </c>
      <c r="C51" s="335">
        <v>7</v>
      </c>
      <c r="D51" s="335">
        <v>74571.943314520802</v>
      </c>
      <c r="E51" s="335">
        <v>91</v>
      </c>
      <c r="F51" s="335">
        <v>1087218.6768455</v>
      </c>
    </row>
    <row r="52" spans="1:6">
      <c r="A52" s="1295" t="s">
        <v>42</v>
      </c>
      <c r="B52" s="1295" t="s">
        <v>29</v>
      </c>
      <c r="C52" s="335">
        <v>2</v>
      </c>
      <c r="D52" s="335">
        <v>41498.863038306001</v>
      </c>
      <c r="E52" s="335">
        <v>9</v>
      </c>
      <c r="F52" s="335">
        <v>96013.578957700898</v>
      </c>
    </row>
    <row r="53" spans="1:6">
      <c r="A53" s="1295" t="s">
        <v>44</v>
      </c>
      <c r="B53" s="1295" t="s">
        <v>45</v>
      </c>
      <c r="C53" s="335">
        <v>48</v>
      </c>
      <c r="D53" s="335">
        <v>1217908.7650776</v>
      </c>
      <c r="E53" s="335">
        <v>193</v>
      </c>
      <c r="F53" s="335">
        <v>932410.21622526494</v>
      </c>
    </row>
    <row r="54" spans="1:6">
      <c r="A54" s="1295" t="s">
        <v>46</v>
      </c>
      <c r="B54" s="1295" t="s">
        <v>47</v>
      </c>
      <c r="C54" s="335">
        <v>0</v>
      </c>
      <c r="D54" s="335">
        <v>0</v>
      </c>
      <c r="E54" s="335">
        <v>1</v>
      </c>
      <c r="F54" s="335">
        <v>1049276</v>
      </c>
    </row>
    <row r="55" spans="1:6">
      <c r="A55" s="1295" t="s">
        <v>46</v>
      </c>
      <c r="B55" s="1295" t="s">
        <v>29</v>
      </c>
      <c r="C55" s="335">
        <v>0</v>
      </c>
      <c r="D55" s="335">
        <v>0</v>
      </c>
      <c r="E55" s="335">
        <v>0</v>
      </c>
      <c r="F55" s="335">
        <v>0</v>
      </c>
    </row>
    <row r="56" spans="1:6">
      <c r="A56" s="1295" t="s">
        <v>48</v>
      </c>
      <c r="B56" s="1295" t="s">
        <v>29</v>
      </c>
      <c r="C56" s="335">
        <v>0</v>
      </c>
      <c r="D56" s="335">
        <v>0</v>
      </c>
      <c r="E56" s="335">
        <v>0</v>
      </c>
      <c r="F56" s="335">
        <v>0</v>
      </c>
    </row>
    <row r="57" spans="1:6">
      <c r="A57" s="1295" t="s">
        <v>49</v>
      </c>
      <c r="B57" s="1295" t="s">
        <v>50</v>
      </c>
      <c r="C57" s="335">
        <v>16</v>
      </c>
      <c r="D57" s="335">
        <v>444044.27316474001</v>
      </c>
      <c r="E57" s="335">
        <v>65</v>
      </c>
      <c r="F57" s="335">
        <v>2945862.0245636301</v>
      </c>
    </row>
    <row r="58" spans="1:6">
      <c r="A58" s="1295" t="s">
        <v>49</v>
      </c>
      <c r="B58" s="1295" t="s">
        <v>51</v>
      </c>
      <c r="C58" s="335">
        <v>7</v>
      </c>
      <c r="D58" s="335">
        <v>2189758.8261603802</v>
      </c>
      <c r="E58" s="335">
        <v>62</v>
      </c>
      <c r="F58" s="335">
        <v>522539.50736978801</v>
      </c>
    </row>
    <row r="59" spans="1:6">
      <c r="A59" s="1295" t="s">
        <v>49</v>
      </c>
      <c r="B59" s="1295" t="s">
        <v>52</v>
      </c>
      <c r="C59" s="335">
        <v>23</v>
      </c>
      <c r="D59" s="335">
        <v>1082043.9175477901</v>
      </c>
      <c r="E59" s="335">
        <v>116</v>
      </c>
      <c r="F59" s="335">
        <v>3193174.0056734001</v>
      </c>
    </row>
    <row r="60" spans="1:6">
      <c r="A60" s="1295" t="s">
        <v>49</v>
      </c>
      <c r="B60" s="1295" t="s">
        <v>53</v>
      </c>
      <c r="C60" s="335">
        <v>30</v>
      </c>
      <c r="D60" s="335">
        <v>1362703.92386839</v>
      </c>
      <c r="E60" s="335">
        <v>77</v>
      </c>
      <c r="F60" s="335">
        <v>1552780.05645851</v>
      </c>
    </row>
    <row r="61" spans="1:6">
      <c r="A61" s="1295" t="s">
        <v>49</v>
      </c>
      <c r="B61" s="1295" t="s">
        <v>54</v>
      </c>
      <c r="C61" s="335">
        <v>25</v>
      </c>
      <c r="D61" s="335">
        <v>3035568.53238911</v>
      </c>
      <c r="E61" s="335">
        <v>169</v>
      </c>
      <c r="F61" s="335">
        <v>2162684.4881192199</v>
      </c>
    </row>
    <row r="62" spans="1:6">
      <c r="A62" s="1295" t="s">
        <v>49</v>
      </c>
      <c r="B62" s="1295" t="s">
        <v>55</v>
      </c>
      <c r="C62" s="335">
        <v>0</v>
      </c>
      <c r="D62" s="335">
        <v>0</v>
      </c>
      <c r="E62" s="335">
        <v>8</v>
      </c>
      <c r="F62" s="335">
        <v>301819.85286559298</v>
      </c>
    </row>
    <row r="63" spans="1:6">
      <c r="A63" s="1295" t="s">
        <v>49</v>
      </c>
      <c r="B63" s="1295" t="s">
        <v>29</v>
      </c>
      <c r="C63" s="335">
        <v>67</v>
      </c>
      <c r="D63" s="335">
        <v>1790936.68244648</v>
      </c>
      <c r="E63" s="335">
        <v>115</v>
      </c>
      <c r="F63" s="335">
        <v>1430521.73589228</v>
      </c>
    </row>
    <row r="64" spans="1:6">
      <c r="A64" s="1295" t="s">
        <v>56</v>
      </c>
      <c r="B64" s="1295" t="s">
        <v>57</v>
      </c>
      <c r="C64" s="335">
        <v>0</v>
      </c>
      <c r="D64" s="335">
        <v>0</v>
      </c>
      <c r="E64" s="335">
        <v>0</v>
      </c>
      <c r="F64" s="335">
        <v>0</v>
      </c>
    </row>
    <row r="65" spans="1:6">
      <c r="A65" s="1295" t="s">
        <v>56</v>
      </c>
      <c r="B65" s="1295" t="s">
        <v>29</v>
      </c>
      <c r="C65" s="335">
        <v>0</v>
      </c>
      <c r="D65" s="335">
        <v>0</v>
      </c>
      <c r="E65" s="335">
        <v>3</v>
      </c>
      <c r="F65" s="335">
        <v>9932</v>
      </c>
    </row>
    <row r="66" spans="1:6">
      <c r="A66" s="1295" t="s">
        <v>56</v>
      </c>
      <c r="B66" s="1295" t="s">
        <v>58</v>
      </c>
      <c r="C66" s="335">
        <v>0</v>
      </c>
      <c r="D66" s="335">
        <v>0</v>
      </c>
      <c r="E66" s="335">
        <v>0</v>
      </c>
      <c r="F66" s="335">
        <v>0</v>
      </c>
    </row>
    <row r="67" spans="1:6">
      <c r="A67" s="1296" t="s">
        <v>56</v>
      </c>
      <c r="B67" s="1296" t="s">
        <v>59</v>
      </c>
      <c r="C67" s="335">
        <v>0</v>
      </c>
      <c r="D67" s="335">
        <v>0</v>
      </c>
      <c r="E67" s="335">
        <v>0</v>
      </c>
      <c r="F67" s="335">
        <v>0</v>
      </c>
    </row>
    <row r="68" spans="1:6">
      <c r="A68" s="1291" t="s">
        <v>56</v>
      </c>
      <c r="B68" s="1291" t="s">
        <v>60</v>
      </c>
      <c r="C68" s="335">
        <v>0</v>
      </c>
      <c r="D68" s="335">
        <v>0</v>
      </c>
      <c r="E68" s="335">
        <v>7</v>
      </c>
      <c r="F68" s="335">
        <v>49951.922691996901</v>
      </c>
    </row>
    <row r="69" spans="1:6" ht="15.75" thickBot="1">
      <c r="A69" s="339"/>
    </row>
    <row r="70" spans="1:6" ht="19.5">
      <c r="A70" s="1288" t="s">
        <v>61</v>
      </c>
      <c r="B70" s="336"/>
      <c r="C70" s="336" t="s">
        <v>410</v>
      </c>
      <c r="D70" s="336" t="s">
        <v>768</v>
      </c>
      <c r="E70" s="336"/>
      <c r="F70" s="340"/>
    </row>
    <row r="71" spans="1:6" ht="20.25" thickBot="1">
      <c r="A71" s="1303"/>
      <c r="B71" s="342"/>
      <c r="C71" s="342"/>
      <c r="D71" s="343" t="s">
        <v>451</v>
      </c>
      <c r="E71" s="342"/>
      <c r="F71" s="344"/>
    </row>
    <row r="72" spans="1:6" ht="16.5" thickTop="1" thickBot="1">
      <c r="A72" s="1292" t="s">
        <v>62</v>
      </c>
      <c r="B72" s="1293" t="s">
        <v>63</v>
      </c>
      <c r="C72" s="1293" t="s">
        <v>724</v>
      </c>
      <c r="D72" s="1304">
        <v>2013</v>
      </c>
      <c r="E72" s="1304">
        <v>2020</v>
      </c>
      <c r="F72" s="1294"/>
    </row>
    <row r="73" spans="1:6">
      <c r="A73" s="1295" t="s">
        <v>64</v>
      </c>
      <c r="B73" s="1295" t="s">
        <v>725</v>
      </c>
      <c r="C73" s="1295" t="s">
        <v>726</v>
      </c>
      <c r="D73" s="335">
        <v>48161250</v>
      </c>
      <c r="E73" s="335">
        <v>54299800.200991064</v>
      </c>
    </row>
    <row r="74" spans="1:6">
      <c r="A74" s="1295" t="s">
        <v>64</v>
      </c>
      <c r="B74" s="1295" t="s">
        <v>727</v>
      </c>
      <c r="C74" s="1295" t="s">
        <v>728</v>
      </c>
      <c r="D74" s="335">
        <v>5595071.9087628797</v>
      </c>
      <c r="E74" s="335">
        <v>6224048.1072429623</v>
      </c>
    </row>
    <row r="75" spans="1:6">
      <c r="A75" s="1295" t="s">
        <v>65</v>
      </c>
      <c r="B75" s="1295" t="s">
        <v>725</v>
      </c>
      <c r="C75" s="1295" t="s">
        <v>729</v>
      </c>
      <c r="D75" s="335">
        <v>14034297</v>
      </c>
      <c r="E75" s="335">
        <v>15786816.200646738</v>
      </c>
    </row>
    <row r="76" spans="1:6">
      <c r="A76" s="1295" t="s">
        <v>65</v>
      </c>
      <c r="B76" s="1295" t="s">
        <v>727</v>
      </c>
      <c r="C76" s="1295" t="s">
        <v>730</v>
      </c>
      <c r="D76" s="335">
        <v>464426.90876287944</v>
      </c>
      <c r="E76" s="335">
        <v>526832.26997790206</v>
      </c>
    </row>
    <row r="77" spans="1:6">
      <c r="A77" s="1295" t="s">
        <v>66</v>
      </c>
      <c r="B77" s="1295" t="s">
        <v>725</v>
      </c>
      <c r="C77" s="1295" t="s">
        <v>731</v>
      </c>
      <c r="D77" s="335">
        <v>0</v>
      </c>
      <c r="E77" s="335">
        <v>0</v>
      </c>
    </row>
    <row r="78" spans="1:6">
      <c r="A78" s="1291" t="s">
        <v>66</v>
      </c>
      <c r="B78" s="1291" t="s">
        <v>727</v>
      </c>
      <c r="C78" s="1291" t="s">
        <v>732</v>
      </c>
      <c r="D78" s="1291">
        <v>0</v>
      </c>
      <c r="E78" s="1291">
        <v>0</v>
      </c>
      <c r="F78" s="338"/>
    </row>
    <row r="79" spans="1:6">
      <c r="A79" s="1305"/>
      <c r="B79" s="1305"/>
    </row>
    <row r="80" spans="1:6" ht="15.75" thickBot="1">
      <c r="A80" s="1305"/>
      <c r="B80" s="1305"/>
    </row>
    <row r="81" spans="1:6" ht="20.25" thickBot="1">
      <c r="A81" s="1288" t="s">
        <v>334</v>
      </c>
      <c r="B81" s="1306" t="s">
        <v>395</v>
      </c>
      <c r="C81" s="336" t="s">
        <v>769</v>
      </c>
      <c r="D81" s="336"/>
      <c r="E81" s="336"/>
      <c r="F81" s="340"/>
    </row>
    <row r="82" spans="1:6" ht="16.5" thickTop="1" thickBot="1">
      <c r="A82" s="1292" t="s">
        <v>335</v>
      </c>
      <c r="B82" s="1304">
        <v>2013</v>
      </c>
      <c r="C82" s="1304">
        <v>2020</v>
      </c>
      <c r="D82" s="1293"/>
      <c r="E82" s="1293"/>
      <c r="F82" s="1294"/>
    </row>
    <row r="83" spans="1:6">
      <c r="A83" s="1295" t="s">
        <v>336</v>
      </c>
      <c r="B83" s="335">
        <v>426198.18247424118</v>
      </c>
      <c r="C83" s="335">
        <v>425334.37591612223</v>
      </c>
    </row>
    <row r="84" spans="1:6">
      <c r="A84" s="1291" t="s">
        <v>337</v>
      </c>
      <c r="B84" s="338">
        <v>0</v>
      </c>
      <c r="C84" s="338">
        <v>0</v>
      </c>
      <c r="D84" s="338"/>
      <c r="E84" s="338"/>
      <c r="F84" s="338"/>
    </row>
    <row r="85" spans="1:6">
      <c r="A85" s="1305"/>
      <c r="B85" s="1307"/>
    </row>
    <row r="86" spans="1:6" ht="15.75" thickBot="1">
      <c r="A86" s="339"/>
    </row>
    <row r="87" spans="1:6" ht="20.25" thickBot="1">
      <c r="A87" s="1288" t="s">
        <v>67</v>
      </c>
      <c r="B87" s="336" t="s">
        <v>395</v>
      </c>
      <c r="C87" s="336" t="s">
        <v>911</v>
      </c>
      <c r="D87" s="336"/>
      <c r="E87" s="336"/>
      <c r="F87" s="340"/>
    </row>
    <row r="88" spans="1:6" ht="16.5" thickTop="1" thickBot="1">
      <c r="A88" s="1292" t="s">
        <v>4</v>
      </c>
      <c r="B88" s="1293" t="s">
        <v>170</v>
      </c>
      <c r="C88" s="1293"/>
      <c r="D88" s="1293"/>
      <c r="E88" s="1293"/>
      <c r="F88" s="1294"/>
    </row>
    <row r="89" spans="1:6">
      <c r="A89" s="1295" t="s">
        <v>561</v>
      </c>
      <c r="B89" s="335">
        <v>0</v>
      </c>
    </row>
    <row r="90" spans="1:6">
      <c r="A90" s="1295" t="s">
        <v>562</v>
      </c>
      <c r="B90" s="1308">
        <v>0</v>
      </c>
    </row>
    <row r="91" spans="1:6">
      <c r="A91" s="1295" t="s">
        <v>68</v>
      </c>
      <c r="B91" s="335">
        <v>2526.7190000000001</v>
      </c>
    </row>
    <row r="92" spans="1:6">
      <c r="A92" s="1291" t="s">
        <v>69</v>
      </c>
      <c r="B92" s="338">
        <v>776.74770000000001</v>
      </c>
      <c r="C92" s="338"/>
      <c r="D92" s="338"/>
      <c r="E92" s="338"/>
      <c r="F92" s="338"/>
    </row>
    <row r="93" spans="1:6">
      <c r="A93" s="339"/>
    </row>
    <row r="94" spans="1:6" ht="15.75" thickBot="1">
      <c r="A94" s="339"/>
    </row>
    <row r="95" spans="1:6" ht="20.25" thickBot="1">
      <c r="A95" s="1288" t="s">
        <v>70</v>
      </c>
      <c r="B95" s="336" t="s">
        <v>395</v>
      </c>
      <c r="C95" s="336" t="s">
        <v>414</v>
      </c>
      <c r="D95" s="336"/>
      <c r="E95" s="336"/>
      <c r="F95" s="340"/>
    </row>
    <row r="96" spans="1:6" ht="16.5" thickTop="1" thickBot="1">
      <c r="A96" s="1292" t="s">
        <v>4</v>
      </c>
      <c r="B96" s="1293" t="s">
        <v>5</v>
      </c>
      <c r="C96" s="1293"/>
      <c r="D96" s="1293"/>
      <c r="E96" s="1293"/>
      <c r="F96" s="1294"/>
    </row>
    <row r="97" spans="1:6">
      <c r="A97" s="1295" t="s">
        <v>71</v>
      </c>
      <c r="B97" s="335">
        <v>517</v>
      </c>
    </row>
    <row r="98" spans="1:6">
      <c r="A98" s="1295" t="s">
        <v>72</v>
      </c>
      <c r="B98" s="335">
        <v>1</v>
      </c>
    </row>
    <row r="99" spans="1:6">
      <c r="A99" s="1295" t="s">
        <v>73</v>
      </c>
      <c r="B99" s="335">
        <v>136</v>
      </c>
    </row>
    <row r="100" spans="1:6">
      <c r="A100" s="1295" t="s">
        <v>74</v>
      </c>
      <c r="B100" s="335">
        <v>522</v>
      </c>
    </row>
    <row r="101" spans="1:6">
      <c r="A101" s="1295" t="s">
        <v>75</v>
      </c>
      <c r="B101" s="335">
        <v>160</v>
      </c>
    </row>
    <row r="102" spans="1:6">
      <c r="A102" s="1295" t="s">
        <v>76</v>
      </c>
      <c r="B102" s="335">
        <v>126</v>
      </c>
    </row>
    <row r="103" spans="1:6">
      <c r="A103" s="1295" t="s">
        <v>77</v>
      </c>
      <c r="B103" s="335">
        <v>436</v>
      </c>
    </row>
    <row r="104" spans="1:6">
      <c r="A104" s="1295" t="s">
        <v>78</v>
      </c>
      <c r="B104" s="335">
        <v>3457</v>
      </c>
    </row>
    <row r="105" spans="1:6">
      <c r="A105" s="1291" t="s">
        <v>79</v>
      </c>
      <c r="B105" s="1291">
        <v>6</v>
      </c>
      <c r="C105" s="338"/>
      <c r="D105" s="338"/>
      <c r="E105" s="338"/>
      <c r="F105" s="338"/>
    </row>
    <row r="106" spans="1:6">
      <c r="A106" s="339"/>
    </row>
    <row r="107" spans="1:6" ht="15.75" thickBot="1">
      <c r="A107" s="339"/>
    </row>
    <row r="108" spans="1:6" ht="20.25" thickBot="1">
      <c r="A108" s="1288" t="s">
        <v>669</v>
      </c>
      <c r="B108" s="336" t="s">
        <v>395</v>
      </c>
      <c r="C108" s="336" t="s">
        <v>679</v>
      </c>
      <c r="D108" s="336"/>
      <c r="E108" s="336"/>
      <c r="F108" s="340"/>
    </row>
    <row r="109" spans="1:6" ht="16.5" thickTop="1" thickBot="1">
      <c r="A109" s="1292" t="s">
        <v>4</v>
      </c>
      <c r="B109" s="1293" t="s">
        <v>5</v>
      </c>
      <c r="C109" s="1293"/>
      <c r="D109" s="1293"/>
      <c r="E109" s="1293"/>
      <c r="F109" s="1294"/>
    </row>
    <row r="110" spans="1:6">
      <c r="A110" s="1295" t="s">
        <v>670</v>
      </c>
      <c r="B110" s="335">
        <v>0</v>
      </c>
    </row>
    <row r="111" spans="1:6">
      <c r="A111" s="1309" t="s">
        <v>671</v>
      </c>
      <c r="B111" s="1310">
        <v>0</v>
      </c>
      <c r="C111" s="1310"/>
      <c r="D111" s="1310"/>
      <c r="E111" s="1310"/>
      <c r="F111" s="1310"/>
    </row>
    <row r="112" spans="1:6">
      <c r="A112" s="1295"/>
    </row>
    <row r="113" spans="1:6" ht="15.75" thickBot="1">
      <c r="A113" s="1291"/>
      <c r="B113" s="338"/>
      <c r="C113" s="338"/>
      <c r="D113" s="338"/>
      <c r="E113" s="338"/>
      <c r="F113" s="338"/>
    </row>
    <row r="114" spans="1:6" ht="20.25" thickBot="1">
      <c r="A114" s="1288" t="s">
        <v>80</v>
      </c>
      <c r="B114" s="336" t="s">
        <v>395</v>
      </c>
      <c r="C114" s="336" t="s">
        <v>912</v>
      </c>
      <c r="D114" s="336"/>
      <c r="E114" s="336"/>
      <c r="F114" s="340"/>
    </row>
    <row r="115" spans="1:6" ht="16.5" thickTop="1" thickBot="1">
      <c r="A115" s="345"/>
      <c r="B115" s="346" t="s">
        <v>81</v>
      </c>
      <c r="C115" s="346" t="s">
        <v>82</v>
      </c>
      <c r="D115" s="346"/>
      <c r="E115" s="346"/>
      <c r="F115" s="347"/>
    </row>
    <row r="116" spans="1:6" ht="16.5" thickTop="1" thickBot="1">
      <c r="A116" s="1292" t="s">
        <v>4</v>
      </c>
      <c r="B116" s="1293" t="s">
        <v>5</v>
      </c>
      <c r="C116" s="1293" t="s">
        <v>5</v>
      </c>
      <c r="D116" s="1293"/>
      <c r="E116" s="1293"/>
      <c r="F116" s="1294"/>
    </row>
    <row r="117" spans="1:6">
      <c r="A117" s="1295" t="s">
        <v>83</v>
      </c>
      <c r="B117" s="335">
        <v>0</v>
      </c>
      <c r="C117" s="335">
        <v>0</v>
      </c>
    </row>
    <row r="118" spans="1:6">
      <c r="A118" s="1295" t="s">
        <v>84</v>
      </c>
      <c r="B118" s="335">
        <v>0</v>
      </c>
      <c r="C118" s="335">
        <v>0</v>
      </c>
    </row>
    <row r="119" spans="1:6">
      <c r="A119" s="1295" t="s">
        <v>32</v>
      </c>
      <c r="B119" s="335">
        <v>0</v>
      </c>
      <c r="C119" s="335">
        <v>0</v>
      </c>
    </row>
    <row r="120" spans="1:6">
      <c r="A120" s="1295" t="s">
        <v>85</v>
      </c>
      <c r="B120" s="335">
        <v>0</v>
      </c>
      <c r="C120" s="335">
        <v>0</v>
      </c>
    </row>
    <row r="121" spans="1:6">
      <c r="A121" s="1295" t="s">
        <v>86</v>
      </c>
      <c r="B121" s="335">
        <v>1</v>
      </c>
      <c r="C121" s="335">
        <v>0</v>
      </c>
    </row>
    <row r="122" spans="1:6">
      <c r="A122" s="1295" t="s">
        <v>87</v>
      </c>
      <c r="B122" s="335">
        <v>0</v>
      </c>
      <c r="C122" s="335">
        <v>0</v>
      </c>
    </row>
    <row r="123" spans="1:6">
      <c r="A123" s="1295" t="s">
        <v>88</v>
      </c>
      <c r="B123" s="335">
        <v>35</v>
      </c>
      <c r="C123" s="335">
        <v>13</v>
      </c>
    </row>
    <row r="124" spans="1:6">
      <c r="A124" s="1291" t="s">
        <v>89</v>
      </c>
      <c r="B124" s="335">
        <v>1</v>
      </c>
      <c r="C124" s="335">
        <v>0</v>
      </c>
      <c r="D124" s="338"/>
      <c r="E124" s="338"/>
      <c r="F124" s="338"/>
    </row>
    <row r="125" spans="1:6">
      <c r="A125" s="1305"/>
    </row>
    <row r="126" spans="1:6" ht="15.75" thickBot="1">
      <c r="A126" s="1305"/>
    </row>
    <row r="127" spans="1:6" ht="20.25" thickBot="1">
      <c r="A127" s="1288" t="s">
        <v>293</v>
      </c>
      <c r="B127" s="336" t="s">
        <v>395</v>
      </c>
      <c r="C127" s="336" t="s">
        <v>679</v>
      </c>
      <c r="D127" s="336"/>
      <c r="E127" s="336"/>
      <c r="F127" s="340"/>
    </row>
    <row r="128" spans="1:6" ht="16.5" thickTop="1" thickBot="1">
      <c r="A128" s="1292" t="s">
        <v>4</v>
      </c>
      <c r="B128" s="1293" t="s">
        <v>5</v>
      </c>
      <c r="C128" s="1293"/>
      <c r="D128" s="1293"/>
      <c r="E128" s="1293"/>
      <c r="F128" s="1294"/>
    </row>
    <row r="129" spans="1:6">
      <c r="A129" s="1295" t="s">
        <v>294</v>
      </c>
      <c r="B129" s="335">
        <v>95</v>
      </c>
    </row>
    <row r="130" spans="1:6">
      <c r="A130" s="1295" t="s">
        <v>295</v>
      </c>
      <c r="B130" s="335">
        <v>1</v>
      </c>
    </row>
    <row r="131" spans="1:6">
      <c r="A131" s="1295" t="s">
        <v>296</v>
      </c>
      <c r="B131" s="335">
        <v>0</v>
      </c>
    </row>
    <row r="132" spans="1:6">
      <c r="A132" s="1291" t="s">
        <v>297</v>
      </c>
      <c r="B132" s="338">
        <v>16</v>
      </c>
      <c r="C132" s="338"/>
      <c r="D132" s="338"/>
      <c r="E132" s="338"/>
      <c r="F132" s="338"/>
    </row>
    <row r="134" spans="1:6">
      <c r="A134" s="130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3" customWidth="1"/>
  </cols>
  <sheetData>
    <row r="1" spans="1:12" ht="18.75" thickBot="1">
      <c r="A1" s="121" t="s">
        <v>180</v>
      </c>
      <c r="B1" s="519"/>
      <c r="E1" s="652"/>
      <c r="F1" s="652"/>
    </row>
    <row r="2" spans="1:12">
      <c r="A2" s="44" t="s">
        <v>699</v>
      </c>
      <c r="B2" s="520"/>
      <c r="E2" s="652"/>
      <c r="F2" s="652"/>
    </row>
    <row r="3" spans="1:12">
      <c r="A3" s="44"/>
      <c r="B3" s="520"/>
      <c r="E3" s="652"/>
      <c r="F3" s="652"/>
    </row>
    <row r="4" spans="1:12" ht="18">
      <c r="A4" s="137" t="s">
        <v>181</v>
      </c>
      <c r="B4" s="521" t="s">
        <v>389</v>
      </c>
      <c r="E4" s="652"/>
      <c r="F4" s="652"/>
    </row>
    <row r="5" spans="1:12" ht="21">
      <c r="A5" s="116" t="s">
        <v>183</v>
      </c>
      <c r="B5" s="522"/>
      <c r="E5" s="901"/>
      <c r="F5" s="902"/>
      <c r="G5" s="9"/>
      <c r="H5" s="9"/>
      <c r="I5" s="9"/>
      <c r="J5" s="9"/>
    </row>
    <row r="6" spans="1:12">
      <c r="A6" s="117" t="s">
        <v>184</v>
      </c>
      <c r="B6" s="523">
        <v>3.9849787380274715</v>
      </c>
      <c r="E6" s="903"/>
      <c r="F6" s="903"/>
      <c r="G6" s="10"/>
      <c r="H6" s="10"/>
      <c r="I6" s="10"/>
      <c r="J6" s="10"/>
      <c r="K6" s="10"/>
      <c r="L6" s="10"/>
    </row>
    <row r="7" spans="1:12">
      <c r="A7" s="117" t="s">
        <v>6</v>
      </c>
      <c r="B7" s="523">
        <v>144.70945392535046</v>
      </c>
      <c r="E7" s="652"/>
      <c r="F7" s="652"/>
      <c r="K7" s="10"/>
      <c r="L7" s="10"/>
    </row>
    <row r="8" spans="1:12">
      <c r="A8" s="117" t="s">
        <v>7</v>
      </c>
      <c r="B8" s="523">
        <v>91.920587793024012</v>
      </c>
      <c r="E8" s="652"/>
      <c r="F8" s="652"/>
      <c r="K8" s="10"/>
      <c r="L8" s="10"/>
    </row>
    <row r="9" spans="1:12">
      <c r="A9" s="117" t="s">
        <v>8</v>
      </c>
      <c r="B9" s="523">
        <v>31.466379225633727</v>
      </c>
      <c r="E9" s="903"/>
      <c r="F9" s="903"/>
      <c r="G9" s="10"/>
      <c r="H9" s="10"/>
      <c r="I9" s="10"/>
      <c r="J9" s="10"/>
      <c r="K9" s="10"/>
      <c r="L9" s="10"/>
    </row>
    <row r="10" spans="1:12">
      <c r="A10" s="117" t="s">
        <v>9</v>
      </c>
      <c r="B10" s="523">
        <v>47.265136268950577</v>
      </c>
      <c r="E10" s="904"/>
      <c r="F10" s="904"/>
      <c r="G10" s="11"/>
      <c r="H10" s="11"/>
      <c r="I10" s="11"/>
      <c r="J10" s="11"/>
      <c r="K10" s="10"/>
      <c r="L10" s="10"/>
    </row>
    <row r="11" spans="1:12">
      <c r="A11" s="117" t="s">
        <v>10</v>
      </c>
      <c r="B11" s="523">
        <v>47.685070955670064</v>
      </c>
      <c r="E11" s="652"/>
      <c r="F11" s="904"/>
      <c r="G11" s="11"/>
      <c r="H11" s="11"/>
      <c r="I11" s="11"/>
      <c r="J11" s="11"/>
      <c r="K11" s="10"/>
      <c r="L11" s="10"/>
    </row>
    <row r="12" spans="1:12">
      <c r="A12" s="118" t="s">
        <v>16</v>
      </c>
      <c r="B12" s="523">
        <v>8</v>
      </c>
      <c r="E12" s="904"/>
      <c r="F12" s="903"/>
      <c r="G12" s="10"/>
      <c r="H12" s="10"/>
      <c r="I12" s="10"/>
      <c r="J12" s="10"/>
      <c r="K12" s="10"/>
      <c r="L12" s="10"/>
    </row>
    <row r="13" spans="1:12">
      <c r="A13" s="118" t="s">
        <v>17</v>
      </c>
      <c r="B13" s="523">
        <v>5</v>
      </c>
      <c r="E13" s="903"/>
      <c r="F13" s="903"/>
      <c r="G13" s="10"/>
      <c r="H13" s="10"/>
      <c r="I13" s="10"/>
      <c r="J13" s="10"/>
      <c r="K13" s="10"/>
      <c r="L13" s="10"/>
    </row>
    <row r="14" spans="1:12">
      <c r="A14" s="118" t="s">
        <v>185</v>
      </c>
      <c r="B14" s="523">
        <v>1.5</v>
      </c>
      <c r="E14" s="903"/>
      <c r="F14" s="903"/>
      <c r="G14" s="10"/>
      <c r="H14" s="10"/>
      <c r="I14" s="10"/>
      <c r="J14" s="10"/>
      <c r="K14" s="10"/>
      <c r="L14" s="10"/>
    </row>
    <row r="15" spans="1:12">
      <c r="A15" s="118" t="s">
        <v>186</v>
      </c>
      <c r="B15" s="523">
        <v>18</v>
      </c>
      <c r="E15" s="903"/>
      <c r="F15" s="903"/>
      <c r="G15" s="10"/>
      <c r="H15" s="10"/>
      <c r="I15" s="10"/>
      <c r="J15" s="10"/>
      <c r="K15" s="10"/>
      <c r="L15" s="10"/>
    </row>
    <row r="16" spans="1:12">
      <c r="A16" s="118" t="s">
        <v>187</v>
      </c>
      <c r="B16" s="524">
        <v>10</v>
      </c>
      <c r="E16" s="903"/>
      <c r="F16" s="903"/>
      <c r="G16" s="10"/>
      <c r="H16" s="10"/>
      <c r="I16" s="10"/>
      <c r="J16" s="10"/>
      <c r="K16" s="10"/>
      <c r="L16" s="10"/>
    </row>
    <row r="17" spans="1:12" s="43" customFormat="1" ht="15.75" thickBot="1">
      <c r="A17" s="119"/>
      <c r="B17" s="525"/>
      <c r="E17" s="905"/>
      <c r="F17" s="905"/>
      <c r="G17" s="156"/>
      <c r="H17" s="156"/>
      <c r="I17" s="156"/>
      <c r="J17" s="156"/>
      <c r="K17" s="156"/>
      <c r="L17" s="156"/>
    </row>
    <row r="18" spans="1:12" s="43" customFormat="1" ht="15.75" thickBot="1">
      <c r="A18" s="197"/>
      <c r="B18" s="526"/>
      <c r="E18" s="905"/>
      <c r="F18" s="905"/>
      <c r="G18" s="156"/>
      <c r="H18" s="156"/>
      <c r="I18" s="156"/>
      <c r="J18" s="156"/>
      <c r="K18" s="156"/>
      <c r="L18" s="156"/>
    </row>
    <row r="19" spans="1:12" ht="18.75" thickBot="1">
      <c r="A19" s="121" t="s">
        <v>188</v>
      </c>
      <c r="B19" s="519"/>
      <c r="E19" s="903"/>
      <c r="F19" s="903"/>
      <c r="G19" s="10"/>
      <c r="H19" s="10"/>
      <c r="I19" s="10"/>
      <c r="J19" s="10"/>
      <c r="K19" s="10"/>
      <c r="L19" s="10"/>
    </row>
    <row r="20" spans="1:12">
      <c r="A20" s="44" t="s">
        <v>699</v>
      </c>
      <c r="B20" s="520"/>
      <c r="E20" s="903"/>
      <c r="F20" s="903"/>
      <c r="G20" s="10"/>
      <c r="H20" s="10"/>
      <c r="I20" s="10"/>
      <c r="J20" s="10"/>
      <c r="K20" s="10"/>
      <c r="L20" s="10"/>
    </row>
    <row r="21" spans="1:12">
      <c r="A21" s="44"/>
      <c r="B21" s="520"/>
      <c r="E21" s="903"/>
      <c r="F21" s="903"/>
      <c r="G21" s="10"/>
      <c r="H21" s="10"/>
      <c r="I21" s="10"/>
      <c r="J21" s="10"/>
      <c r="K21" s="10"/>
      <c r="L21" s="10"/>
    </row>
    <row r="22" spans="1:12" ht="18">
      <c r="A22" s="138" t="s">
        <v>181</v>
      </c>
      <c r="B22" s="527" t="s">
        <v>389</v>
      </c>
      <c r="E22" s="903"/>
      <c r="F22" s="903"/>
      <c r="G22" s="10"/>
      <c r="H22" s="10"/>
      <c r="I22" s="10"/>
      <c r="J22" s="10"/>
      <c r="K22" s="10"/>
      <c r="L22" s="10"/>
    </row>
    <row r="23" spans="1:12" s="72" customFormat="1">
      <c r="A23" s="118" t="s">
        <v>183</v>
      </c>
      <c r="B23" s="523">
        <v>10.912785315671329</v>
      </c>
      <c r="E23" s="906"/>
      <c r="F23" s="906"/>
    </row>
    <row r="24" spans="1:12">
      <c r="A24" s="117" t="s">
        <v>184</v>
      </c>
      <c r="B24" s="523">
        <v>4.2231090152811745</v>
      </c>
      <c r="E24" s="903"/>
      <c r="F24" s="903"/>
      <c r="G24" s="10"/>
      <c r="H24" s="10"/>
      <c r="I24" s="10"/>
      <c r="J24" s="10"/>
      <c r="K24" s="10"/>
      <c r="L24" s="10"/>
    </row>
    <row r="25" spans="1:12">
      <c r="A25" s="117" t="s">
        <v>6</v>
      </c>
      <c r="B25" s="523">
        <v>36.583422624427001</v>
      </c>
      <c r="E25" s="903"/>
      <c r="F25" s="903"/>
      <c r="G25" s="10"/>
      <c r="H25" s="10"/>
      <c r="I25" s="10"/>
      <c r="J25" s="10"/>
      <c r="K25" s="10"/>
      <c r="L25" s="10"/>
    </row>
    <row r="26" spans="1:12">
      <c r="A26" s="117" t="s">
        <v>7</v>
      </c>
      <c r="B26" s="523">
        <v>2.6317021787707016</v>
      </c>
      <c r="E26" s="903"/>
      <c r="F26" s="903"/>
      <c r="G26" s="10"/>
      <c r="H26" s="10"/>
      <c r="I26" s="10"/>
      <c r="J26" s="10"/>
      <c r="K26" s="10"/>
      <c r="L26" s="10"/>
    </row>
    <row r="27" spans="1:12">
      <c r="A27" s="117" t="s">
        <v>8</v>
      </c>
      <c r="B27" s="523">
        <v>1.3742356711711319</v>
      </c>
      <c r="E27" s="903"/>
      <c r="F27" s="903"/>
      <c r="G27" s="10"/>
      <c r="H27" s="10"/>
      <c r="I27" s="10"/>
      <c r="J27" s="10"/>
      <c r="K27" s="10"/>
      <c r="L27" s="10"/>
    </row>
    <row r="28" spans="1:12">
      <c r="A28" s="117" t="s">
        <v>9</v>
      </c>
      <c r="B28" s="523">
        <v>9.3577839260338891</v>
      </c>
      <c r="E28" s="903"/>
      <c r="F28" s="903"/>
      <c r="G28" s="10"/>
      <c r="H28" s="10"/>
      <c r="I28" s="10"/>
      <c r="J28" s="10"/>
      <c r="K28" s="10"/>
      <c r="L28" s="10"/>
    </row>
    <row r="29" spans="1:12">
      <c r="A29" s="117" t="s">
        <v>10</v>
      </c>
      <c r="B29" s="523">
        <v>3.8951527391088074</v>
      </c>
      <c r="E29" s="903"/>
      <c r="F29" s="903"/>
      <c r="G29" s="10"/>
      <c r="H29" s="10"/>
      <c r="I29" s="10"/>
      <c r="J29" s="10"/>
      <c r="K29" s="10"/>
      <c r="L29" s="10"/>
    </row>
    <row r="30" spans="1:12">
      <c r="A30" s="118" t="s">
        <v>185</v>
      </c>
      <c r="B30" s="523">
        <v>4.4836789804839272</v>
      </c>
      <c r="E30" s="903"/>
      <c r="F30" s="903"/>
      <c r="G30" s="10"/>
      <c r="H30" s="10"/>
      <c r="I30" s="10"/>
      <c r="J30" s="10"/>
      <c r="K30" s="10"/>
      <c r="L30" s="10"/>
    </row>
    <row r="31" spans="1:12">
      <c r="A31" s="117" t="s">
        <v>11</v>
      </c>
      <c r="B31" s="523">
        <v>1.6075002802320006</v>
      </c>
      <c r="E31" s="903"/>
      <c r="F31" s="903"/>
      <c r="G31" s="10"/>
      <c r="H31" s="10"/>
      <c r="I31" s="10"/>
      <c r="J31" s="10"/>
      <c r="K31" s="10"/>
      <c r="L31" s="10"/>
    </row>
    <row r="32" spans="1:12">
      <c r="A32" s="117" t="s">
        <v>12</v>
      </c>
      <c r="B32" s="523">
        <v>4.8225008406960006</v>
      </c>
      <c r="E32" s="903"/>
      <c r="F32" s="903"/>
      <c r="G32" s="10"/>
      <c r="H32" s="10"/>
      <c r="I32" s="10"/>
      <c r="J32" s="10"/>
      <c r="K32" s="10"/>
      <c r="L32" s="10"/>
    </row>
    <row r="33" spans="1:14">
      <c r="A33" s="117" t="s">
        <v>13</v>
      </c>
      <c r="B33" s="523">
        <v>6.3685027042560023</v>
      </c>
      <c r="E33" s="903"/>
      <c r="F33" s="903"/>
      <c r="G33" s="10"/>
      <c r="H33" s="10"/>
      <c r="I33" s="10"/>
      <c r="J33" s="10"/>
      <c r="K33" s="10"/>
      <c r="L33" s="10"/>
    </row>
    <row r="34" spans="1:14">
      <c r="A34" s="117" t="s">
        <v>14</v>
      </c>
      <c r="B34" s="523">
        <v>4.6362973013280016</v>
      </c>
      <c r="E34" s="903"/>
      <c r="F34" s="903"/>
      <c r="G34" s="10"/>
      <c r="H34" s="10"/>
      <c r="I34" s="10"/>
      <c r="J34" s="10"/>
      <c r="K34" s="10"/>
      <c r="L34" s="10"/>
    </row>
    <row r="35" spans="1:14">
      <c r="A35" s="117" t="s">
        <v>15</v>
      </c>
      <c r="B35" s="523">
        <v>12.338973989496003</v>
      </c>
      <c r="E35" s="903"/>
      <c r="F35" s="903"/>
      <c r="G35" s="10"/>
      <c r="H35" s="10"/>
      <c r="I35" s="10"/>
      <c r="J35" s="10"/>
      <c r="K35" s="10"/>
      <c r="L35" s="10"/>
    </row>
    <row r="36" spans="1:14">
      <c r="A36" s="118" t="s">
        <v>16</v>
      </c>
      <c r="B36" s="523">
        <v>0.18999999999999997</v>
      </c>
      <c r="E36" s="903"/>
      <c r="F36" s="903"/>
      <c r="G36" s="10"/>
      <c r="H36" s="10"/>
      <c r="I36" s="10"/>
      <c r="J36" s="10"/>
      <c r="K36" s="10"/>
      <c r="L36" s="10"/>
    </row>
    <row r="37" spans="1:14">
      <c r="A37" s="118" t="s">
        <v>17</v>
      </c>
      <c r="B37" s="523">
        <v>0.13</v>
      </c>
      <c r="E37" s="652"/>
      <c r="F37" s="652"/>
    </row>
    <row r="38" spans="1:14">
      <c r="A38" s="118" t="s">
        <v>186</v>
      </c>
      <c r="B38" s="523">
        <v>1.56</v>
      </c>
      <c r="E38" s="652"/>
      <c r="F38" s="652"/>
    </row>
    <row r="39" spans="1:14">
      <c r="A39" s="118" t="s">
        <v>187</v>
      </c>
      <c r="B39" s="523">
        <v>0.76</v>
      </c>
      <c r="E39" s="652"/>
      <c r="F39" s="652"/>
    </row>
    <row r="40" spans="1:14">
      <c r="A40" s="118" t="s">
        <v>18</v>
      </c>
      <c r="B40" s="524">
        <v>2.3648437564623523E-2</v>
      </c>
      <c r="E40" s="652"/>
      <c r="F40" s="652"/>
    </row>
    <row r="41" spans="1:14" ht="15.75" thickBot="1">
      <c r="A41" s="119"/>
      <c r="B41" s="528"/>
      <c r="E41" s="652"/>
      <c r="F41" s="652"/>
    </row>
    <row r="42" spans="1:14" s="43" customFormat="1" ht="15.75" thickBot="1">
      <c r="A42" s="198"/>
      <c r="B42" s="526"/>
      <c r="E42" s="907"/>
      <c r="F42" s="907"/>
      <c r="G42" s="199"/>
      <c r="H42" s="199"/>
      <c r="I42" s="199"/>
      <c r="J42" s="199"/>
      <c r="K42" s="199"/>
      <c r="L42" s="199"/>
      <c r="M42" s="199"/>
      <c r="N42" s="199"/>
    </row>
    <row r="43" spans="1:14" ht="15.75" thickBot="1">
      <c r="A43" s="121" t="s">
        <v>189</v>
      </c>
      <c r="B43" s="529"/>
      <c r="E43" s="652"/>
      <c r="F43" s="652"/>
    </row>
    <row r="44" spans="1:14">
      <c r="A44" s="44" t="s">
        <v>700</v>
      </c>
      <c r="B44" s="520"/>
      <c r="E44" s="652"/>
      <c r="F44" s="652"/>
    </row>
    <row r="45" spans="1:14">
      <c r="A45" s="44"/>
      <c r="B45" s="520"/>
      <c r="E45" s="652"/>
      <c r="F45" s="652"/>
    </row>
    <row r="46" spans="1:14" ht="18">
      <c r="A46" s="137" t="s">
        <v>190</v>
      </c>
      <c r="B46" s="521" t="s">
        <v>588</v>
      </c>
      <c r="E46" s="652"/>
      <c r="F46" s="652"/>
    </row>
    <row r="47" spans="1:14">
      <c r="A47" s="116" t="s">
        <v>191</v>
      </c>
      <c r="B47" s="530">
        <v>0.9128095917751945</v>
      </c>
      <c r="E47" s="652"/>
      <c r="F47" s="652"/>
    </row>
    <row r="48" spans="1:14">
      <c r="A48" s="118" t="s">
        <v>192</v>
      </c>
      <c r="B48" s="523">
        <v>0.92100877273299775</v>
      </c>
      <c r="E48" s="652"/>
      <c r="F48" s="652"/>
    </row>
    <row r="49" spans="1:12">
      <c r="A49" s="118" t="s">
        <v>185</v>
      </c>
      <c r="B49" s="523">
        <v>3.3355943552287243E-2</v>
      </c>
      <c r="E49" s="652"/>
      <c r="F49" s="652"/>
    </row>
    <row r="50" spans="1:12">
      <c r="A50" s="118" t="s">
        <v>18</v>
      </c>
      <c r="B50" s="523">
        <v>9.7262708792387651E-4</v>
      </c>
      <c r="E50" s="903"/>
      <c r="F50" s="903"/>
      <c r="G50" s="10"/>
      <c r="H50" s="10"/>
      <c r="I50" s="10"/>
      <c r="J50" s="10"/>
      <c r="K50" s="10"/>
      <c r="L50" s="10"/>
    </row>
    <row r="51" spans="1:12">
      <c r="A51" s="118" t="s">
        <v>16</v>
      </c>
      <c r="B51" s="523">
        <v>6.4135215417537765E-3</v>
      </c>
      <c r="E51" s="903"/>
      <c r="F51" s="903"/>
      <c r="G51" s="10"/>
      <c r="H51" s="10"/>
      <c r="I51" s="10"/>
      <c r="J51" s="10"/>
      <c r="K51" s="10"/>
      <c r="L51" s="10"/>
    </row>
    <row r="52" spans="1:12" ht="15.75" thickBot="1">
      <c r="A52" s="119" t="s">
        <v>127</v>
      </c>
      <c r="B52" s="531">
        <v>0.10115527992891835</v>
      </c>
      <c r="E52" s="652"/>
      <c r="F52" s="652"/>
    </row>
    <row r="53" spans="1:12">
      <c r="B53" s="53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0" customWidth="1"/>
    <col min="3" max="3" width="70.28515625" style="536" customWidth="1"/>
  </cols>
  <sheetData>
    <row r="1" spans="1:3" s="335" customFormat="1" ht="15.75" thickBot="1">
      <c r="A1" s="374" t="s">
        <v>639</v>
      </c>
      <c r="B1" s="534"/>
      <c r="C1" s="535"/>
    </row>
    <row r="2" spans="1:3" s="335" customFormat="1">
      <c r="A2" s="378"/>
      <c r="B2" s="500"/>
      <c r="C2" s="537"/>
    </row>
    <row r="3" spans="1:3" s="335" customFormat="1">
      <c r="A3" s="376"/>
      <c r="B3" s="538">
        <v>2012</v>
      </c>
      <c r="C3" s="379" t="s">
        <v>182</v>
      </c>
    </row>
    <row r="4" spans="1:3">
      <c r="A4" s="120" t="s">
        <v>301</v>
      </c>
      <c r="B4" s="539">
        <f>4004966.03419121/1000</f>
        <v>4004.9660341912099</v>
      </c>
      <c r="C4" s="139" t="s">
        <v>708</v>
      </c>
    </row>
    <row r="5" spans="1:3" ht="15.75" thickBot="1">
      <c r="A5" s="115" t="s">
        <v>638</v>
      </c>
      <c r="B5" s="540">
        <v>672355</v>
      </c>
      <c r="C5" s="140" t="s">
        <v>683</v>
      </c>
    </row>
    <row r="11" spans="1:3">
      <c r="B11" s="79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1">
        <v>310</v>
      </c>
    </row>
    <row r="5" spans="1:2" ht="18.75" thickBot="1">
      <c r="A5" s="115" t="s">
        <v>454</v>
      </c>
      <c r="B5" s="542">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793"/>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5"/>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84" customWidth="1"/>
    <col min="3" max="3" width="12" style="884" customWidth="1"/>
    <col min="4" max="4" width="9.140625" style="884"/>
    <col min="5" max="5" width="50.42578125" style="884" customWidth="1"/>
    <col min="6" max="6" width="19.28515625" style="884" customWidth="1"/>
    <col min="7" max="7" width="9.140625" style="884"/>
    <col min="8" max="8" width="23.42578125" style="884" customWidth="1"/>
    <col min="9" max="10" width="9.140625" style="884"/>
    <col min="11" max="11" width="80.140625" style="884" customWidth="1"/>
    <col min="12" max="16384" width="9.140625" style="884"/>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template'!C27),0,'SEAP template'!C27)</f>
        <v>52057.730492873401</v>
      </c>
      <c r="C3" s="43" t="s">
        <v>170</v>
      </c>
      <c r="D3" s="43"/>
      <c r="E3" s="156"/>
      <c r="F3" s="43"/>
      <c r="G3" s="43"/>
      <c r="H3" s="43"/>
      <c r="I3" s="43"/>
      <c r="J3" s="43"/>
      <c r="K3" s="96"/>
    </row>
    <row r="4" spans="1:11">
      <c r="A4" s="366" t="s">
        <v>171</v>
      </c>
      <c r="B4" s="49">
        <f>IF(ISERROR('SEAP template'!B78+'SEAP template'!C78),0,'SEAP template'!B78+'SEAP template'!C78)</f>
        <v>3303.4666999999999</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3"/>
      <c r="F5" s="43"/>
      <c r="G5" s="43"/>
      <c r="H5" s="43"/>
      <c r="I5" s="43"/>
      <c r="J5" s="43"/>
      <c r="K5" s="96"/>
    </row>
    <row r="6" spans="1:11">
      <c r="A6" s="366" t="s">
        <v>172</v>
      </c>
      <c r="B6" s="544">
        <f>E6</f>
        <v>0.221</v>
      </c>
      <c r="C6" s="43" t="s">
        <v>173</v>
      </c>
      <c r="D6" s="43"/>
      <c r="E6" s="942">
        <v>0.221</v>
      </c>
      <c r="F6" s="43" t="s">
        <v>802</v>
      </c>
      <c r="G6" s="43" t="s">
        <v>805</v>
      </c>
      <c r="H6" s="43"/>
      <c r="I6" s="43"/>
      <c r="J6" s="43"/>
      <c r="K6" s="96"/>
    </row>
    <row r="7" spans="1:11">
      <c r="A7" s="366"/>
      <c r="B7" s="462"/>
      <c r="C7" s="43"/>
      <c r="D7" s="43"/>
      <c r="E7" s="43"/>
      <c r="F7" s="48"/>
      <c r="G7" s="43"/>
      <c r="H7" s="43"/>
      <c r="I7" s="43"/>
      <c r="J7" s="43"/>
      <c r="K7" s="96"/>
    </row>
    <row r="8" spans="1:11">
      <c r="A8" s="366"/>
      <c r="B8" s="462"/>
      <c r="C8" s="43"/>
      <c r="D8" s="43"/>
      <c r="E8" s="43"/>
      <c r="F8" s="48"/>
      <c r="G8" s="43"/>
      <c r="H8" s="941"/>
      <c r="I8" s="157"/>
      <c r="J8" s="43"/>
      <c r="K8" s="96"/>
    </row>
    <row r="9" spans="1:11">
      <c r="A9" s="366" t="s">
        <v>175</v>
      </c>
      <c r="B9" s="49">
        <f>IF(ISERROR('SEAP template'!Q78),0,'SEAP template'!Q78)</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2"/>
      <c r="C11" s="43"/>
      <c r="D11" s="43"/>
      <c r="E11" s="43"/>
      <c r="F11" s="43"/>
      <c r="G11" s="43"/>
      <c r="H11" s="43"/>
      <c r="I11" s="43"/>
      <c r="J11" s="43"/>
      <c r="K11" s="96"/>
    </row>
    <row r="12" spans="1:11">
      <c r="A12" s="367" t="s">
        <v>176</v>
      </c>
      <c r="B12" s="543">
        <f ca="1">IF((B4+B5)&gt;B3,(B9+B10)/(B4+B5),((B3-B4-B5)*B6+B9+B10)/B3)</f>
        <v>0.20697583617672413</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template'!Q90),0,'SEAP template'!Q90)</f>
        <v>0</v>
      </c>
      <c r="C17" s="43" t="s">
        <v>174</v>
      </c>
      <c r="D17" s="43"/>
      <c r="E17" s="43"/>
      <c r="F17" s="43"/>
      <c r="G17" s="43"/>
      <c r="H17" s="43"/>
      <c r="I17" s="43"/>
      <c r="J17" s="43"/>
      <c r="K17" s="96"/>
    </row>
    <row r="18" spans="1:11">
      <c r="A18" s="366" t="s">
        <v>178</v>
      </c>
      <c r="B18" s="49">
        <f>IF(ISERROR('Eigen informatie GS &amp; warmtenet'!B52),0,'Eigen informatie GS &amp; warmtenet'!B52)</f>
        <v>0</v>
      </c>
      <c r="C18" s="43" t="s">
        <v>174</v>
      </c>
      <c r="D18" s="43"/>
      <c r="E18" s="43"/>
      <c r="F18" s="43"/>
      <c r="G18" s="43"/>
      <c r="H18" s="43"/>
      <c r="I18" s="43"/>
      <c r="J18" s="43"/>
      <c r="K18" s="96"/>
    </row>
    <row r="19" spans="1:11">
      <c r="A19" s="366" t="s">
        <v>302</v>
      </c>
      <c r="B19" s="49">
        <f>IF(ISERROR('Eigen informatie GS &amp; warmtenet'!B53),0,'Eigen informatie GS &amp; warmtenet'!B53)</f>
        <v>0</v>
      </c>
      <c r="C19" s="43" t="s">
        <v>174</v>
      </c>
      <c r="D19" s="43"/>
      <c r="E19" s="43"/>
      <c r="F19" s="43"/>
      <c r="G19" s="43"/>
      <c r="H19" s="43"/>
      <c r="I19" s="43"/>
      <c r="J19" s="43"/>
      <c r="K19" s="96"/>
    </row>
    <row r="20" spans="1:11">
      <c r="A20" s="366" t="s">
        <v>513</v>
      </c>
      <c r="B20" s="49">
        <f ca="1">IF(ISERROR('SEAP template'!D27),0,('SEAP template'!D27))</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5">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885" t="s">
        <v>724</v>
      </c>
      <c r="B1" s="885" t="s">
        <v>308</v>
      </c>
      <c r="C1" s="885" t="s">
        <v>312</v>
      </c>
      <c r="D1" s="885" t="s">
        <v>313</v>
      </c>
      <c r="E1" s="885" t="s">
        <v>314</v>
      </c>
      <c r="F1" s="885" t="s">
        <v>315</v>
      </c>
      <c r="G1" s="318"/>
      <c r="H1" s="914"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885"/>
    </row>
    <row r="3" spans="1:8">
      <c r="A3" s="318" t="str">
        <f>CONCATENATE(TableECFTransport[[#This Row],[Voertuigtype]],"_",TableECFTransport[[#This Row],[Wegtype]],"_",TableECFTransport[[#This Row],[Brandstoftechnologie]],"_",TableECFTransport[[#This Row],[Brandstof]])</f>
        <v>BUS_Genummerde wegen_Diesel_Diesel</v>
      </c>
      <c r="B3" s="916" t="s">
        <v>733</v>
      </c>
      <c r="C3" s="916" t="s">
        <v>64</v>
      </c>
      <c r="D3" s="916" t="s">
        <v>202</v>
      </c>
      <c r="E3" s="916" t="s">
        <v>202</v>
      </c>
      <c r="F3" s="916">
        <v>9.7352475864313862E-9</v>
      </c>
    </row>
    <row r="4" spans="1:8">
      <c r="A4" s="318" t="str">
        <f>CONCATENATE(TableECFTransport[[#This Row],[Voertuigtype]],"_",TableECFTransport[[#This Row],[Wegtype]],"_",TableECFTransport[[#This Row],[Brandstoftechnologie]],"_",TableECFTransport[[#This Row],[Brandstof]])</f>
        <v>BUS_Niet-genummerde wegen_Diesel_Diesel</v>
      </c>
      <c r="B4" s="916" t="s">
        <v>733</v>
      </c>
      <c r="C4" s="916" t="s">
        <v>65</v>
      </c>
      <c r="D4" s="916" t="s">
        <v>202</v>
      </c>
      <c r="E4" s="916" t="s">
        <v>202</v>
      </c>
      <c r="F4" s="916">
        <v>1.7534715166116683E-8</v>
      </c>
    </row>
    <row r="5" spans="1:8" s="885" customFormat="1">
      <c r="A5" s="318" t="str">
        <f>CONCATENATE(TableECFTransport[[#This Row],[Voertuigtype]],"_",TableECFTransport[[#This Row],[Wegtype]],"_",TableECFTransport[[#This Row],[Brandstoftechnologie]],"_",TableECFTransport[[#This Row],[Brandstof]])</f>
        <v>BUS_Genummerde wegen_Diesel Hybrid CS_Diesel</v>
      </c>
      <c r="B5" s="916" t="s">
        <v>733</v>
      </c>
      <c r="C5" s="916" t="s">
        <v>64</v>
      </c>
      <c r="D5" s="915" t="s">
        <v>317</v>
      </c>
      <c r="E5" s="916" t="s">
        <v>202</v>
      </c>
      <c r="F5" s="916">
        <v>9.7352475864313862E-9</v>
      </c>
    </row>
    <row r="6" spans="1:8" s="885" customFormat="1">
      <c r="A6" s="318" t="str">
        <f>CONCATENATE(TableECFTransport[[#This Row],[Voertuigtype]],"_",TableECFTransport[[#This Row],[Wegtype]],"_",TableECFTransport[[#This Row],[Brandstoftechnologie]],"_",TableECFTransport[[#This Row],[Brandstof]])</f>
        <v>BUS_Niet-genummerde wegen_Diesel Hybrid CS_Diesel</v>
      </c>
      <c r="B6" s="916" t="s">
        <v>733</v>
      </c>
      <c r="C6" s="916" t="s">
        <v>65</v>
      </c>
      <c r="D6" s="915" t="s">
        <v>317</v>
      </c>
      <c r="E6" s="916" t="s">
        <v>202</v>
      </c>
      <c r="F6" s="916">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24" t="s">
        <v>725</v>
      </c>
      <c r="C7" s="924" t="s">
        <v>64</v>
      </c>
      <c r="D7" s="924" t="s">
        <v>309</v>
      </c>
      <c r="E7" s="924" t="s">
        <v>309</v>
      </c>
      <c r="F7" s="925">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24" t="s">
        <v>725</v>
      </c>
      <c r="C8" s="924" t="s">
        <v>64</v>
      </c>
      <c r="D8" s="924" t="s">
        <v>202</v>
      </c>
      <c r="E8" s="924" t="s">
        <v>202</v>
      </c>
      <c r="F8" s="925">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24" t="s">
        <v>725</v>
      </c>
      <c r="C9" s="924" t="s">
        <v>64</v>
      </c>
      <c r="D9" s="924" t="s">
        <v>672</v>
      </c>
      <c r="E9" s="924" t="s">
        <v>672</v>
      </c>
      <c r="F9" s="925">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24" t="s">
        <v>725</v>
      </c>
      <c r="C10" s="924" t="s">
        <v>64</v>
      </c>
      <c r="D10" s="924" t="s">
        <v>310</v>
      </c>
      <c r="E10" s="924" t="s">
        <v>310</v>
      </c>
      <c r="F10" s="92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24" t="s">
        <v>725</v>
      </c>
      <c r="C11" s="924" t="s">
        <v>64</v>
      </c>
      <c r="D11" s="924" t="s">
        <v>119</v>
      </c>
      <c r="E11" s="924" t="s">
        <v>119</v>
      </c>
      <c r="F11" s="925">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24" t="s">
        <v>725</v>
      </c>
      <c r="C12" s="924" t="s">
        <v>64</v>
      </c>
      <c r="D12" s="924" t="s">
        <v>311</v>
      </c>
      <c r="E12" s="924" t="s">
        <v>311</v>
      </c>
      <c r="F12" s="925">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24" t="s">
        <v>725</v>
      </c>
      <c r="C13" s="924" t="s">
        <v>64</v>
      </c>
      <c r="D13" s="924" t="s">
        <v>735</v>
      </c>
      <c r="E13" s="924" t="s">
        <v>311</v>
      </c>
      <c r="F13" s="925">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24" t="s">
        <v>725</v>
      </c>
      <c r="C14" s="924" t="s">
        <v>65</v>
      </c>
      <c r="D14" s="924" t="s">
        <v>309</v>
      </c>
      <c r="E14" s="924" t="s">
        <v>309</v>
      </c>
      <c r="F14" s="925">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24" t="s">
        <v>725</v>
      </c>
      <c r="C15" s="924" t="s">
        <v>65</v>
      </c>
      <c r="D15" s="924" t="s">
        <v>202</v>
      </c>
      <c r="E15" s="924" t="s">
        <v>202</v>
      </c>
      <c r="F15" s="925">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24" t="s">
        <v>725</v>
      </c>
      <c r="C16" s="924" t="s">
        <v>65</v>
      </c>
      <c r="D16" s="924" t="s">
        <v>672</v>
      </c>
      <c r="E16" s="924" t="s">
        <v>672</v>
      </c>
      <c r="F16" s="925">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24" t="s">
        <v>725</v>
      </c>
      <c r="C17" s="924" t="s">
        <v>65</v>
      </c>
      <c r="D17" s="924" t="s">
        <v>310</v>
      </c>
      <c r="E17" s="924" t="s">
        <v>310</v>
      </c>
      <c r="F17" s="92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24" t="s">
        <v>725</v>
      </c>
      <c r="C18" s="924" t="s">
        <v>65</v>
      </c>
      <c r="D18" s="924" t="s">
        <v>119</v>
      </c>
      <c r="E18" s="924" t="s">
        <v>119</v>
      </c>
      <c r="F18" s="925">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24" t="s">
        <v>725</v>
      </c>
      <c r="C19" s="924" t="s">
        <v>65</v>
      </c>
      <c r="D19" s="924" t="s">
        <v>311</v>
      </c>
      <c r="E19" s="924" t="s">
        <v>311</v>
      </c>
      <c r="F19" s="925">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24" t="s">
        <v>725</v>
      </c>
      <c r="C20" s="924" t="s">
        <v>65</v>
      </c>
      <c r="D20" s="924" t="s">
        <v>735</v>
      </c>
      <c r="E20" s="924" t="s">
        <v>311</v>
      </c>
      <c r="F20" s="925">
        <v>1.3989990926600043E-9</v>
      </c>
    </row>
    <row r="21" spans="1:6">
      <c r="A21" s="318" t="str">
        <f>CONCATENATE(TableECFTransport[[#This Row],[Voertuigtype]],"_",TableECFTransport[[#This Row],[Wegtype]],"_",TableECFTransport[[#This Row],[Brandstoftechnologie]],"_",TableECFTransport[[#This Row],[Brandstof]])</f>
        <v>Lichte voertuigen_snelwegen_CNG_CNG</v>
      </c>
      <c r="B21" s="924" t="s">
        <v>725</v>
      </c>
      <c r="C21" s="924" t="s">
        <v>734</v>
      </c>
      <c r="D21" s="924" t="s">
        <v>309</v>
      </c>
      <c r="E21" s="924" t="s">
        <v>309</v>
      </c>
      <c r="F21" s="925">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24" t="s">
        <v>725</v>
      </c>
      <c r="C22" s="924" t="s">
        <v>734</v>
      </c>
      <c r="D22" s="924" t="s">
        <v>202</v>
      </c>
      <c r="E22" s="924" t="s">
        <v>202</v>
      </c>
      <c r="F22" s="925">
        <v>2.4599860047824798E-9</v>
      </c>
    </row>
    <row r="23" spans="1:6">
      <c r="A23" s="318" t="str">
        <f>CONCATENATE(TableECFTransport[[#This Row],[Voertuigtype]],"_",TableECFTransport[[#This Row],[Wegtype]],"_",TableECFTransport[[#This Row],[Brandstoftechnologie]],"_",TableECFTransport[[#This Row],[Brandstof]])</f>
        <v>Lichte voertuigen_snelwegen_E85_E85</v>
      </c>
      <c r="B23" s="924" t="s">
        <v>725</v>
      </c>
      <c r="C23" s="924" t="s">
        <v>734</v>
      </c>
      <c r="D23" s="924" t="s">
        <v>672</v>
      </c>
      <c r="E23" s="924" t="s">
        <v>672</v>
      </c>
      <c r="F23" s="925">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24" t="s">
        <v>725</v>
      </c>
      <c r="C24" s="924" t="s">
        <v>734</v>
      </c>
      <c r="D24" s="924" t="s">
        <v>310</v>
      </c>
      <c r="E24" s="924" t="s">
        <v>310</v>
      </c>
      <c r="F24" s="925">
        <v>8.4999999999999996E-10</v>
      </c>
    </row>
    <row r="25" spans="1:6">
      <c r="A25" s="318" t="str">
        <f>CONCATENATE(TableECFTransport[[#This Row],[Voertuigtype]],"_",TableECFTransport[[#This Row],[Wegtype]],"_",TableECFTransport[[#This Row],[Brandstoftechnologie]],"_",TableECFTransport[[#This Row],[Brandstof]])</f>
        <v>Lichte voertuigen_snelwegen_LPG_LPG</v>
      </c>
      <c r="B25" s="924" t="s">
        <v>725</v>
      </c>
      <c r="C25" s="924" t="s">
        <v>734</v>
      </c>
      <c r="D25" s="924" t="s">
        <v>119</v>
      </c>
      <c r="E25" s="924" t="s">
        <v>119</v>
      </c>
      <c r="F25" s="925">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24" t="s">
        <v>725</v>
      </c>
      <c r="C26" s="924" t="s">
        <v>734</v>
      </c>
      <c r="D26" s="924" t="s">
        <v>311</v>
      </c>
      <c r="E26" s="924" t="s">
        <v>311</v>
      </c>
      <c r="F26" s="925">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24" t="s">
        <v>725</v>
      </c>
      <c r="C27" s="924" t="s">
        <v>734</v>
      </c>
      <c r="D27" s="924" t="s">
        <v>735</v>
      </c>
      <c r="E27" s="924" t="s">
        <v>311</v>
      </c>
      <c r="F27" s="925">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24" t="s">
        <v>727</v>
      </c>
      <c r="C28" s="924" t="s">
        <v>64</v>
      </c>
      <c r="D28" s="924" t="s">
        <v>202</v>
      </c>
      <c r="E28" s="924" t="s">
        <v>202</v>
      </c>
      <c r="F28" s="925">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24" t="s">
        <v>727</v>
      </c>
      <c r="C29" s="924" t="s">
        <v>64</v>
      </c>
      <c r="D29" s="924" t="s">
        <v>311</v>
      </c>
      <c r="E29" s="924" t="s">
        <v>311</v>
      </c>
      <c r="F29" s="925">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24" t="s">
        <v>727</v>
      </c>
      <c r="C30" s="924" t="s">
        <v>65</v>
      </c>
      <c r="D30" s="924" t="s">
        <v>202</v>
      </c>
      <c r="E30" s="924" t="s">
        <v>202</v>
      </c>
      <c r="F30" s="925">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24" t="s">
        <v>727</v>
      </c>
      <c r="C31" s="924" t="s">
        <v>65</v>
      </c>
      <c r="D31" s="924" t="s">
        <v>311</v>
      </c>
      <c r="E31" s="924" t="s">
        <v>311</v>
      </c>
      <c r="F31" s="925">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24" t="s">
        <v>727</v>
      </c>
      <c r="C32" s="924" t="s">
        <v>734</v>
      </c>
      <c r="D32" s="924" t="s">
        <v>202</v>
      </c>
      <c r="E32" s="924" t="s">
        <v>202</v>
      </c>
      <c r="F32" s="925">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24" t="s">
        <v>727</v>
      </c>
      <c r="C33" s="924" t="s">
        <v>734</v>
      </c>
      <c r="D33" s="924" t="s">
        <v>311</v>
      </c>
      <c r="E33" s="924" t="s">
        <v>311</v>
      </c>
      <c r="F33" s="925">
        <v>6.5355741912209871E-9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93">
        <v>2013</v>
      </c>
      <c r="B1" s="1194"/>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5"/>
      <c r="B2" s="1196"/>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5"/>
      <c r="B3" s="1196"/>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7"/>
      <c r="B4" s="1198"/>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857">
        <v>0</v>
      </c>
      <c r="D7" s="857">
        <v>2.3868542863772446</v>
      </c>
      <c r="E7" s="857">
        <v>0</v>
      </c>
      <c r="F7" s="858">
        <v>2.3868542863772446</v>
      </c>
      <c r="G7" s="857">
        <v>0</v>
      </c>
      <c r="H7" s="857">
        <v>0</v>
      </c>
      <c r="I7" s="857">
        <v>2.01708</v>
      </c>
      <c r="J7" s="857">
        <v>0.63252628011792678</v>
      </c>
      <c r="K7" s="857">
        <v>0</v>
      </c>
      <c r="L7" s="857">
        <v>69.003865847814311</v>
      </c>
      <c r="M7" s="857">
        <v>0</v>
      </c>
      <c r="N7" s="857">
        <v>0</v>
      </c>
      <c r="O7" s="857">
        <v>0</v>
      </c>
      <c r="P7" s="857">
        <v>0</v>
      </c>
      <c r="Q7" s="857">
        <v>0</v>
      </c>
      <c r="R7" s="858">
        <v>71.653472127932233</v>
      </c>
      <c r="S7" s="857">
        <v>99.04902712177595</v>
      </c>
      <c r="T7" s="857">
        <v>0</v>
      </c>
      <c r="U7" s="857">
        <v>0</v>
      </c>
      <c r="V7" s="858">
        <v>99.04902712177595</v>
      </c>
      <c r="W7" s="858">
        <v>173.08935353608541</v>
      </c>
      <c r="X7" s="857">
        <v>0</v>
      </c>
      <c r="Y7" s="857">
        <v>15.051338101011122</v>
      </c>
      <c r="Z7" s="857">
        <v>41.417220448243533</v>
      </c>
      <c r="AA7" s="859">
        <v>0</v>
      </c>
      <c r="AB7" s="859">
        <v>0</v>
      </c>
      <c r="AC7" s="858">
        <v>229.55791208534006</v>
      </c>
    </row>
    <row r="8" spans="1:29">
      <c r="A8" s="218" t="s">
        <v>156</v>
      </c>
      <c r="B8" s="219"/>
      <c r="C8" s="860">
        <v>0</v>
      </c>
      <c r="D8" s="860">
        <v>0</v>
      </c>
      <c r="E8" s="860">
        <v>0</v>
      </c>
      <c r="F8" s="861">
        <v>0</v>
      </c>
      <c r="G8" s="860">
        <v>0</v>
      </c>
      <c r="H8" s="860">
        <v>0</v>
      </c>
      <c r="I8" s="860">
        <v>0.53582161979765419</v>
      </c>
      <c r="J8" s="860">
        <v>2.4245884124455891E-3</v>
      </c>
      <c r="K8" s="860">
        <v>0</v>
      </c>
      <c r="L8" s="860">
        <v>8.2904466789839741</v>
      </c>
      <c r="M8" s="860">
        <v>0</v>
      </c>
      <c r="N8" s="860">
        <v>0.45097566395144634</v>
      </c>
      <c r="O8" s="860">
        <v>0</v>
      </c>
      <c r="P8" s="860">
        <v>0</v>
      </c>
      <c r="Q8" s="860">
        <v>0</v>
      </c>
      <c r="R8" s="861">
        <v>9.2796685511455177</v>
      </c>
      <c r="S8" s="860">
        <v>49.30056179910941</v>
      </c>
      <c r="T8" s="860">
        <v>0</v>
      </c>
      <c r="U8" s="860">
        <v>0</v>
      </c>
      <c r="V8" s="861">
        <v>49.30056179910941</v>
      </c>
      <c r="W8" s="861">
        <v>58.580230350254922</v>
      </c>
      <c r="X8" s="860">
        <v>1.5570444743999998</v>
      </c>
      <c r="Y8" s="860">
        <v>3.5066275241602378</v>
      </c>
      <c r="Z8" s="860">
        <v>44.175068526008694</v>
      </c>
      <c r="AA8" s="862">
        <v>0</v>
      </c>
      <c r="AB8" s="862">
        <v>0</v>
      </c>
      <c r="AC8" s="861">
        <v>107.81897087482386</v>
      </c>
    </row>
    <row r="9" spans="1:29">
      <c r="A9" s="3"/>
      <c r="B9" s="6" t="s">
        <v>157</v>
      </c>
      <c r="C9" s="863">
        <v>0</v>
      </c>
      <c r="D9" s="863">
        <v>0</v>
      </c>
      <c r="E9" s="863">
        <v>0</v>
      </c>
      <c r="F9" s="864">
        <v>0</v>
      </c>
      <c r="G9" s="863">
        <v>0</v>
      </c>
      <c r="H9" s="863">
        <v>0</v>
      </c>
      <c r="I9" s="863">
        <v>0.26080138838814726</v>
      </c>
      <c r="J9" s="863">
        <v>0</v>
      </c>
      <c r="K9" s="863">
        <v>0</v>
      </c>
      <c r="L9" s="863">
        <v>1.3349751400238239</v>
      </c>
      <c r="M9" s="863">
        <v>0</v>
      </c>
      <c r="N9" s="863">
        <v>0</v>
      </c>
      <c r="O9" s="863">
        <v>0</v>
      </c>
      <c r="P9" s="863">
        <v>0</v>
      </c>
      <c r="Q9" s="863">
        <v>0</v>
      </c>
      <c r="R9" s="864">
        <v>1.5957765284119712</v>
      </c>
      <c r="S9" s="863">
        <v>5.793131100383345</v>
      </c>
      <c r="T9" s="863">
        <v>0</v>
      </c>
      <c r="U9" s="863">
        <v>0</v>
      </c>
      <c r="V9" s="864">
        <v>5.793131100383345</v>
      </c>
      <c r="W9" s="864">
        <v>7.3889076287953159</v>
      </c>
      <c r="X9" s="863">
        <v>0</v>
      </c>
      <c r="Y9" s="863">
        <v>1.2782809573360001E-3</v>
      </c>
      <c r="Z9" s="863">
        <v>4.6298624279783267</v>
      </c>
      <c r="AA9" s="865">
        <v>0</v>
      </c>
      <c r="AB9" s="865">
        <v>0</v>
      </c>
      <c r="AC9" s="864">
        <v>12.020048337730978</v>
      </c>
    </row>
    <row r="10" spans="1:29">
      <c r="A10" s="3"/>
      <c r="B10" s="6" t="s">
        <v>158</v>
      </c>
      <c r="C10" s="863">
        <v>0</v>
      </c>
      <c r="D10" s="863">
        <v>0</v>
      </c>
      <c r="E10" s="863">
        <v>0</v>
      </c>
      <c r="F10" s="864">
        <v>0</v>
      </c>
      <c r="G10" s="863">
        <v>0</v>
      </c>
      <c r="H10" s="863">
        <v>0</v>
      </c>
      <c r="I10" s="863">
        <v>3.5274434919006065E-3</v>
      </c>
      <c r="J10" s="863">
        <v>0</v>
      </c>
      <c r="K10" s="863">
        <v>0</v>
      </c>
      <c r="L10" s="863">
        <v>0.53866443807531716</v>
      </c>
      <c r="M10" s="863">
        <v>0</v>
      </c>
      <c r="N10" s="863">
        <v>0</v>
      </c>
      <c r="O10" s="863">
        <v>0</v>
      </c>
      <c r="P10" s="863">
        <v>0</v>
      </c>
      <c r="Q10" s="863">
        <v>0</v>
      </c>
      <c r="R10" s="864">
        <v>0.54219188156721776</v>
      </c>
      <c r="S10" s="863">
        <v>6.266994723980754</v>
      </c>
      <c r="T10" s="863">
        <v>0</v>
      </c>
      <c r="U10" s="863">
        <v>0</v>
      </c>
      <c r="V10" s="864">
        <v>6.266994723980754</v>
      </c>
      <c r="W10" s="864">
        <v>6.8091866055479713</v>
      </c>
      <c r="X10" s="863">
        <v>0</v>
      </c>
      <c r="Y10" s="863">
        <v>3.39927036E-2</v>
      </c>
      <c r="Z10" s="863">
        <v>3.3020483449438589</v>
      </c>
      <c r="AA10" s="865">
        <v>0</v>
      </c>
      <c r="AB10" s="865">
        <v>0</v>
      </c>
      <c r="AC10" s="864">
        <v>10.14522765409183</v>
      </c>
    </row>
    <row r="11" spans="1:29">
      <c r="A11" s="3"/>
      <c r="B11" s="6" t="s">
        <v>159</v>
      </c>
      <c r="C11" s="863">
        <v>0</v>
      </c>
      <c r="D11" s="863">
        <v>0</v>
      </c>
      <c r="E11" s="863">
        <v>0</v>
      </c>
      <c r="F11" s="864">
        <v>0</v>
      </c>
      <c r="G11" s="863">
        <v>0</v>
      </c>
      <c r="H11" s="863">
        <v>0</v>
      </c>
      <c r="I11" s="863">
        <v>1.6626642195656295E-3</v>
      </c>
      <c r="J11" s="863">
        <v>0</v>
      </c>
      <c r="K11" s="863">
        <v>0</v>
      </c>
      <c r="L11" s="863">
        <v>0.62962040553472209</v>
      </c>
      <c r="M11" s="863">
        <v>0</v>
      </c>
      <c r="N11" s="863">
        <v>0</v>
      </c>
      <c r="O11" s="863">
        <v>0</v>
      </c>
      <c r="P11" s="863">
        <v>0</v>
      </c>
      <c r="Q11" s="863">
        <v>0</v>
      </c>
      <c r="R11" s="864">
        <v>0.63128306975428772</v>
      </c>
      <c r="S11" s="863">
        <v>6.6086031695840513</v>
      </c>
      <c r="T11" s="863">
        <v>0</v>
      </c>
      <c r="U11" s="863">
        <v>0</v>
      </c>
      <c r="V11" s="864">
        <v>6.6086031695840513</v>
      </c>
      <c r="W11" s="864">
        <v>7.2398862393383387</v>
      </c>
      <c r="X11" s="863">
        <v>0</v>
      </c>
      <c r="Y11" s="863">
        <v>0</v>
      </c>
      <c r="Z11" s="863">
        <v>1.7923757481626643</v>
      </c>
      <c r="AA11" s="865">
        <v>0</v>
      </c>
      <c r="AB11" s="865">
        <v>0</v>
      </c>
      <c r="AC11" s="864">
        <v>9.0322619875010037</v>
      </c>
    </row>
    <row r="12" spans="1:29">
      <c r="A12" s="3"/>
      <c r="B12" s="6" t="s">
        <v>160</v>
      </c>
      <c r="C12" s="863">
        <v>0</v>
      </c>
      <c r="D12" s="863">
        <v>0</v>
      </c>
      <c r="E12" s="863">
        <v>0</v>
      </c>
      <c r="F12" s="864">
        <v>0</v>
      </c>
      <c r="G12" s="863">
        <v>0</v>
      </c>
      <c r="H12" s="863">
        <v>0</v>
      </c>
      <c r="I12" s="863">
        <v>6.5849510302898581E-2</v>
      </c>
      <c r="J12" s="863">
        <v>2.4245884124455891E-3</v>
      </c>
      <c r="K12" s="863">
        <v>0</v>
      </c>
      <c r="L12" s="863">
        <v>2.5777517612490848</v>
      </c>
      <c r="M12" s="863">
        <v>0</v>
      </c>
      <c r="N12" s="863">
        <v>0</v>
      </c>
      <c r="O12" s="863">
        <v>0</v>
      </c>
      <c r="P12" s="863">
        <v>0</v>
      </c>
      <c r="Q12" s="863">
        <v>0</v>
      </c>
      <c r="R12" s="864">
        <v>2.6460258599644289</v>
      </c>
      <c r="S12" s="863">
        <v>16.664538977986815</v>
      </c>
      <c r="T12" s="863">
        <v>0</v>
      </c>
      <c r="U12" s="863">
        <v>0</v>
      </c>
      <c r="V12" s="864">
        <v>16.664538977986815</v>
      </c>
      <c r="W12" s="864">
        <v>19.310564837951244</v>
      </c>
      <c r="X12" s="863">
        <v>0</v>
      </c>
      <c r="Y12" s="863">
        <v>9.3407956736920022E-3</v>
      </c>
      <c r="Z12" s="863">
        <v>16.948757282345547</v>
      </c>
      <c r="AA12" s="865">
        <v>0</v>
      </c>
      <c r="AB12" s="865">
        <v>0</v>
      </c>
      <c r="AC12" s="864">
        <v>36.268662915970481</v>
      </c>
    </row>
    <row r="13" spans="1:29">
      <c r="A13" s="3"/>
      <c r="B13" s="6" t="s">
        <v>161</v>
      </c>
      <c r="C13" s="863">
        <v>0</v>
      </c>
      <c r="D13" s="863">
        <v>0</v>
      </c>
      <c r="E13" s="863">
        <v>0</v>
      </c>
      <c r="F13" s="864">
        <v>0</v>
      </c>
      <c r="G13" s="863">
        <v>0</v>
      </c>
      <c r="H13" s="863">
        <v>0</v>
      </c>
      <c r="I13" s="863">
        <v>0.18135644611389259</v>
      </c>
      <c r="J13" s="863">
        <v>0</v>
      </c>
      <c r="K13" s="863">
        <v>0</v>
      </c>
      <c r="L13" s="863">
        <v>2.1857709583577396</v>
      </c>
      <c r="M13" s="863">
        <v>0</v>
      </c>
      <c r="N13" s="863">
        <v>1.0151000000000001E-4</v>
      </c>
      <c r="O13" s="863">
        <v>0</v>
      </c>
      <c r="P13" s="863">
        <v>0</v>
      </c>
      <c r="Q13" s="863">
        <v>0</v>
      </c>
      <c r="R13" s="864">
        <v>2.3672289144716321</v>
      </c>
      <c r="S13" s="863">
        <v>9.4519187138590706</v>
      </c>
      <c r="T13" s="863">
        <v>0</v>
      </c>
      <c r="U13" s="863">
        <v>0</v>
      </c>
      <c r="V13" s="864">
        <v>9.4519187138590706</v>
      </c>
      <c r="W13" s="864">
        <v>11.819147628330702</v>
      </c>
      <c r="X13" s="863">
        <v>0</v>
      </c>
      <c r="Y13" s="863">
        <v>3.7698556772543995E-2</v>
      </c>
      <c r="Z13" s="863">
        <v>12.582495347231994</v>
      </c>
      <c r="AA13" s="865">
        <v>0</v>
      </c>
      <c r="AB13" s="865">
        <v>0</v>
      </c>
      <c r="AC13" s="864">
        <v>24.439341532335241</v>
      </c>
    </row>
    <row r="14" spans="1:29">
      <c r="A14" s="220"/>
      <c r="B14" s="221" t="s">
        <v>162</v>
      </c>
      <c r="C14" s="866">
        <v>0</v>
      </c>
      <c r="D14" s="866">
        <v>0</v>
      </c>
      <c r="E14" s="866">
        <v>0</v>
      </c>
      <c r="F14" s="867">
        <v>0</v>
      </c>
      <c r="G14" s="863">
        <v>0</v>
      </c>
      <c r="H14" s="863">
        <v>0</v>
      </c>
      <c r="I14" s="863">
        <v>2.2624167281249451E-2</v>
      </c>
      <c r="J14" s="863">
        <v>0</v>
      </c>
      <c r="K14" s="863">
        <v>0</v>
      </c>
      <c r="L14" s="863">
        <v>1.0236639757432857</v>
      </c>
      <c r="M14" s="863">
        <v>0</v>
      </c>
      <c r="N14" s="863">
        <v>0.45087415395144631</v>
      </c>
      <c r="O14" s="863">
        <v>0</v>
      </c>
      <c r="P14" s="863">
        <v>0</v>
      </c>
      <c r="Q14" s="863">
        <v>0</v>
      </c>
      <c r="R14" s="867">
        <v>1.4971622969759815</v>
      </c>
      <c r="S14" s="863">
        <v>4.5153751133153719</v>
      </c>
      <c r="T14" s="866">
        <v>0</v>
      </c>
      <c r="U14" s="866">
        <v>0</v>
      </c>
      <c r="V14" s="867">
        <v>4.5153751133153719</v>
      </c>
      <c r="W14" s="867">
        <v>6.0125374102913529</v>
      </c>
      <c r="X14" s="863">
        <v>1.5570444743999998</v>
      </c>
      <c r="Y14" s="863">
        <v>3.424317187156666</v>
      </c>
      <c r="Z14" s="863">
        <v>4.919529375346305</v>
      </c>
      <c r="AA14" s="868">
        <v>0</v>
      </c>
      <c r="AB14" s="868">
        <v>0</v>
      </c>
      <c r="AC14" s="867">
        <v>15.913428447194324</v>
      </c>
    </row>
    <row r="15" spans="1:29">
      <c r="A15" s="218" t="s">
        <v>163</v>
      </c>
      <c r="B15" s="222"/>
      <c r="C15" s="869">
        <v>0</v>
      </c>
      <c r="D15" s="869">
        <v>3.3527639999999526E-3</v>
      </c>
      <c r="E15" s="869">
        <v>0.11638189850000005</v>
      </c>
      <c r="F15" s="870">
        <v>0.11973466250000001</v>
      </c>
      <c r="G15" s="869">
        <v>0</v>
      </c>
      <c r="H15" s="869">
        <v>0</v>
      </c>
      <c r="I15" s="869">
        <v>2.6061698114974821</v>
      </c>
      <c r="J15" s="869">
        <v>0.184388419316556</v>
      </c>
      <c r="K15" s="869">
        <v>0</v>
      </c>
      <c r="L15" s="869">
        <v>10.220933587451345</v>
      </c>
      <c r="M15" s="869">
        <v>0</v>
      </c>
      <c r="N15" s="869">
        <v>0.76091920747193631</v>
      </c>
      <c r="O15" s="869">
        <v>0</v>
      </c>
      <c r="P15" s="869">
        <v>7.6442515000000003E-2</v>
      </c>
      <c r="Q15" s="869">
        <v>0</v>
      </c>
      <c r="R15" s="870">
        <v>13.84885354073732</v>
      </c>
      <c r="S15" s="869">
        <v>34.637629025818477</v>
      </c>
      <c r="T15" s="869">
        <v>0</v>
      </c>
      <c r="U15" s="869">
        <v>0</v>
      </c>
      <c r="V15" s="870">
        <v>34.637629025818477</v>
      </c>
      <c r="W15" s="870">
        <v>48.606217229055794</v>
      </c>
      <c r="X15" s="869">
        <v>0</v>
      </c>
      <c r="Y15" s="869">
        <v>9.1680551699135027</v>
      </c>
      <c r="Z15" s="869">
        <v>46.715460296875619</v>
      </c>
      <c r="AA15" s="871">
        <v>0</v>
      </c>
      <c r="AB15" s="871">
        <v>0</v>
      </c>
      <c r="AC15" s="870">
        <v>104.48973269584492</v>
      </c>
    </row>
    <row r="16" spans="1:29">
      <c r="A16" s="5"/>
      <c r="B16" s="6" t="s">
        <v>35</v>
      </c>
      <c r="C16" s="872">
        <v>0</v>
      </c>
      <c r="D16" s="872">
        <v>0</v>
      </c>
      <c r="E16" s="872">
        <v>0</v>
      </c>
      <c r="F16" s="864">
        <v>0</v>
      </c>
      <c r="G16" s="872">
        <v>0</v>
      </c>
      <c r="H16" s="872">
        <v>0</v>
      </c>
      <c r="I16" s="872">
        <v>2.2935234999999997E-3</v>
      </c>
      <c r="J16" s="872">
        <v>0</v>
      </c>
      <c r="K16" s="872">
        <v>0</v>
      </c>
      <c r="L16" s="872">
        <v>9.387590774359994E-3</v>
      </c>
      <c r="M16" s="872">
        <v>0</v>
      </c>
      <c r="N16" s="872">
        <v>9.7300000000000164E-4</v>
      </c>
      <c r="O16" s="872">
        <v>0</v>
      </c>
      <c r="P16" s="872">
        <v>0</v>
      </c>
      <c r="Q16" s="872">
        <v>0</v>
      </c>
      <c r="R16" s="864">
        <v>1.2654114274359996E-2</v>
      </c>
      <c r="S16" s="872">
        <v>0.27790626908160032</v>
      </c>
      <c r="T16" s="872">
        <v>0</v>
      </c>
      <c r="U16" s="872">
        <v>0</v>
      </c>
      <c r="V16" s="873">
        <v>0.27790626908160032</v>
      </c>
      <c r="W16" s="864">
        <v>0.29056038335596029</v>
      </c>
      <c r="X16" s="872">
        <v>0</v>
      </c>
      <c r="Y16" s="872">
        <v>1.0935E-2</v>
      </c>
      <c r="Z16" s="872">
        <v>0.79655185079999935</v>
      </c>
      <c r="AA16" s="865">
        <v>0</v>
      </c>
      <c r="AB16" s="865">
        <v>0</v>
      </c>
      <c r="AC16" s="864">
        <v>1.0980472341559597</v>
      </c>
    </row>
    <row r="17" spans="1:31">
      <c r="A17" s="5"/>
      <c r="B17" s="6" t="s">
        <v>38</v>
      </c>
      <c r="C17" s="872">
        <v>0</v>
      </c>
      <c r="D17" s="872">
        <v>0</v>
      </c>
      <c r="E17" s="872">
        <v>0.10562828850000006</v>
      </c>
      <c r="F17" s="864">
        <v>0.10562828850000006</v>
      </c>
      <c r="G17" s="872">
        <v>0</v>
      </c>
      <c r="H17" s="872">
        <v>0</v>
      </c>
      <c r="I17" s="872">
        <v>7.829461900000004E-5</v>
      </c>
      <c r="J17" s="872">
        <v>0</v>
      </c>
      <c r="K17" s="872">
        <v>0</v>
      </c>
      <c r="L17" s="872">
        <v>7.5267085229930017E-2</v>
      </c>
      <c r="M17" s="872">
        <v>0</v>
      </c>
      <c r="N17" s="872">
        <v>2.9999999999752447E-6</v>
      </c>
      <c r="O17" s="872">
        <v>0</v>
      </c>
      <c r="P17" s="872">
        <v>7.6442515000000003E-2</v>
      </c>
      <c r="Q17" s="872">
        <v>0</v>
      </c>
      <c r="R17" s="864">
        <v>0.15179089484892999</v>
      </c>
      <c r="S17" s="872">
        <v>0.47448499490399865</v>
      </c>
      <c r="T17" s="872">
        <v>0</v>
      </c>
      <c r="U17" s="872">
        <v>0</v>
      </c>
      <c r="V17" s="873">
        <v>0.47448499490399865</v>
      </c>
      <c r="W17" s="864">
        <v>0.73190417825292875</v>
      </c>
      <c r="X17" s="872">
        <v>0</v>
      </c>
      <c r="Y17" s="872">
        <v>0</v>
      </c>
      <c r="Z17" s="872">
        <v>0.33125293799999866</v>
      </c>
      <c r="AA17" s="865">
        <v>0</v>
      </c>
      <c r="AB17" s="865">
        <v>0</v>
      </c>
      <c r="AC17" s="864">
        <v>1.0631571162529274</v>
      </c>
    </row>
    <row r="18" spans="1:31">
      <c r="A18" s="5"/>
      <c r="B18" s="6" t="s">
        <v>36</v>
      </c>
      <c r="C18" s="872">
        <v>0</v>
      </c>
      <c r="D18" s="872">
        <v>0</v>
      </c>
      <c r="E18" s="872">
        <v>0</v>
      </c>
      <c r="F18" s="864">
        <v>0</v>
      </c>
      <c r="G18" s="872">
        <v>0</v>
      </c>
      <c r="H18" s="872">
        <v>0</v>
      </c>
      <c r="I18" s="872">
        <v>0.10508962946620613</v>
      </c>
      <c r="J18" s="872">
        <v>0</v>
      </c>
      <c r="K18" s="872">
        <v>0</v>
      </c>
      <c r="L18" s="872">
        <v>0.92507191436388425</v>
      </c>
      <c r="M18" s="872">
        <v>0</v>
      </c>
      <c r="N18" s="872">
        <v>1.3296699506782746E-2</v>
      </c>
      <c r="O18" s="872">
        <v>0</v>
      </c>
      <c r="P18" s="872">
        <v>0</v>
      </c>
      <c r="Q18" s="872">
        <v>0</v>
      </c>
      <c r="R18" s="864">
        <v>1.0434582433368731</v>
      </c>
      <c r="S18" s="872">
        <v>5.7999113853769604</v>
      </c>
      <c r="T18" s="872">
        <v>0</v>
      </c>
      <c r="U18" s="872">
        <v>0</v>
      </c>
      <c r="V18" s="873">
        <v>5.7999113853769604</v>
      </c>
      <c r="W18" s="864">
        <v>6.8433696287138339</v>
      </c>
      <c r="X18" s="872">
        <v>0</v>
      </c>
      <c r="Y18" s="872">
        <v>9.933931352E-2</v>
      </c>
      <c r="Z18" s="872">
        <v>3.6586314988955979</v>
      </c>
      <c r="AA18" s="865">
        <v>0</v>
      </c>
      <c r="AB18" s="865">
        <v>0</v>
      </c>
      <c r="AC18" s="864">
        <v>10.601340441129432</v>
      </c>
    </row>
    <row r="19" spans="1:31">
      <c r="A19" s="5"/>
      <c r="B19" s="6" t="s">
        <v>33</v>
      </c>
      <c r="C19" s="872">
        <v>0</v>
      </c>
      <c r="D19" s="872">
        <v>0</v>
      </c>
      <c r="E19" s="872">
        <v>0</v>
      </c>
      <c r="F19" s="864">
        <v>0</v>
      </c>
      <c r="G19" s="872">
        <v>0</v>
      </c>
      <c r="H19" s="872">
        <v>0</v>
      </c>
      <c r="I19" s="872">
        <v>2.2375415277780508</v>
      </c>
      <c r="J19" s="872">
        <v>0.184388419316556</v>
      </c>
      <c r="K19" s="872">
        <v>0</v>
      </c>
      <c r="L19" s="872">
        <v>5.4105160678045392</v>
      </c>
      <c r="M19" s="872">
        <v>0</v>
      </c>
      <c r="N19" s="872">
        <v>9.5855650848187562E-2</v>
      </c>
      <c r="O19" s="872">
        <v>0</v>
      </c>
      <c r="P19" s="872">
        <v>0</v>
      </c>
      <c r="Q19" s="872">
        <v>0</v>
      </c>
      <c r="R19" s="864">
        <v>7.9283016657473331</v>
      </c>
      <c r="S19" s="872">
        <v>5.718993851463269</v>
      </c>
      <c r="T19" s="872">
        <v>0</v>
      </c>
      <c r="U19" s="872">
        <v>0</v>
      </c>
      <c r="V19" s="873">
        <v>5.718993851463269</v>
      </c>
      <c r="W19" s="864">
        <v>13.647295517210601</v>
      </c>
      <c r="X19" s="872">
        <v>0</v>
      </c>
      <c r="Y19" s="872">
        <v>2.6988788234779997</v>
      </c>
      <c r="Z19" s="872">
        <v>8.2665119203582638</v>
      </c>
      <c r="AA19" s="865">
        <v>0</v>
      </c>
      <c r="AB19" s="865">
        <v>0</v>
      </c>
      <c r="AC19" s="864">
        <v>24.612686261046868</v>
      </c>
    </row>
    <row r="20" spans="1:31">
      <c r="A20" s="5"/>
      <c r="B20" s="6" t="s">
        <v>41</v>
      </c>
      <c r="C20" s="872">
        <v>0</v>
      </c>
      <c r="D20" s="872">
        <v>0</v>
      </c>
      <c r="E20" s="872">
        <v>2.510000000000099E-5</v>
      </c>
      <c r="F20" s="864">
        <v>2.510000000000099E-5</v>
      </c>
      <c r="G20" s="872">
        <v>0</v>
      </c>
      <c r="H20" s="872">
        <v>0</v>
      </c>
      <c r="I20" s="872">
        <v>0.15475446050376718</v>
      </c>
      <c r="J20" s="872">
        <v>0</v>
      </c>
      <c r="K20" s="872">
        <v>0</v>
      </c>
      <c r="L20" s="872">
        <v>2.5370616797411265</v>
      </c>
      <c r="M20" s="872">
        <v>0</v>
      </c>
      <c r="N20" s="872">
        <v>0.2921001806780173</v>
      </c>
      <c r="O20" s="872">
        <v>0</v>
      </c>
      <c r="P20" s="872">
        <v>0</v>
      </c>
      <c r="Q20" s="872">
        <v>0</v>
      </c>
      <c r="R20" s="864">
        <v>2.9839163209229111</v>
      </c>
      <c r="S20" s="872">
        <v>10.321371021532492</v>
      </c>
      <c r="T20" s="872">
        <v>0</v>
      </c>
      <c r="U20" s="872">
        <v>0</v>
      </c>
      <c r="V20" s="873">
        <v>10.321371021532492</v>
      </c>
      <c r="W20" s="864">
        <v>13.305312442455403</v>
      </c>
      <c r="X20" s="872">
        <v>0</v>
      </c>
      <c r="Y20" s="872">
        <v>0.55738253122691295</v>
      </c>
      <c r="Z20" s="872">
        <v>1.8973774079524568</v>
      </c>
      <c r="AA20" s="865">
        <v>0</v>
      </c>
      <c r="AB20" s="865">
        <v>0</v>
      </c>
      <c r="AC20" s="864">
        <v>15.760072381634773</v>
      </c>
    </row>
    <row r="21" spans="1:31">
      <c r="A21" s="5"/>
      <c r="B21" s="6" t="s">
        <v>40</v>
      </c>
      <c r="C21" s="872">
        <v>0</v>
      </c>
      <c r="D21" s="872">
        <v>0</v>
      </c>
      <c r="E21" s="872">
        <v>0</v>
      </c>
      <c r="F21" s="864">
        <v>0</v>
      </c>
      <c r="G21" s="872">
        <v>0</v>
      </c>
      <c r="H21" s="872">
        <v>0</v>
      </c>
      <c r="I21" s="872">
        <v>1.2498371933289179E-3</v>
      </c>
      <c r="J21" s="872">
        <v>0</v>
      </c>
      <c r="K21" s="872">
        <v>0</v>
      </c>
      <c r="L21" s="872">
        <v>0.14010828125236954</v>
      </c>
      <c r="M21" s="872">
        <v>0</v>
      </c>
      <c r="N21" s="872">
        <v>9.2123103091595257E-2</v>
      </c>
      <c r="O21" s="872">
        <v>0</v>
      </c>
      <c r="P21" s="872">
        <v>0</v>
      </c>
      <c r="Q21" s="872">
        <v>0</v>
      </c>
      <c r="R21" s="864">
        <v>0.23348122153729373</v>
      </c>
      <c r="S21" s="872">
        <v>2.5000407776217317</v>
      </c>
      <c r="T21" s="872">
        <v>0</v>
      </c>
      <c r="U21" s="872">
        <v>0</v>
      </c>
      <c r="V21" s="873">
        <v>2.5000407776217317</v>
      </c>
      <c r="W21" s="864">
        <v>2.7335219991590254</v>
      </c>
      <c r="X21" s="872">
        <v>0</v>
      </c>
      <c r="Y21" s="872">
        <v>2.9318E-2</v>
      </c>
      <c r="Z21" s="872">
        <v>6.3052885416522999</v>
      </c>
      <c r="AA21" s="865">
        <v>0</v>
      </c>
      <c r="AB21" s="865">
        <v>0</v>
      </c>
      <c r="AC21" s="864">
        <v>9.0681285408113261</v>
      </c>
    </row>
    <row r="22" spans="1:31">
      <c r="A22" s="5"/>
      <c r="B22" s="6" t="s">
        <v>37</v>
      </c>
      <c r="C22" s="872">
        <v>0</v>
      </c>
      <c r="D22" s="872">
        <v>3.3527639999999526E-3</v>
      </c>
      <c r="E22" s="872">
        <v>1.072851E-2</v>
      </c>
      <c r="F22" s="864">
        <v>1.4081273999999953E-2</v>
      </c>
      <c r="G22" s="872">
        <v>0</v>
      </c>
      <c r="H22" s="872">
        <v>0</v>
      </c>
      <c r="I22" s="872">
        <v>1.9943963643658139E-2</v>
      </c>
      <c r="J22" s="872">
        <v>0</v>
      </c>
      <c r="K22" s="872">
        <v>0</v>
      </c>
      <c r="L22" s="872">
        <v>0.70752090173298887</v>
      </c>
      <c r="M22" s="872">
        <v>0</v>
      </c>
      <c r="N22" s="872">
        <v>0.25805649014735349</v>
      </c>
      <c r="O22" s="872">
        <v>0</v>
      </c>
      <c r="P22" s="872">
        <v>0</v>
      </c>
      <c r="Q22" s="872">
        <v>0</v>
      </c>
      <c r="R22" s="864">
        <v>0.98552135552400055</v>
      </c>
      <c r="S22" s="872">
        <v>1.1172992073252397</v>
      </c>
      <c r="T22" s="872">
        <v>0</v>
      </c>
      <c r="U22" s="872">
        <v>0</v>
      </c>
      <c r="V22" s="873">
        <v>1.1172992073252397</v>
      </c>
      <c r="W22" s="864">
        <v>2.11690183684924</v>
      </c>
      <c r="X22" s="872">
        <v>0</v>
      </c>
      <c r="Y22" s="872">
        <v>0</v>
      </c>
      <c r="Z22" s="872">
        <v>2.5602723367464337</v>
      </c>
      <c r="AA22" s="865">
        <v>0</v>
      </c>
      <c r="AB22" s="865">
        <v>0</v>
      </c>
      <c r="AC22" s="864">
        <v>4.6771741735956738</v>
      </c>
    </row>
    <row r="23" spans="1:31">
      <c r="A23" s="5"/>
      <c r="B23" s="6" t="s">
        <v>39</v>
      </c>
      <c r="C23" s="872">
        <v>0</v>
      </c>
      <c r="D23" s="872">
        <v>0</v>
      </c>
      <c r="E23" s="872">
        <v>0</v>
      </c>
      <c r="F23" s="864">
        <v>0</v>
      </c>
      <c r="G23" s="872">
        <v>0</v>
      </c>
      <c r="H23" s="872">
        <v>0</v>
      </c>
      <c r="I23" s="872">
        <v>2.682351697439056E-2</v>
      </c>
      <c r="J23" s="872">
        <v>0</v>
      </c>
      <c r="K23" s="872">
        <v>0</v>
      </c>
      <c r="L23" s="872">
        <v>0.19104797556613398</v>
      </c>
      <c r="M23" s="872">
        <v>0</v>
      </c>
      <c r="N23" s="872">
        <v>0</v>
      </c>
      <c r="O23" s="872">
        <v>0</v>
      </c>
      <c r="P23" s="872">
        <v>0</v>
      </c>
      <c r="Q23" s="872">
        <v>0</v>
      </c>
      <c r="R23" s="864">
        <v>0.21787149254052454</v>
      </c>
      <c r="S23" s="872">
        <v>0.45101149822999931</v>
      </c>
      <c r="T23" s="872">
        <v>0</v>
      </c>
      <c r="U23" s="872">
        <v>0</v>
      </c>
      <c r="V23" s="873">
        <v>0.45101149822999931</v>
      </c>
      <c r="W23" s="864">
        <v>0.66888299077052382</v>
      </c>
      <c r="X23" s="872">
        <v>0</v>
      </c>
      <c r="Y23" s="872">
        <v>5.4723148866885909</v>
      </c>
      <c r="Z23" s="872">
        <v>10.546674080698569</v>
      </c>
      <c r="AA23" s="865">
        <v>0</v>
      </c>
      <c r="AB23" s="865">
        <v>0</v>
      </c>
      <c r="AC23" s="864">
        <v>16.687871958157686</v>
      </c>
    </row>
    <row r="24" spans="1:31">
      <c r="A24" s="223"/>
      <c r="B24" s="221" t="s">
        <v>34</v>
      </c>
      <c r="C24" s="872">
        <v>0</v>
      </c>
      <c r="D24" s="872">
        <v>0</v>
      </c>
      <c r="E24" s="872">
        <v>0</v>
      </c>
      <c r="F24" s="864">
        <v>0</v>
      </c>
      <c r="G24" s="872">
        <v>0</v>
      </c>
      <c r="H24" s="872">
        <v>0</v>
      </c>
      <c r="I24" s="872">
        <v>5.8395057819079998E-2</v>
      </c>
      <c r="J24" s="872">
        <v>0</v>
      </c>
      <c r="K24" s="872">
        <v>0</v>
      </c>
      <c r="L24" s="872">
        <v>0.22495209098601207</v>
      </c>
      <c r="M24" s="872">
        <v>0</v>
      </c>
      <c r="N24" s="872">
        <v>8.5110831999999359E-3</v>
      </c>
      <c r="O24" s="872">
        <v>0</v>
      </c>
      <c r="P24" s="872">
        <v>0</v>
      </c>
      <c r="Q24" s="872">
        <v>0</v>
      </c>
      <c r="R24" s="864">
        <v>0.29185823200509198</v>
      </c>
      <c r="S24" s="872">
        <v>7.9766100202831893</v>
      </c>
      <c r="T24" s="872">
        <v>0</v>
      </c>
      <c r="U24" s="872">
        <v>0</v>
      </c>
      <c r="V24" s="873">
        <v>7.9766100202831893</v>
      </c>
      <c r="W24" s="864">
        <v>8.2684682522882813</v>
      </c>
      <c r="X24" s="872">
        <v>0</v>
      </c>
      <c r="Y24" s="872">
        <v>0.29988661499999997</v>
      </c>
      <c r="Z24" s="872">
        <v>12.352899721772001</v>
      </c>
      <c r="AA24" s="865">
        <v>0</v>
      </c>
      <c r="AB24" s="865">
        <v>0</v>
      </c>
      <c r="AC24" s="864">
        <v>20.921254589060283</v>
      </c>
    </row>
    <row r="25" spans="1:31">
      <c r="A25" s="5" t="s">
        <v>691</v>
      </c>
      <c r="B25" s="128"/>
      <c r="C25" s="869">
        <v>0</v>
      </c>
      <c r="D25" s="869">
        <v>0.38818740230221194</v>
      </c>
      <c r="E25" s="869">
        <v>0</v>
      </c>
      <c r="F25" s="870">
        <v>0.38818740230221194</v>
      </c>
      <c r="G25" s="860">
        <v>0</v>
      </c>
      <c r="H25" s="860">
        <v>0</v>
      </c>
      <c r="I25" s="860">
        <v>3.25268025778057E-2</v>
      </c>
      <c r="J25" s="860">
        <v>9.7508792887432319E-2</v>
      </c>
      <c r="K25" s="860">
        <v>0</v>
      </c>
      <c r="L25" s="860">
        <v>8.5443085151152456</v>
      </c>
      <c r="M25" s="860">
        <v>0</v>
      </c>
      <c r="N25" s="860">
        <v>0.36157594777819746</v>
      </c>
      <c r="O25" s="860">
        <v>0</v>
      </c>
      <c r="P25" s="860">
        <v>0</v>
      </c>
      <c r="Q25" s="860">
        <v>0</v>
      </c>
      <c r="R25" s="870">
        <v>9.0359200583586805</v>
      </c>
      <c r="S25" s="860">
        <v>15.459119149886043</v>
      </c>
      <c r="T25" s="869">
        <v>0</v>
      </c>
      <c r="U25" s="869">
        <v>0</v>
      </c>
      <c r="V25" s="870">
        <v>15.459119149886043</v>
      </c>
      <c r="W25" s="870">
        <v>24.883226610546934</v>
      </c>
      <c r="X25" s="869">
        <v>0</v>
      </c>
      <c r="Y25" s="860">
        <v>3.2852105281642712</v>
      </c>
      <c r="Z25" s="862">
        <v>-1.9031697183535128</v>
      </c>
      <c r="AA25" s="871">
        <v>0</v>
      </c>
      <c r="AB25" s="871">
        <v>0</v>
      </c>
      <c r="AC25" s="861">
        <v>26.265267420357695</v>
      </c>
      <c r="AE25" s="38"/>
    </row>
    <row r="26" spans="1:31">
      <c r="A26" s="5"/>
      <c r="B26" s="128"/>
      <c r="C26" s="874"/>
      <c r="D26" s="875"/>
      <c r="E26" s="874"/>
      <c r="F26" s="864"/>
      <c r="G26" s="875"/>
      <c r="H26" s="875"/>
      <c r="I26" s="875"/>
      <c r="J26" s="875"/>
      <c r="K26" s="875"/>
      <c r="L26" s="875"/>
      <c r="M26" s="875"/>
      <c r="N26" s="875"/>
      <c r="O26" s="875"/>
      <c r="P26" s="875"/>
      <c r="Q26" s="875"/>
      <c r="R26" s="864"/>
      <c r="S26" s="875"/>
      <c r="T26" s="874"/>
      <c r="U26" s="874"/>
      <c r="V26" s="864"/>
      <c r="W26" s="864"/>
      <c r="X26" s="874"/>
      <c r="Y26" s="878"/>
      <c r="Z26" s="878">
        <v>2.5812283555223998</v>
      </c>
      <c r="AA26" s="879"/>
      <c r="AB26" s="876"/>
      <c r="AC26" s="877"/>
      <c r="AE26" s="38"/>
    </row>
    <row r="27" spans="1:31">
      <c r="A27" s="3"/>
      <c r="B27" s="6" t="s">
        <v>164</v>
      </c>
      <c r="C27" s="863">
        <v>0</v>
      </c>
      <c r="D27" s="863">
        <v>9.4745424270655746E-3</v>
      </c>
      <c r="E27" s="863">
        <v>0</v>
      </c>
      <c r="F27" s="864">
        <v>9.4745424270655746E-3</v>
      </c>
      <c r="G27" s="863">
        <v>0</v>
      </c>
      <c r="H27" s="863">
        <v>0</v>
      </c>
      <c r="I27" s="863">
        <v>1.3342311902511143E-2</v>
      </c>
      <c r="J27" s="863">
        <v>2.8171590184399324E-4</v>
      </c>
      <c r="K27" s="863">
        <v>0</v>
      </c>
      <c r="L27" s="863">
        <v>5.2478487244215906</v>
      </c>
      <c r="M27" s="863">
        <v>0</v>
      </c>
      <c r="N27" s="863">
        <v>0</v>
      </c>
      <c r="O27" s="863">
        <v>0</v>
      </c>
      <c r="P27" s="863">
        <v>0</v>
      </c>
      <c r="Q27" s="863">
        <v>0</v>
      </c>
      <c r="R27" s="864">
        <v>5.2614727522259459</v>
      </c>
      <c r="S27" s="863">
        <v>0.14969027286971434</v>
      </c>
      <c r="T27" s="863">
        <v>0</v>
      </c>
      <c r="U27" s="863">
        <v>0</v>
      </c>
      <c r="V27" s="864">
        <v>0.14969027286971434</v>
      </c>
      <c r="W27" s="864">
        <v>5.4206375675227259</v>
      </c>
      <c r="X27" s="863">
        <v>0</v>
      </c>
      <c r="Y27" s="863">
        <v>1.14042204808416</v>
      </c>
      <c r="Z27" s="863">
        <v>2.1133330058760538</v>
      </c>
      <c r="AA27" s="865">
        <v>0</v>
      </c>
      <c r="AB27" s="865">
        <v>0</v>
      </c>
      <c r="AC27" s="864">
        <v>8.674392621482939</v>
      </c>
    </row>
    <row r="28" spans="1:31">
      <c r="A28" s="3"/>
      <c r="B28" s="6" t="s">
        <v>165</v>
      </c>
      <c r="C28" s="863">
        <v>0</v>
      </c>
      <c r="D28" s="863">
        <v>3.906778703074649E-4</v>
      </c>
      <c r="E28" s="863">
        <v>0</v>
      </c>
      <c r="F28" s="864">
        <v>3.906778703074649E-4</v>
      </c>
      <c r="G28" s="863">
        <v>0</v>
      </c>
      <c r="H28" s="863">
        <v>0</v>
      </c>
      <c r="I28" s="863">
        <v>3.9692275450815412E-3</v>
      </c>
      <c r="J28" s="863">
        <v>2.3690460665372622E-4</v>
      </c>
      <c r="K28" s="863">
        <v>0</v>
      </c>
      <c r="L28" s="863">
        <v>1.5159149605096127</v>
      </c>
      <c r="M28" s="863">
        <v>0</v>
      </c>
      <c r="N28" s="863">
        <v>0</v>
      </c>
      <c r="O28" s="863">
        <v>0</v>
      </c>
      <c r="P28" s="863">
        <v>0</v>
      </c>
      <c r="Q28" s="863">
        <v>0</v>
      </c>
      <c r="R28" s="864">
        <v>1.520121092661348</v>
      </c>
      <c r="S28" s="863">
        <v>2.3320061296582477E-2</v>
      </c>
      <c r="T28" s="863">
        <v>0</v>
      </c>
      <c r="U28" s="863">
        <v>0</v>
      </c>
      <c r="V28" s="864">
        <v>2.3320061296582477E-2</v>
      </c>
      <c r="W28" s="864">
        <v>1.543831831828238</v>
      </c>
      <c r="X28" s="863">
        <v>0</v>
      </c>
      <c r="Y28" s="863">
        <v>1.6930448043989255</v>
      </c>
      <c r="Z28" s="863">
        <v>0.14551405966634082</v>
      </c>
      <c r="AA28" s="865">
        <v>0</v>
      </c>
      <c r="AB28" s="865">
        <v>0</v>
      </c>
      <c r="AC28" s="864">
        <v>3.3823906958935042</v>
      </c>
    </row>
    <row r="29" spans="1:31">
      <c r="A29" s="3"/>
      <c r="B29" s="6" t="s">
        <v>166</v>
      </c>
      <c r="C29" s="863">
        <v>0</v>
      </c>
      <c r="D29" s="863">
        <v>0.2048901255029934</v>
      </c>
      <c r="E29" s="863">
        <v>0</v>
      </c>
      <c r="F29" s="864">
        <v>0.2048901255029934</v>
      </c>
      <c r="G29" s="863">
        <v>0</v>
      </c>
      <c r="H29" s="863">
        <v>0</v>
      </c>
      <c r="I29" s="863">
        <v>6.3035776720373003E-3</v>
      </c>
      <c r="J29" s="863">
        <v>1.3533895116268463E-3</v>
      </c>
      <c r="K29" s="863">
        <v>0</v>
      </c>
      <c r="L29" s="863">
        <v>0.62716529987147196</v>
      </c>
      <c r="M29" s="863">
        <v>0</v>
      </c>
      <c r="N29" s="863">
        <v>0.30409137790658897</v>
      </c>
      <c r="O29" s="863">
        <v>0</v>
      </c>
      <c r="P29" s="863">
        <v>0</v>
      </c>
      <c r="Q29" s="863">
        <v>0</v>
      </c>
      <c r="R29" s="864">
        <v>0.93891364496172502</v>
      </c>
      <c r="S29" s="863">
        <v>15.039663554398411</v>
      </c>
      <c r="T29" s="863">
        <v>0</v>
      </c>
      <c r="U29" s="863">
        <v>0</v>
      </c>
      <c r="V29" s="864">
        <v>15.039663554398411</v>
      </c>
      <c r="W29" s="864">
        <v>16.18346732486313</v>
      </c>
      <c r="X29" s="863">
        <v>0</v>
      </c>
      <c r="Y29" s="863">
        <v>0.45156987568118595</v>
      </c>
      <c r="Z29" s="863">
        <v>-5.0552284425575076</v>
      </c>
      <c r="AA29" s="865">
        <v>0</v>
      </c>
      <c r="AB29" s="865">
        <v>0</v>
      </c>
      <c r="AC29" s="864">
        <v>11.579808757986811</v>
      </c>
    </row>
    <row r="30" spans="1:31">
      <c r="A30" s="3"/>
      <c r="B30" s="6" t="s">
        <v>167</v>
      </c>
      <c r="C30" s="863">
        <v>0</v>
      </c>
      <c r="D30" s="863">
        <v>0.17343205650184546</v>
      </c>
      <c r="E30" s="863">
        <v>0</v>
      </c>
      <c r="F30" s="864">
        <v>0.17343205650184546</v>
      </c>
      <c r="G30" s="863">
        <v>0</v>
      </c>
      <c r="H30" s="863">
        <v>0</v>
      </c>
      <c r="I30" s="863">
        <v>8.9099277710787128E-3</v>
      </c>
      <c r="J30" s="863">
        <v>5.8385207142182833E-3</v>
      </c>
      <c r="K30" s="863">
        <v>0</v>
      </c>
      <c r="L30" s="863">
        <v>1.1431493405807702</v>
      </c>
      <c r="M30" s="863">
        <v>0</v>
      </c>
      <c r="N30" s="863">
        <v>5.7484569871608472E-2</v>
      </c>
      <c r="O30" s="863">
        <v>0</v>
      </c>
      <c r="P30" s="863">
        <v>0</v>
      </c>
      <c r="Q30" s="863">
        <v>0</v>
      </c>
      <c r="R30" s="864">
        <v>1.2153823589376758</v>
      </c>
      <c r="S30" s="863">
        <v>0.2464452613213351</v>
      </c>
      <c r="T30" s="863">
        <v>0</v>
      </c>
      <c r="U30" s="863">
        <v>0</v>
      </c>
      <c r="V30" s="864">
        <v>0.2464452613213351</v>
      </c>
      <c r="W30" s="864">
        <v>1.6352596767608563</v>
      </c>
      <c r="X30" s="863">
        <v>0</v>
      </c>
      <c r="Y30" s="863">
        <v>1.7380000000000002E-4</v>
      </c>
      <c r="Z30" s="863">
        <v>0.8931619622456004</v>
      </c>
      <c r="AA30" s="865">
        <v>0</v>
      </c>
      <c r="AB30" s="865">
        <v>0</v>
      </c>
      <c r="AC30" s="864">
        <v>2.5285954390064567</v>
      </c>
    </row>
    <row r="31" spans="1:31">
      <c r="A31" s="3"/>
      <c r="B31" s="6" t="s">
        <v>168</v>
      </c>
      <c r="C31" s="863">
        <v>0</v>
      </c>
      <c r="D31" s="863">
        <v>0</v>
      </c>
      <c r="E31" s="863">
        <v>0</v>
      </c>
      <c r="F31" s="864">
        <v>0</v>
      </c>
      <c r="G31" s="863">
        <v>0</v>
      </c>
      <c r="H31" s="863">
        <v>0</v>
      </c>
      <c r="I31" s="863">
        <v>1.7576870969999996E-6</v>
      </c>
      <c r="J31" s="863">
        <v>8.6830058340493635E-2</v>
      </c>
      <c r="K31" s="863">
        <v>0</v>
      </c>
      <c r="L31" s="863">
        <v>6.8157765275399847E-3</v>
      </c>
      <c r="M31" s="863">
        <v>0</v>
      </c>
      <c r="N31" s="863">
        <v>0</v>
      </c>
      <c r="O31" s="863">
        <v>0</v>
      </c>
      <c r="P31" s="863">
        <v>0</v>
      </c>
      <c r="Q31" s="863">
        <v>0</v>
      </c>
      <c r="R31" s="864">
        <v>9.364759255513061E-2</v>
      </c>
      <c r="S31" s="863">
        <v>0</v>
      </c>
      <c r="T31" s="863">
        <v>0</v>
      </c>
      <c r="U31" s="863">
        <v>0</v>
      </c>
      <c r="V31" s="864">
        <v>0</v>
      </c>
      <c r="W31" s="864">
        <v>9.364759255513061E-2</v>
      </c>
      <c r="X31" s="863">
        <v>0</v>
      </c>
      <c r="Y31" s="863">
        <v>0</v>
      </c>
      <c r="Z31" s="863">
        <v>0</v>
      </c>
      <c r="AA31" s="865">
        <v>0</v>
      </c>
      <c r="AB31" s="865">
        <v>0</v>
      </c>
      <c r="AC31" s="864">
        <v>9.364759255513061E-2</v>
      </c>
    </row>
    <row r="32" spans="1:31">
      <c r="A32" s="4"/>
      <c r="B32" s="127" t="s">
        <v>169</v>
      </c>
      <c r="C32" s="881">
        <v>0</v>
      </c>
      <c r="D32" s="881">
        <v>0</v>
      </c>
      <c r="E32" s="881">
        <v>0</v>
      </c>
      <c r="F32" s="880">
        <v>0</v>
      </c>
      <c r="G32" s="881">
        <v>0</v>
      </c>
      <c r="H32" s="881">
        <v>0</v>
      </c>
      <c r="I32" s="881">
        <v>0</v>
      </c>
      <c r="J32" s="881">
        <v>2.96820381259584E-3</v>
      </c>
      <c r="K32" s="881">
        <v>0</v>
      </c>
      <c r="L32" s="881">
        <v>3.4144132042592998E-3</v>
      </c>
      <c r="M32" s="881">
        <v>0</v>
      </c>
      <c r="N32" s="881">
        <v>0</v>
      </c>
      <c r="O32" s="881">
        <v>0</v>
      </c>
      <c r="P32" s="881">
        <v>0</v>
      </c>
      <c r="Q32" s="881">
        <v>0</v>
      </c>
      <c r="R32" s="880">
        <v>6.3826170168551398E-3</v>
      </c>
      <c r="S32" s="881">
        <v>0</v>
      </c>
      <c r="T32" s="881">
        <v>0</v>
      </c>
      <c r="U32" s="881">
        <v>0</v>
      </c>
      <c r="V32" s="880">
        <v>0</v>
      </c>
      <c r="W32" s="880">
        <v>6.3826170168551398E-3</v>
      </c>
      <c r="X32" s="881">
        <v>0</v>
      </c>
      <c r="Y32" s="881">
        <v>0</v>
      </c>
      <c r="Z32" s="881">
        <v>4.9696416000000005E-5</v>
      </c>
      <c r="AA32" s="882">
        <v>0</v>
      </c>
      <c r="AB32" s="882">
        <v>0</v>
      </c>
      <c r="AC32" s="880">
        <v>6.43231343285514E-3</v>
      </c>
    </row>
    <row r="37" spans="8:24">
      <c r="X37" s="910"/>
    </row>
    <row r="38" spans="8:24">
      <c r="H38" s="894"/>
      <c r="X38" s="910"/>
    </row>
    <row r="39" spans="8:24">
      <c r="X39" s="910"/>
    </row>
    <row r="40" spans="8:24">
      <c r="X40" s="910"/>
    </row>
    <row r="41" spans="8:24">
      <c r="X41" s="910"/>
    </row>
    <row r="42" spans="8:24">
      <c r="X42" s="910"/>
    </row>
    <row r="43" spans="8:24">
      <c r="X43" s="910"/>
    </row>
    <row r="44" spans="8:24">
      <c r="X44" s="910"/>
    </row>
    <row r="45" spans="8:24">
      <c r="X45" s="910"/>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9" t="s">
        <v>480</v>
      </c>
      <c r="B2" s="1200"/>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201" t="s">
        <v>194</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1049.2760000000001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1049.2760000000001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0.20697583617672413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217.17477748016842</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201" t="s">
        <v>155</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26903.629957367903</v>
      </c>
      <c r="C5" s="17">
        <f>IF(ISERROR('Eigen informatie GS &amp; warmtenet'!B57),0,'Eigen informatie GS &amp; warmtenet'!B57)</f>
        <v>0</v>
      </c>
      <c r="D5" s="30">
        <f>(SUM(HH_hh_gas_kWh,HH_rest_gas_kWh)/1000)*0.902</f>
        <v>26572.811112821226</v>
      </c>
      <c r="E5" s="17">
        <f>B46*B57</f>
        <v>5269.4424582662805</v>
      </c>
      <c r="F5" s="17">
        <f>B51*B62</f>
        <v>59060.035321664065</v>
      </c>
      <c r="G5" s="18"/>
      <c r="H5" s="17"/>
      <c r="I5" s="17"/>
      <c r="J5" s="17">
        <f>B50*B61+C50*C61</f>
        <v>12668.709414554656</v>
      </c>
      <c r="K5" s="17"/>
      <c r="L5" s="17"/>
      <c r="M5" s="17"/>
      <c r="N5" s="17">
        <f>B48*B59+C48*C59</f>
        <v>23240.890673666861</v>
      </c>
      <c r="O5" s="17">
        <f>B69*B70*B71</f>
        <v>168.84</v>
      </c>
      <c r="P5" s="17">
        <f>B77*B78*B79/1000-B77*B78*B79/1000/B80</f>
        <v>991.4666666666667</v>
      </c>
    </row>
    <row r="6" spans="1:16">
      <c r="A6" s="16" t="s">
        <v>634</v>
      </c>
      <c r="B6" s="783">
        <f>kWh_PV_kleiner_dan_10kW</f>
        <v>2526.7190000000001</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212</v>
      </c>
      <c r="B8" s="21">
        <f>B5+B6</f>
        <v>29430.348957367903</v>
      </c>
      <c r="C8" s="21">
        <f>C5</f>
        <v>0</v>
      </c>
      <c r="D8" s="21">
        <f>D5</f>
        <v>26572.811112821226</v>
      </c>
      <c r="E8" s="21">
        <f>E5</f>
        <v>5269.4424582662805</v>
      </c>
      <c r="F8" s="21">
        <f>F5</f>
        <v>59060.035321664065</v>
      </c>
      <c r="G8" s="21"/>
      <c r="H8" s="21"/>
      <c r="I8" s="21"/>
      <c r="J8" s="21">
        <f>J5</f>
        <v>12668.709414554656</v>
      </c>
      <c r="K8" s="21"/>
      <c r="L8" s="21">
        <f>L5</f>
        <v>0</v>
      </c>
      <c r="M8" s="21">
        <f>M5</f>
        <v>0</v>
      </c>
      <c r="N8" s="21">
        <f>N5</f>
        <v>23240.890673666861</v>
      </c>
      <c r="O8" s="21">
        <f>O5</f>
        <v>168.84</v>
      </c>
      <c r="P8" s="21">
        <f>P5</f>
        <v>991.4666666666667</v>
      </c>
    </row>
    <row r="9" spans="1:16">
      <c r="B9" s="19"/>
      <c r="C9" s="19"/>
      <c r="D9" s="261"/>
      <c r="E9" s="19"/>
      <c r="F9" s="19"/>
      <c r="G9" s="19"/>
      <c r="H9" s="19"/>
      <c r="I9" s="19"/>
      <c r="J9" s="19"/>
      <c r="K9" s="19"/>
      <c r="L9" s="19"/>
      <c r="M9" s="19"/>
      <c r="N9" s="19"/>
      <c r="O9" s="19"/>
      <c r="P9" s="19"/>
    </row>
    <row r="10" spans="1:16">
      <c r="A10" s="24" t="s">
        <v>214</v>
      </c>
      <c r="B10" s="25">
        <f ca="1">'EF ele_warmte'!B12</f>
        <v>0.20697583617672413</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6091.3710844240031</v>
      </c>
      <c r="C12" s="23">
        <f ca="1">C10*C8</f>
        <v>0</v>
      </c>
      <c r="D12" s="23">
        <f>D8*D10</f>
        <v>5367.7078447898875</v>
      </c>
      <c r="E12" s="23">
        <f>E10*E8</f>
        <v>1196.1634380264456</v>
      </c>
      <c r="F12" s="23">
        <f>F10*F8</f>
        <v>15769.029430884306</v>
      </c>
      <c r="G12" s="23"/>
      <c r="H12" s="23"/>
      <c r="I12" s="23"/>
      <c r="J12" s="23">
        <f>J10*J8</f>
        <v>4484.7231327523477</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517</v>
      </c>
      <c r="C18" s="168" t="s">
        <v>111</v>
      </c>
      <c r="D18" s="230"/>
      <c r="E18" s="15"/>
    </row>
    <row r="19" spans="1:7">
      <c r="A19" s="173" t="s">
        <v>72</v>
      </c>
      <c r="B19" s="37">
        <f>aantalw2001_ander</f>
        <v>1</v>
      </c>
      <c r="C19" s="168" t="s">
        <v>111</v>
      </c>
      <c r="D19" s="231"/>
      <c r="E19" s="15"/>
    </row>
    <row r="20" spans="1:7">
      <c r="A20" s="173" t="s">
        <v>73</v>
      </c>
      <c r="B20" s="37">
        <f>aantalw2001_propaan</f>
        <v>136</v>
      </c>
      <c r="C20" s="169">
        <f>IF(ISERROR(B20/SUM($B$20,$B$21,$B$22)*100),0,B20/SUM($B$20,$B$21,$B$22)*100)</f>
        <v>16.625916870415647</v>
      </c>
      <c r="D20" s="231"/>
      <c r="E20" s="15"/>
    </row>
    <row r="21" spans="1:7">
      <c r="A21" s="173" t="s">
        <v>74</v>
      </c>
      <c r="B21" s="37">
        <f>aantalw2001_elektriciteit</f>
        <v>522</v>
      </c>
      <c r="C21" s="169">
        <f>IF(ISERROR(B21/SUM($B$20,$B$21,$B$22)*100),0,B21/SUM($B$20,$B$21,$B$22)*100)</f>
        <v>63.814180929095357</v>
      </c>
      <c r="D21" s="231"/>
      <c r="E21" s="15"/>
    </row>
    <row r="22" spans="1:7">
      <c r="A22" s="173" t="s">
        <v>75</v>
      </c>
      <c r="B22" s="37">
        <f>aantalw2001_hout</f>
        <v>160</v>
      </c>
      <c r="C22" s="169">
        <f>IF(ISERROR(B22/SUM($B$20,$B$21,$B$22)*100),0,B22/SUM($B$20,$B$21,$B$22)*100)</f>
        <v>19.559902200488999</v>
      </c>
      <c r="D22" s="231"/>
      <c r="E22" s="15"/>
    </row>
    <row r="23" spans="1:7">
      <c r="A23" s="173" t="s">
        <v>76</v>
      </c>
      <c r="B23" s="37">
        <f>aantalw2001_niet_gespec</f>
        <v>126</v>
      </c>
      <c r="C23" s="168" t="s">
        <v>111</v>
      </c>
      <c r="D23" s="230"/>
      <c r="E23" s="15"/>
    </row>
    <row r="24" spans="1:7">
      <c r="A24" s="173" t="s">
        <v>77</v>
      </c>
      <c r="B24" s="37">
        <f>aantalw2001_steenkool</f>
        <v>436</v>
      </c>
      <c r="C24" s="168" t="s">
        <v>111</v>
      </c>
      <c r="D24" s="231"/>
      <c r="E24" s="15"/>
    </row>
    <row r="25" spans="1:7">
      <c r="A25" s="173" t="s">
        <v>78</v>
      </c>
      <c r="B25" s="37">
        <f>aantalw2001_stookolie</f>
        <v>3457</v>
      </c>
      <c r="C25" s="168" t="s">
        <v>111</v>
      </c>
      <c r="D25" s="230"/>
      <c r="E25" s="52"/>
    </row>
    <row r="26" spans="1:7">
      <c r="A26" s="173" t="s">
        <v>79</v>
      </c>
      <c r="B26" s="37">
        <f>aantalw2001_WP</f>
        <v>6</v>
      </c>
      <c r="C26" s="168" t="s">
        <v>111</v>
      </c>
      <c r="D26" s="230"/>
      <c r="E26" s="15"/>
    </row>
    <row r="27" spans="1:7" s="15" customFormat="1">
      <c r="A27" s="173"/>
      <c r="B27" s="29"/>
      <c r="C27" s="36"/>
      <c r="D27" s="230"/>
    </row>
    <row r="28" spans="1:7" s="15" customFormat="1">
      <c r="A28" s="232" t="s">
        <v>745</v>
      </c>
      <c r="B28" s="37">
        <f>aantalHuishoudens2011</f>
        <v>5983</v>
      </c>
      <c r="C28" s="36"/>
      <c r="D28" s="230"/>
    </row>
    <row r="29" spans="1:7" s="15" customFormat="1">
      <c r="A29" s="232" t="s">
        <v>746</v>
      </c>
      <c r="B29" s="37">
        <f>SUM(HH_hh_gas_aantal,HH_rest_gas_aantal)</f>
        <v>1763</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1763</v>
      </c>
      <c r="C32" s="169">
        <f>IF(ISERROR(B32/SUM($B$32,$B$34,$B$35,$B$36,$B$38,$B$39)*100),0,B32/SUM($B$32,$B$34,$B$35,$B$36,$B$38,$B$39)*100)</f>
        <v>29.725172820772215</v>
      </c>
      <c r="D32" s="235"/>
      <c r="G32" s="15"/>
    </row>
    <row r="33" spans="1:7">
      <c r="A33" s="173" t="s">
        <v>72</v>
      </c>
      <c r="B33" s="34" t="s">
        <v>111</v>
      </c>
      <c r="C33" s="169"/>
      <c r="D33" s="235"/>
      <c r="G33" s="15"/>
    </row>
    <row r="34" spans="1:7">
      <c r="A34" s="173" t="s">
        <v>73</v>
      </c>
      <c r="B34" s="33">
        <f>IF((($B$28-$B$32-$B$39-$B$77-$B$38)*C20/100)&lt;0,0,($B$28-$B$32-$B$39-$B$77-$B$38)*C20/100)</f>
        <v>252.88019559902202</v>
      </c>
      <c r="C34" s="169">
        <f>IF(ISERROR(B34/SUM($B$32,$B$34,$B$35,$B$36,$B$38,$B$39)*100),0,B34/SUM($B$32,$B$34,$B$35,$B$36,$B$38,$B$39)*100)</f>
        <v>4.2637025054631943</v>
      </c>
      <c r="D34" s="235"/>
      <c r="G34" s="15"/>
    </row>
    <row r="35" spans="1:7">
      <c r="A35" s="173" t="s">
        <v>74</v>
      </c>
      <c r="B35" s="33">
        <f>IF((($B$28-$B$32-$B$39-$B$77-$B$38)*C21/100)&lt;0,0,($B$28-$B$32-$B$39-$B$77-$B$38)*C21/100)</f>
        <v>970.61369193154042</v>
      </c>
      <c r="C35" s="169">
        <f>IF(ISERROR(B35/SUM($B$32,$B$34,$B$35,$B$36,$B$38,$B$39)*100),0,B35/SUM($B$32,$B$34,$B$35,$B$36,$B$38,$B$39)*100)</f>
        <v>16.365093440086671</v>
      </c>
      <c r="D35" s="235"/>
      <c r="G35" s="15"/>
    </row>
    <row r="36" spans="1:7">
      <c r="A36" s="173" t="s">
        <v>75</v>
      </c>
      <c r="B36" s="33">
        <f>IF((($B$28-$B$32-$B$39-$B$77-$B$38)*C22/100)&lt;0,0,($B$28-$B$32-$B$39-$B$77-$B$38)*C22/100)</f>
        <v>297.50611246943771</v>
      </c>
      <c r="C36" s="169">
        <f>IF(ISERROR(B36/SUM($B$32,$B$34,$B$35,$B$36,$B$38,$B$39)*100),0,B36/SUM($B$32,$B$34,$B$35,$B$36,$B$38,$B$39)*100)</f>
        <v>5.0161205946625813</v>
      </c>
      <c r="D36" s="235"/>
      <c r="G36" s="15"/>
    </row>
    <row r="37" spans="1:7">
      <c r="A37" s="173" t="s">
        <v>76</v>
      </c>
      <c r="B37" s="34" t="s">
        <v>111</v>
      </c>
      <c r="C37" s="169"/>
      <c r="D37" s="175"/>
      <c r="G37" s="15"/>
    </row>
    <row r="38" spans="1:7">
      <c r="A38" s="173" t="s">
        <v>77</v>
      </c>
      <c r="B38" s="33">
        <f>IF((B24-(B29-B18)*0.1)&lt;0,0,B24-(B29-B18)*0.1)</f>
        <v>311.39999999999998</v>
      </c>
      <c r="C38" s="169">
        <f>IF(ISERROR(B38/SUM($B$32,$B$34,$B$35,$B$36,$B$38,$B$39)*100),0,B38/SUM($B$32,$B$34,$B$35,$B$36,$B$38,$B$39)*100)</f>
        <v>5.2503793626707127</v>
      </c>
      <c r="D38" s="236"/>
      <c r="G38" s="15"/>
    </row>
    <row r="39" spans="1:7">
      <c r="A39" s="173" t="s">
        <v>78</v>
      </c>
      <c r="B39" s="33">
        <f>IF((B25-(B29-B18))&lt;0,0,B25-(B29-B18)*0.9)</f>
        <v>2335.6</v>
      </c>
      <c r="C39" s="169">
        <f>IF(ISERROR(B39/SUM($B$32,$B$34,$B$35,$B$36,$B$38,$B$39)*100),0,B39/SUM($B$32,$B$34,$B$35,$B$36,$B$38,$B$39)*100)</f>
        <v>39.379531276344629</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1763</v>
      </c>
      <c r="C44" s="34" t="s">
        <v>111</v>
      </c>
      <c r="D44" s="176"/>
    </row>
    <row r="45" spans="1:7">
      <c r="A45" s="173" t="s">
        <v>72</v>
      </c>
      <c r="B45" s="33" t="str">
        <f t="shared" si="0"/>
        <v>-</v>
      </c>
      <c r="C45" s="34" t="s">
        <v>111</v>
      </c>
      <c r="D45" s="176"/>
    </row>
    <row r="46" spans="1:7">
      <c r="A46" s="173" t="s">
        <v>73</v>
      </c>
      <c r="B46" s="33">
        <f t="shared" si="0"/>
        <v>252.88019559902202</v>
      </c>
      <c r="C46" s="34" t="s">
        <v>111</v>
      </c>
      <c r="D46" s="176"/>
    </row>
    <row r="47" spans="1:7">
      <c r="A47" s="173" t="s">
        <v>74</v>
      </c>
      <c r="B47" s="33">
        <f t="shared" si="0"/>
        <v>970.61369193154042</v>
      </c>
      <c r="C47" s="34" t="s">
        <v>111</v>
      </c>
      <c r="D47" s="176"/>
    </row>
    <row r="48" spans="1:7">
      <c r="A48" s="173" t="s">
        <v>75</v>
      </c>
      <c r="B48" s="33">
        <f t="shared" si="0"/>
        <v>297.50611246943771</v>
      </c>
      <c r="C48" s="33">
        <f>B48*10</f>
        <v>2975.0611246943772</v>
      </c>
      <c r="D48" s="236"/>
    </row>
    <row r="49" spans="1:6">
      <c r="A49" s="173" t="s">
        <v>76</v>
      </c>
      <c r="B49" s="33" t="str">
        <f t="shared" si="0"/>
        <v>-</v>
      </c>
      <c r="C49" s="34" t="s">
        <v>111</v>
      </c>
      <c r="D49" s="236"/>
    </row>
    <row r="50" spans="1:6">
      <c r="A50" s="173" t="s">
        <v>77</v>
      </c>
      <c r="B50" s="33">
        <f t="shared" si="0"/>
        <v>311.39999999999998</v>
      </c>
      <c r="C50" s="33">
        <f>B50*2</f>
        <v>622.79999999999995</v>
      </c>
      <c r="D50" s="236"/>
    </row>
    <row r="51" spans="1:6">
      <c r="A51" s="173" t="s">
        <v>78</v>
      </c>
      <c r="B51" s="33">
        <f t="shared" si="0"/>
        <v>2335.6</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108</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52</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D13" sqref="D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156</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12109.381670942421</v>
      </c>
      <c r="C5" s="17">
        <f>IF(ISERROR('Eigen informatie GS &amp; warmtenet'!B58),0,'Eigen informatie GS &amp; warmtenet'!B58)</f>
        <v>0</v>
      </c>
      <c r="D5" s="30">
        <f>SUM(D6:D12)</f>
        <v>8934.3606523303552</v>
      </c>
      <c r="E5" s="17">
        <f>SUM(E6:E12)</f>
        <v>173.63274767983248</v>
      </c>
      <c r="F5" s="17">
        <f>SUM(F6:F12)</f>
        <v>2688.6879241698985</v>
      </c>
      <c r="G5" s="18"/>
      <c r="H5" s="17"/>
      <c r="I5" s="17"/>
      <c r="J5" s="17">
        <f>SUM(J6:J12)</f>
        <v>0</v>
      </c>
      <c r="K5" s="17"/>
      <c r="L5" s="17"/>
      <c r="M5" s="17"/>
      <c r="N5" s="17">
        <f>SUM(N6:N12)</f>
        <v>2180.6365494746938</v>
      </c>
      <c r="O5" s="17">
        <f>B38*B39*B40</f>
        <v>1.5633333333333335</v>
      </c>
      <c r="P5" s="17">
        <f>B46*B47*B48/1000-B46*B47*B48/1000/B49</f>
        <v>19.066666666666666</v>
      </c>
      <c r="R5" s="32"/>
    </row>
    <row r="6" spans="1:18">
      <c r="A6" s="32" t="s">
        <v>54</v>
      </c>
      <c r="B6" s="37">
        <f>B26</f>
        <v>2162.6844881192201</v>
      </c>
      <c r="C6" s="33"/>
      <c r="D6" s="37">
        <f>IF(ISERROR(TER_kantoor_gas_kWh/1000),0,TER_kantoor_gas_kWh/1000)*0.902</f>
        <v>2738.0828162149769</v>
      </c>
      <c r="E6" s="33">
        <f>$C$26*'E Balans VL '!I12/100/3.6*1000000</f>
        <v>8.4024871033268536</v>
      </c>
      <c r="F6" s="33">
        <f>$C$26*('E Balans VL '!L12+'E Balans VL '!N12)/100/3.6*1000000</f>
        <v>328.92463178302631</v>
      </c>
      <c r="G6" s="34"/>
      <c r="H6" s="33"/>
      <c r="I6" s="33"/>
      <c r="J6" s="33">
        <f>$C$26*('E Balans VL '!D12+'E Balans VL '!E12)/100/3.6*1000000</f>
        <v>0</v>
      </c>
      <c r="K6" s="33"/>
      <c r="L6" s="33"/>
      <c r="M6" s="33"/>
      <c r="N6" s="33">
        <f>$C$26*'E Balans VL '!Y12/100/3.6*1000000</f>
        <v>1.1918982361749391</v>
      </c>
      <c r="O6" s="33"/>
      <c r="P6" s="33"/>
      <c r="R6" s="32"/>
    </row>
    <row r="7" spans="1:18">
      <c r="A7" s="32" t="s">
        <v>53</v>
      </c>
      <c r="B7" s="37">
        <f t="shared" ref="B7:B12" si="0">B27</f>
        <v>1552.78005645851</v>
      </c>
      <c r="C7" s="33"/>
      <c r="D7" s="37">
        <f>IF(ISERROR(TER_horeca_gas_kWh/1000),0,TER_horeca_gas_kWh/1000)*0.902</f>
        <v>1229.1589393292879</v>
      </c>
      <c r="E7" s="33">
        <f>$C$27*'E Balans VL '!I9/100/3.6*1000000</f>
        <v>87.468515724912777</v>
      </c>
      <c r="F7" s="33">
        <f>$C$27*('E Balans VL '!L9+'E Balans VL '!N9)/100/3.6*1000000</f>
        <v>447.72880523840143</v>
      </c>
      <c r="G7" s="34"/>
      <c r="H7" s="33"/>
      <c r="I7" s="33"/>
      <c r="J7" s="33">
        <f>$C$27*('E Balans VL '!D9+'E Balans VL '!E9)/100/3.6*1000000</f>
        <v>0</v>
      </c>
      <c r="K7" s="33"/>
      <c r="L7" s="33"/>
      <c r="M7" s="33"/>
      <c r="N7" s="33">
        <f>$C$27*'E Balans VL '!Y9/100/3.6*1000000</f>
        <v>0.42871450458383342</v>
      </c>
      <c r="O7" s="33"/>
      <c r="P7" s="33"/>
      <c r="R7" s="32"/>
    </row>
    <row r="8" spans="1:18">
      <c r="A8" s="6" t="s">
        <v>52</v>
      </c>
      <c r="B8" s="37">
        <f t="shared" si="0"/>
        <v>3193.1740056734002</v>
      </c>
      <c r="C8" s="33"/>
      <c r="D8" s="37">
        <f>IF(ISERROR(TER_handel_gas_kWh/1000),0,TER_handel_gas_kWh/1000)*0.902</f>
        <v>976.00361362810656</v>
      </c>
      <c r="E8" s="33">
        <f>$C$28*'E Balans VL '!I13/100/3.6*1000000</f>
        <v>46.024470783498955</v>
      </c>
      <c r="F8" s="33">
        <f>$C$28*('E Balans VL '!L13+'E Balans VL '!N13)/100/3.6*1000000</f>
        <v>554.72868879006398</v>
      </c>
      <c r="G8" s="34"/>
      <c r="H8" s="33"/>
      <c r="I8" s="33"/>
      <c r="J8" s="33">
        <f>$C$28*('E Balans VL '!D13+'E Balans VL '!E13)/100/3.6*1000000</f>
        <v>0</v>
      </c>
      <c r="K8" s="33"/>
      <c r="L8" s="33"/>
      <c r="M8" s="33"/>
      <c r="N8" s="33">
        <f>$C$28*'E Balans VL '!Y13/100/3.6*1000000</f>
        <v>9.5671047924505839</v>
      </c>
      <c r="O8" s="33"/>
      <c r="P8" s="33"/>
      <c r="R8" s="32"/>
    </row>
    <row r="9" spans="1:18">
      <c r="A9" s="32" t="s">
        <v>51</v>
      </c>
      <c r="B9" s="37">
        <f t="shared" si="0"/>
        <v>522.539507369788</v>
      </c>
      <c r="C9" s="33"/>
      <c r="D9" s="37">
        <f>IF(ISERROR(TER_gezond_gas_kWh/1000),0,TER_gezond_gas_kWh/1000)*0.902</f>
        <v>1975.1624611966629</v>
      </c>
      <c r="E9" s="33">
        <f>$C$29*'E Balans VL '!I10/100/3.6*1000000</f>
        <v>0.55820763113746774</v>
      </c>
      <c r="F9" s="33">
        <f>$C$29*('E Balans VL '!L10+'E Balans VL '!N10)/100/3.6*1000000</f>
        <v>85.242074223563634</v>
      </c>
      <c r="G9" s="34"/>
      <c r="H9" s="33"/>
      <c r="I9" s="33"/>
      <c r="J9" s="33">
        <f>$C$29*('E Balans VL '!D10+'E Balans VL '!E10)/100/3.6*1000000</f>
        <v>0</v>
      </c>
      <c r="K9" s="33"/>
      <c r="L9" s="33"/>
      <c r="M9" s="33"/>
      <c r="N9" s="33">
        <f>$C$29*'E Balans VL '!Y10/100/3.6*1000000</f>
        <v>5.3792460732773479</v>
      </c>
      <c r="O9" s="33"/>
      <c r="P9" s="33"/>
      <c r="R9" s="32"/>
    </row>
    <row r="10" spans="1:18">
      <c r="A10" s="32" t="s">
        <v>50</v>
      </c>
      <c r="B10" s="37">
        <f t="shared" si="0"/>
        <v>2945.8620245636303</v>
      </c>
      <c r="C10" s="33"/>
      <c r="D10" s="37">
        <f>IF(ISERROR(TER_ander_gas_kWh/1000),0,TER_ander_gas_kWh/1000)*0.902</f>
        <v>400.52793439459549</v>
      </c>
      <c r="E10" s="33">
        <f>$C$30*'E Balans VL '!I14/100/3.6*1000000</f>
        <v>13.547571352090189</v>
      </c>
      <c r="F10" s="33">
        <f>$C$30*('E Balans VL '!L14+'E Balans VL '!N14)/100/3.6*1000000</f>
        <v>882.9677696015417</v>
      </c>
      <c r="G10" s="34"/>
      <c r="H10" s="33"/>
      <c r="I10" s="33"/>
      <c r="J10" s="33">
        <f>$C$30*('E Balans VL '!D14+'E Balans VL '!E14)/100/3.6*1000000</f>
        <v>0</v>
      </c>
      <c r="K10" s="33"/>
      <c r="L10" s="33"/>
      <c r="M10" s="33"/>
      <c r="N10" s="33">
        <f>$C$30*'E Balans VL '!Y14/100/3.6*1000000</f>
        <v>2050.5144277129698</v>
      </c>
      <c r="O10" s="33"/>
      <c r="P10" s="33"/>
      <c r="R10" s="32"/>
    </row>
    <row r="11" spans="1:18">
      <c r="A11" s="32" t="s">
        <v>55</v>
      </c>
      <c r="B11" s="37">
        <f t="shared" si="0"/>
        <v>301.81985286559296</v>
      </c>
      <c r="C11" s="33"/>
      <c r="D11" s="37">
        <f>IF(ISERROR(TER_onderwijs_gas_kWh/1000),0,TER_onderwijs_gas_kWh/1000)*0.902</f>
        <v>0</v>
      </c>
      <c r="E11" s="33">
        <f>$C$31*'E Balans VL '!I11/100/3.6*1000000</f>
        <v>0.27997760549293144</v>
      </c>
      <c r="F11" s="33">
        <f>$C$31*('E Balans VL '!L11+'E Balans VL '!N11)/100/3.6*1000000</f>
        <v>106.02237748109653</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1430.52173589228</v>
      </c>
      <c r="C12" s="33"/>
      <c r="D12" s="37">
        <f>IF(ISERROR(TER_rest_gas_kWh/1000),0,TER_rest_gas_kWh/1000)*0.902</f>
        <v>1615.4248875667251</v>
      </c>
      <c r="E12" s="33">
        <f>$C$32*'E Balans VL '!I8/100/3.6*1000000</f>
        <v>17.351517479373314</v>
      </c>
      <c r="F12" s="33">
        <f>$C$32*('E Balans VL '!L8+'E Balans VL '!N8)/100/3.6*1000000</f>
        <v>283.0735770522046</v>
      </c>
      <c r="G12" s="34"/>
      <c r="H12" s="33"/>
      <c r="I12" s="33"/>
      <c r="J12" s="33">
        <f>$C$32*('E Balans VL '!D8+'E Balans VL '!E8)/100/3.6*1000000</f>
        <v>0</v>
      </c>
      <c r="K12" s="33"/>
      <c r="L12" s="33"/>
      <c r="M12" s="33"/>
      <c r="N12" s="33">
        <f>$C$32*'E Balans VL '!Y8/100/3.6*1000000</f>
        <v>113.55515815523705</v>
      </c>
      <c r="O12" s="33"/>
      <c r="P12" s="33"/>
      <c r="R12" s="32"/>
    </row>
    <row r="13" spans="1:18">
      <c r="A13" s="16" t="s">
        <v>497</v>
      </c>
      <c r="B13" s="249">
        <f ca="1">'lokale energieproductie'!N91+'lokale energieproductie'!N60</f>
        <v>0</v>
      </c>
      <c r="C13" s="249">
        <f ca="1">'lokale energieproductie'!O91+'lokale energieproductie'!O60</f>
        <v>0</v>
      </c>
      <c r="D13" s="312">
        <f ca="1">('lokale energieproductie'!P60+'lokale energieproductie'!P91)*(-1)</f>
        <v>0</v>
      </c>
      <c r="E13" s="250"/>
      <c r="F13" s="312">
        <f ca="1">('lokale energieproductie'!S60+'lokale energieproductie'!S91)*(-1)</f>
        <v>0</v>
      </c>
      <c r="G13" s="251"/>
      <c r="H13" s="250"/>
      <c r="I13" s="250"/>
      <c r="J13" s="250"/>
      <c r="K13" s="250"/>
      <c r="L13" s="312">
        <f ca="1">('lokale energieproductie'!U60+'lokale energieproductie'!T60+'lokale energieproductie'!U91+'lokale energieproductie'!T91)*(-1)</f>
        <v>0</v>
      </c>
      <c r="M13" s="250"/>
      <c r="N13" s="312">
        <f ca="1">('lokale energieproductie'!Q60+'lokale energieproductie'!R60+'lokale energieproductie'!V60+'lokale energieproductie'!Q91+'lokale energieproductie'!R91+'lokale energieproductie'!V91)*(-1)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12109.381670942421</v>
      </c>
      <c r="C16" s="21">
        <f t="shared" ca="1" si="1"/>
        <v>0</v>
      </c>
      <c r="D16" s="21">
        <f t="shared" ca="1" si="1"/>
        <v>8934.3606523303552</v>
      </c>
      <c r="E16" s="21">
        <f t="shared" si="1"/>
        <v>173.63274767983248</v>
      </c>
      <c r="F16" s="21">
        <f t="shared" ca="1" si="1"/>
        <v>2688.6879241698985</v>
      </c>
      <c r="G16" s="21">
        <f t="shared" si="1"/>
        <v>0</v>
      </c>
      <c r="H16" s="21">
        <f t="shared" si="1"/>
        <v>0</v>
      </c>
      <c r="I16" s="21">
        <f t="shared" si="1"/>
        <v>0</v>
      </c>
      <c r="J16" s="21">
        <f t="shared" si="1"/>
        <v>0</v>
      </c>
      <c r="K16" s="21">
        <f t="shared" si="1"/>
        <v>0</v>
      </c>
      <c r="L16" s="21">
        <f t="shared" ca="1" si="1"/>
        <v>0</v>
      </c>
      <c r="M16" s="21">
        <f t="shared" si="1"/>
        <v>0</v>
      </c>
      <c r="N16" s="21">
        <f t="shared" ca="1" si="1"/>
        <v>2180.6365494746938</v>
      </c>
      <c r="O16" s="21">
        <f>O5</f>
        <v>1.5633333333333335</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0.20697583617672413</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2506.3493969264046</v>
      </c>
      <c r="C20" s="23">
        <f t="shared" ref="C20:P20" ca="1" si="2">C16*C18</f>
        <v>0</v>
      </c>
      <c r="D20" s="23">
        <f t="shared" ca="1" si="2"/>
        <v>1804.7408517707318</v>
      </c>
      <c r="E20" s="23">
        <f t="shared" si="2"/>
        <v>39.414633723321977</v>
      </c>
      <c r="F20" s="23">
        <f t="shared" ca="1" si="2"/>
        <v>717.8796757533629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2162.6844881192201</v>
      </c>
      <c r="C26" s="39">
        <f>IF(ISERROR(B26*3.6/1000000/'E Balans VL '!Z12*100),0,B26*3.6/1000000/'E Balans VL '!Z12*100)</f>
        <v>4.5936489782286448E-2</v>
      </c>
      <c r="D26" s="239" t="s">
        <v>692</v>
      </c>
      <c r="F26" s="6"/>
    </row>
    <row r="27" spans="1:18">
      <c r="A27" s="233" t="s">
        <v>53</v>
      </c>
      <c r="B27" s="33">
        <f>IF(ISERROR(TER_horeca_ele_kWh/1000),0,TER_horeca_ele_kWh/1000)</f>
        <v>1552.78005645851</v>
      </c>
      <c r="C27" s="39">
        <f>IF(ISERROR(B27*3.6/1000000/'E Balans VL '!Z9*100),0,B27*3.6/1000000/'E Balans VL '!Z9*100)</f>
        <v>0.12073810594176912</v>
      </c>
      <c r="D27" s="239" t="s">
        <v>692</v>
      </c>
      <c r="F27" s="6"/>
    </row>
    <row r="28" spans="1:18">
      <c r="A28" s="173" t="s">
        <v>52</v>
      </c>
      <c r="B28" s="33">
        <f>IF(ISERROR(TER_handel_ele_kWh/1000),0,TER_handel_ele_kWh/1000)</f>
        <v>3193.1740056734002</v>
      </c>
      <c r="C28" s="39">
        <f>IF(ISERROR(B28*3.6/1000000/'E Balans VL '!Z13*100),0,B28*3.6/1000000/'E Balans VL '!Z13*100)</f>
        <v>9.1360466292189829E-2</v>
      </c>
      <c r="D28" s="239" t="s">
        <v>692</v>
      </c>
      <c r="F28" s="6"/>
    </row>
    <row r="29" spans="1:18">
      <c r="A29" s="233" t="s">
        <v>51</v>
      </c>
      <c r="B29" s="33">
        <f>IF(ISERROR(TER_gezond_ele_kWh/1000),0,TER_gezond_ele_kWh/1000)</f>
        <v>522.539507369788</v>
      </c>
      <c r="C29" s="39">
        <f>IF(ISERROR(B29*3.6/1000000/'E Balans VL '!Z10*100),0,B29*3.6/1000000/'E Balans VL '!Z10*100)</f>
        <v>5.696894866520253E-2</v>
      </c>
      <c r="D29" s="239" t="s">
        <v>692</v>
      </c>
      <c r="F29" s="6"/>
    </row>
    <row r="30" spans="1:18">
      <c r="A30" s="233" t="s">
        <v>50</v>
      </c>
      <c r="B30" s="33">
        <f>IF(ISERROR(TER_ander_ele_kWh/1000),0,TER_ander_ele_kWh/1000)</f>
        <v>2945.8620245636303</v>
      </c>
      <c r="C30" s="39">
        <f>IF(ISERROR(B30*3.6/1000000/'E Balans VL '!Z14*100),0,B30*3.6/1000000/'E Balans VL '!Z14*100)</f>
        <v>0.2155715004279761</v>
      </c>
      <c r="D30" s="239" t="s">
        <v>692</v>
      </c>
      <c r="F30" s="6"/>
    </row>
    <row r="31" spans="1:18">
      <c r="A31" s="233" t="s">
        <v>55</v>
      </c>
      <c r="B31" s="33">
        <f>IF(ISERROR(TER_onderwijs_ele_kWh/1000),0,TER_onderwijs_ele_kWh/1000)</f>
        <v>301.81985286559296</v>
      </c>
      <c r="C31" s="39">
        <f>IF(ISERROR(B31*3.6/1000000/'E Balans VL '!Z11*100),0,B31*3.6/1000000/'E Balans VL '!Z11*100)</f>
        <v>6.0620741573296853E-2</v>
      </c>
      <c r="D31" s="239" t="s">
        <v>692</v>
      </c>
    </row>
    <row r="32" spans="1:18">
      <c r="A32" s="233" t="s">
        <v>260</v>
      </c>
      <c r="B32" s="33">
        <f>IF(ISERROR(TER_rest_ele_kWh/1000),0,TER_rest_ele_kWh/1000)</f>
        <v>1430.52173589228</v>
      </c>
      <c r="C32" s="39">
        <f>IF(ISERROR(B32*3.6/1000000/'E Balans VL '!Z8*100),0,B32*3.6/1000000/'E Balans VL '!Z8*100)</f>
        <v>1.1657884007990039E-2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1</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6">
        <f>aantalWP_NB_ander+antalWP_NB_ander_met_kantoor+aantalWP_NB_kantoor+aantalWP_NB_school+WP_NHH_bestaande_bouw</f>
        <v>1</v>
      </c>
      <c r="C46" s="32"/>
      <c r="D46" s="234"/>
    </row>
    <row r="47" spans="1:4">
      <c r="A47" s="173" t="s">
        <v>456</v>
      </c>
      <c r="B47" s="547">
        <v>13</v>
      </c>
      <c r="C47" s="32" t="s">
        <v>263</v>
      </c>
      <c r="D47" s="311" t="s">
        <v>520</v>
      </c>
    </row>
    <row r="48" spans="1:4">
      <c r="A48" s="173" t="s">
        <v>457</v>
      </c>
      <c r="B48" s="547">
        <v>2000</v>
      </c>
      <c r="C48" s="32" t="s">
        <v>265</v>
      </c>
      <c r="D48" s="311" t="s">
        <v>520</v>
      </c>
    </row>
    <row r="49" spans="1:4">
      <c r="A49" s="173" t="s">
        <v>417</v>
      </c>
      <c r="B49" s="547">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163</v>
      </c>
      <c r="B1" s="1202" t="s">
        <v>195</v>
      </c>
      <c r="C1" s="1203"/>
      <c r="D1" s="1203"/>
      <c r="E1" s="1203"/>
      <c r="F1" s="1203"/>
      <c r="G1" s="1203"/>
      <c r="H1" s="1203"/>
      <c r="I1" s="1203"/>
      <c r="J1" s="1203"/>
      <c r="K1" s="1203"/>
      <c r="L1" s="1203"/>
      <c r="M1" s="1203"/>
      <c r="N1" s="1203"/>
      <c r="O1" s="1203"/>
      <c r="P1" s="1203"/>
      <c r="R1" s="766"/>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c r="R2" s="766"/>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766"/>
    </row>
    <row r="4" spans="1:18" ht="15.75">
      <c r="A4" s="13"/>
      <c r="B4" s="14"/>
      <c r="C4" s="14"/>
      <c r="D4" s="14"/>
      <c r="E4" s="14"/>
      <c r="F4" s="14"/>
      <c r="G4" s="14"/>
      <c r="H4" s="14"/>
      <c r="I4" s="14"/>
      <c r="J4" s="14"/>
      <c r="K4" s="14"/>
      <c r="L4" s="14"/>
      <c r="M4" s="14"/>
      <c r="N4" s="14"/>
      <c r="O4" s="14"/>
      <c r="P4" s="14"/>
      <c r="R4" s="6"/>
    </row>
    <row r="5" spans="1:18">
      <c r="A5" s="16" t="s">
        <v>269</v>
      </c>
      <c r="B5" s="30">
        <f>SUM(B6:B15)</f>
        <v>7349.6852702451897</v>
      </c>
      <c r="C5" s="17">
        <f>IF(ISERROR('Eigen informatie GS &amp; warmtenet'!B59),0,'Eigen informatie GS &amp; warmtenet'!B59)</f>
        <v>0</v>
      </c>
      <c r="D5" s="30">
        <f>SUM(D6:D15)</f>
        <v>1512.7127487152381</v>
      </c>
      <c r="E5" s="17">
        <f>SUM(E6:E15)</f>
        <v>562.44236205079596</v>
      </c>
      <c r="F5" s="17">
        <f>SUM(F6:F15)</f>
        <v>2236.8012946723029</v>
      </c>
      <c r="G5" s="18"/>
      <c r="H5" s="17"/>
      <c r="I5" s="17"/>
      <c r="J5" s="17">
        <f>SUM(J6:J15)</f>
        <v>16.560890846595086</v>
      </c>
      <c r="K5" s="17"/>
      <c r="L5" s="17"/>
      <c r="M5" s="17"/>
      <c r="N5" s="17">
        <f>SUM(N6:N15)</f>
        <v>1567.8560585310788</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16.224843165702399</v>
      </c>
      <c r="C8" s="33"/>
      <c r="D8" s="37">
        <f>IF( ISERROR(IND_metaal_Gas_kWH/1000),0,IND_metaal_Gas_kWH/1000)*0.902</f>
        <v>0</v>
      </c>
      <c r="E8" s="33">
        <f>C30*'E Balans VL '!I18/100/3.6*1000000</f>
        <v>0.46603839630902028</v>
      </c>
      <c r="F8" s="33">
        <f>C30*'E Balans VL '!L18/100/3.6*1000000+C30*'E Balans VL '!N18/100/3.6*1000000</f>
        <v>4.1613602234236868</v>
      </c>
      <c r="G8" s="34"/>
      <c r="H8" s="33"/>
      <c r="I8" s="33"/>
      <c r="J8" s="40">
        <f>C30*'E Balans VL '!D18/100/3.6*1000000+C30*'E Balans VL '!E18/100/3.6*1000000</f>
        <v>0</v>
      </c>
      <c r="K8" s="33"/>
      <c r="L8" s="33"/>
      <c r="M8" s="33"/>
      <c r="N8" s="33">
        <f>C30*'E Balans VL '!Y18/100/3.6*1000000</f>
        <v>0.44053761154603033</v>
      </c>
      <c r="O8" s="33"/>
      <c r="P8" s="33"/>
      <c r="R8" s="32"/>
    </row>
    <row r="9" spans="1:18">
      <c r="A9" s="6" t="s">
        <v>33</v>
      </c>
      <c r="B9" s="37">
        <f t="shared" si="0"/>
        <v>693.45945004040004</v>
      </c>
      <c r="C9" s="33"/>
      <c r="D9" s="37">
        <f>IF( ISERROR(IND_andere_gas_kWh/1000),0,IND_andere_gas_kWh/1000)*0.902</f>
        <v>184.93596941318282</v>
      </c>
      <c r="E9" s="33">
        <f>C31*'E Balans VL '!I19/100/3.6*1000000</f>
        <v>187.70242301039065</v>
      </c>
      <c r="F9" s="33">
        <f>C31*'E Balans VL '!L19/100/3.6*1000000+C31*'E Balans VL '!N19/100/3.6*1000000</f>
        <v>461.91737706578459</v>
      </c>
      <c r="G9" s="34"/>
      <c r="H9" s="33"/>
      <c r="I9" s="33"/>
      <c r="J9" s="40">
        <f>C31*'E Balans VL '!D19/100/3.6*1000000+C31*'E Balans VL '!E19/100/3.6*1000000</f>
        <v>0</v>
      </c>
      <c r="K9" s="33"/>
      <c r="L9" s="33"/>
      <c r="M9" s="33"/>
      <c r="N9" s="33">
        <f>C31*'E Balans VL '!Y19/100/3.6*1000000</f>
        <v>226.40299109054251</v>
      </c>
      <c r="O9" s="33"/>
      <c r="P9" s="33"/>
      <c r="R9" s="32"/>
    </row>
    <row r="10" spans="1:18">
      <c r="A10" s="6" t="s">
        <v>41</v>
      </c>
      <c r="B10" s="37">
        <f t="shared" si="0"/>
        <v>168.444438554908</v>
      </c>
      <c r="C10" s="33"/>
      <c r="D10" s="37">
        <f>IF( ISERROR(IND_voed_gas_kWh/1000),0,IND_voed_gas_kWh/1000)*0.902</f>
        <v>0</v>
      </c>
      <c r="E10" s="33">
        <f>C32*'E Balans VL '!I20/100/3.6*1000000</f>
        <v>13.738715399565848</v>
      </c>
      <c r="F10" s="33">
        <f>C32*'E Balans VL '!L20/100/3.6*1000000+C32*'E Balans VL '!N20/100/3.6*1000000</f>
        <v>251.16594050391629</v>
      </c>
      <c r="G10" s="34"/>
      <c r="H10" s="33"/>
      <c r="I10" s="33"/>
      <c r="J10" s="40">
        <f>C32*'E Balans VL '!D20/100/3.6*1000000+C32*'E Balans VL '!E20/100/3.6*1000000</f>
        <v>2.228315457962014E-3</v>
      </c>
      <c r="K10" s="33"/>
      <c r="L10" s="33"/>
      <c r="M10" s="33"/>
      <c r="N10" s="33">
        <f>C32*'E Balans VL '!Y20/100/3.6*1000000</f>
        <v>49.483032284098648</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11.058584997249399</v>
      </c>
      <c r="C13" s="33"/>
      <c r="D13" s="37">
        <f>IF( ISERROR(IND_papier_gas_kWh/1000),0,IND_papier_gas_kWh/1000)*0.902</f>
        <v>0</v>
      </c>
      <c r="E13" s="33">
        <f>C35*'E Balans VL '!I23/100/3.6*1000000</f>
        <v>0.11585882412939491</v>
      </c>
      <c r="F13" s="33">
        <f>C35*'E Balans VL '!L23/100/3.6*1000000+C35*'E Balans VL '!N23/100/3.6*1000000</f>
        <v>0.82519357258507153</v>
      </c>
      <c r="G13" s="34"/>
      <c r="H13" s="33"/>
      <c r="I13" s="33"/>
      <c r="J13" s="40">
        <f>C35*'E Balans VL '!D23/100/3.6*1000000+C35*'E Balans VL '!E23/100/3.6*1000000</f>
        <v>0</v>
      </c>
      <c r="K13" s="33"/>
      <c r="L13" s="33"/>
      <c r="M13" s="33"/>
      <c r="N13" s="33">
        <f>C35*'E Balans VL '!Y23/100/3.6*1000000</f>
        <v>23.636571171589559</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6460.4979534869299</v>
      </c>
      <c r="C15" s="33"/>
      <c r="D15" s="37">
        <f>IF( ISERROR(IND_rest_gas_kWh/1000),0,IND_rest_gas_kWh/1000)*0.902</f>
        <v>1327.7767793020553</v>
      </c>
      <c r="E15" s="33">
        <f>C37*'E Balans VL '!I15/100/3.6*1000000</f>
        <v>360.41932642040109</v>
      </c>
      <c r="F15" s="33">
        <f>C37*'E Balans VL '!L15/100/3.6*1000000+C37*'E Balans VL '!N15/100/3.6*1000000</f>
        <v>1518.7314233065933</v>
      </c>
      <c r="G15" s="34"/>
      <c r="H15" s="33"/>
      <c r="I15" s="33"/>
      <c r="J15" s="40">
        <f>C37*'E Balans VL '!D15/100/3.6*1000000+C37*'E Balans VL '!E15/100/3.6*1000000</f>
        <v>16.558662531137124</v>
      </c>
      <c r="K15" s="33"/>
      <c r="L15" s="33"/>
      <c r="M15" s="33"/>
      <c r="N15" s="33">
        <f>C37*'E Balans VL '!Y15/100/3.6*1000000</f>
        <v>1267.8929263733021</v>
      </c>
      <c r="O15" s="33"/>
      <c r="P15" s="33"/>
      <c r="R15" s="32"/>
    </row>
    <row r="16" spans="1:18">
      <c r="A16" s="16" t="s">
        <v>497</v>
      </c>
      <c r="B16" s="249">
        <f>'lokale energieproductie'!N90+'lokale energieproductie'!N59</f>
        <v>0</v>
      </c>
      <c r="C16" s="249">
        <f>'lokale energieproductie'!O90+'lokale energieproductie'!O59</f>
        <v>0</v>
      </c>
      <c r="D16" s="312">
        <f>('lokale energieproductie'!P59+'lokale energieproductie'!P90)*(-1)</f>
        <v>0</v>
      </c>
      <c r="E16" s="250"/>
      <c r="F16" s="312">
        <f>('lokale energieproductie'!S59+'lokale energieproductie'!S90)*(-1)</f>
        <v>0</v>
      </c>
      <c r="G16" s="251"/>
      <c r="H16" s="250"/>
      <c r="I16" s="250"/>
      <c r="J16" s="250"/>
      <c r="K16" s="250"/>
      <c r="L16" s="312">
        <f>('lokale energieproductie'!T59+'lokale energieproductie'!U59+'lokale energieproductie'!T90+'lokale energieproductie'!U90)*(-1)</f>
        <v>0</v>
      </c>
      <c r="M16" s="250"/>
      <c r="N16" s="312">
        <f>('lokale energieproductie'!Q59+'lokale energieproductie'!R59+'lokale energieproductie'!V59+'lokale energieproductie'!Q90+'lokale energieproductie'!R90+'lokale energieproductie'!V90)*(-1)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7349.6852702451897</v>
      </c>
      <c r="C18" s="21">
        <f>C5+C16</f>
        <v>0</v>
      </c>
      <c r="D18" s="21">
        <f>MAX((D5+D16),0)</f>
        <v>1512.7127487152381</v>
      </c>
      <c r="E18" s="21">
        <f>MAX((E5+E16),0)</f>
        <v>562.44236205079596</v>
      </c>
      <c r="F18" s="21">
        <f>MAX((F5+F16),0)</f>
        <v>2236.8012946723029</v>
      </c>
      <c r="G18" s="21"/>
      <c r="H18" s="21"/>
      <c r="I18" s="21"/>
      <c r="J18" s="21">
        <f>MAX((J5+J16),0)</f>
        <v>16.560890846595086</v>
      </c>
      <c r="K18" s="21"/>
      <c r="L18" s="21">
        <f>MAX((L5+L16),0)</f>
        <v>0</v>
      </c>
      <c r="M18" s="21"/>
      <c r="N18" s="21">
        <f>MAX((N5+N16),0)</f>
        <v>1567.8560585310788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0.20697583617672413</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1521.2072544447508</v>
      </c>
      <c r="C22" s="23">
        <f ca="1">C18*C20</f>
        <v>0</v>
      </c>
      <c r="D22" s="23">
        <f>D18*D20</f>
        <v>305.56797524047812</v>
      </c>
      <c r="E22" s="23">
        <f>E18*E20</f>
        <v>127.67441618553069</v>
      </c>
      <c r="F22" s="23">
        <f>F18*F20</f>
        <v>597.22594567750491</v>
      </c>
      <c r="G22" s="23"/>
      <c r="H22" s="23"/>
      <c r="I22" s="23"/>
      <c r="J22" s="23">
        <f>J18*J20</f>
        <v>5.8625553596946602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16.224843165702399</v>
      </c>
      <c r="C30" s="39">
        <f>IF(ISERROR(B30*3.6/1000000/'E Balans VL '!Z18*100),0,B30*3.6/1000000/'E Balans VL '!Z18*100)</f>
        <v>1.5964831498925273E-3</v>
      </c>
      <c r="D30" s="239" t="s">
        <v>692</v>
      </c>
    </row>
    <row r="31" spans="1:18">
      <c r="A31" s="6" t="s">
        <v>33</v>
      </c>
      <c r="B31" s="37">
        <f>IF( ISERROR(IND_ander_ele_kWh/1000),0,IND_ander_ele_kWh/1000)</f>
        <v>693.45945004040004</v>
      </c>
      <c r="C31" s="39">
        <f>IF(ISERROR(B31*3.6/1000000/'E Balans VL '!Z19*100),0,B31*3.6/1000000/'E Balans VL '!Z19*100)</f>
        <v>3.0199605882105178E-2</v>
      </c>
      <c r="D31" s="239" t="s">
        <v>692</v>
      </c>
    </row>
    <row r="32" spans="1:18">
      <c r="A32" s="173" t="s">
        <v>41</v>
      </c>
      <c r="B32" s="37">
        <f>IF( ISERROR(IND_voed_ele_kWh/1000),0,IND_voed_ele_kWh/1000)</f>
        <v>168.444438554908</v>
      </c>
      <c r="C32" s="39">
        <f>IF(ISERROR(B32*3.6/1000000/'E Balans VL '!Z20*100),0,B32*3.6/1000000/'E Balans VL '!Z20*100)</f>
        <v>3.1959902982720854E-2</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11.058584997249399</v>
      </c>
      <c r="C35" s="39">
        <f>IF(ISERROR(B35*3.6/1000000/'E Balans VL '!Z22*100),0,B35*3.6/1000000/'E Balans VL '!Z22*100)</f>
        <v>1.5549480974625185E-3</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6460.4979534869299</v>
      </c>
      <c r="C37" s="39">
        <f>IF(ISERROR(B37*3.6/1000000/'E Balans VL '!Z15*100),0,B37*3.6/1000000/'E Balans VL '!Z15*100)</f>
        <v>4.9786071858759898E-2</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271</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1183.2322558032008</v>
      </c>
      <c r="C5" s="17">
        <f>'Eigen informatie GS &amp; warmtenet'!B60</f>
        <v>0</v>
      </c>
      <c r="D5" s="30">
        <f>IF(ISERROR(SUM(LB_lb_gas_kWh,LB_rest_gas_kWh)/1000),0,SUM(LB_lb_gas_kWh,LB_rest_gas_kWh)/1000)*0.902</f>
        <v>104.69586733024977</v>
      </c>
      <c r="E5" s="17">
        <f>B17*'E Balans VL '!I25/3.6*1000000/100</f>
        <v>14.910250736190019</v>
      </c>
      <c r="F5" s="17">
        <f>B17*('E Balans VL '!L25/3.6*1000000+'E Balans VL '!N25/3.6*1000000)/100</f>
        <v>4082.4476999127878</v>
      </c>
      <c r="G5" s="18"/>
      <c r="H5" s="17"/>
      <c r="I5" s="17"/>
      <c r="J5" s="17">
        <f>('E Balans VL '!D25+'E Balans VL '!E25)/3.6*1000000*landbouw!B17/100</f>
        <v>177.94468076323014</v>
      </c>
      <c r="K5" s="17"/>
      <c r="L5" s="17">
        <f>L6*(-1)</f>
        <v>0</v>
      </c>
      <c r="M5" s="17"/>
      <c r="N5" s="17">
        <f>N6*(-1)</f>
        <v>0</v>
      </c>
      <c r="O5" s="17"/>
      <c r="P5" s="17"/>
      <c r="R5" s="32"/>
    </row>
    <row r="6" spans="1:18">
      <c r="A6" s="16" t="s">
        <v>497</v>
      </c>
      <c r="B6" s="17" t="s">
        <v>211</v>
      </c>
      <c r="C6" s="17">
        <f>'lokale energieproductie'!O92+'lokale energieproductie'!O61</f>
        <v>0</v>
      </c>
      <c r="D6" s="312">
        <f>('lokale energieproductie'!P61+'lokale energieproductie'!P92)*(-1)</f>
        <v>0</v>
      </c>
      <c r="E6" s="250"/>
      <c r="F6" s="312">
        <f>('lokale energieproductie'!S61+'lokale energieproductie'!S92)*(-1)</f>
        <v>0</v>
      </c>
      <c r="G6" s="251"/>
      <c r="H6" s="250"/>
      <c r="I6" s="250"/>
      <c r="J6" s="250"/>
      <c r="K6" s="250"/>
      <c r="L6" s="312">
        <f>('lokale energieproductie'!T61+'lokale energieproductie'!U61+'lokale energieproductie'!T92+'lokale energieproductie'!U92)*(-1)</f>
        <v>0</v>
      </c>
      <c r="M6" s="250"/>
      <c r="N6" s="1043">
        <f>('lokale energieproductie'!V61+'lokale energieproductie'!R61+'lokale energieproductie'!Q61+'lokale energieproductie'!Q92+'lokale energieproductie'!R92+'lokale energieproductie'!V92)*(-1)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1183.2322558032008</v>
      </c>
      <c r="C8" s="21">
        <f>C5+C6</f>
        <v>0</v>
      </c>
      <c r="D8" s="21">
        <f>MAX((D5+D6),0)</f>
        <v>104.69586733024977</v>
      </c>
      <c r="E8" s="21">
        <f>MAX((E5+E6),0)</f>
        <v>14.910250736190019</v>
      </c>
      <c r="F8" s="21">
        <f>MAX((F5+F6),0)</f>
        <v>4082.4476999127878</v>
      </c>
      <c r="G8" s="21"/>
      <c r="H8" s="21"/>
      <c r="I8" s="21"/>
      <c r="J8" s="21">
        <f>MAX((J5+J6),0)</f>
        <v>177.94468076323014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0.20697583617672413</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244.90048553613903</v>
      </c>
      <c r="C12" s="23">
        <f ca="1">C8*C10</f>
        <v>0</v>
      </c>
      <c r="D12" s="23">
        <f>D8*D10</f>
        <v>21.148565200710454</v>
      </c>
      <c r="E12" s="23">
        <f>E8*E10</f>
        <v>3.3846269171151344</v>
      </c>
      <c r="F12" s="23">
        <f>F8*F10</f>
        <v>1090.0135358767145</v>
      </c>
      <c r="G12" s="23"/>
      <c r="H12" s="23"/>
      <c r="I12" s="23"/>
      <c r="J12" s="23">
        <f>J8*J10</f>
        <v>62.992416990183465</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0.16502360636858263</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209" t="s">
        <v>303</v>
      </c>
      <c r="B22" s="1212" t="s">
        <v>304</v>
      </c>
      <c r="C22" s="1212" t="s">
        <v>502</v>
      </c>
    </row>
    <row r="23" spans="1:4">
      <c r="A23" s="1210"/>
      <c r="B23" s="1213"/>
      <c r="C23" s="1213"/>
    </row>
    <row r="24" spans="1:4" ht="15.75" thickBot="1">
      <c r="A24" s="1211"/>
      <c r="B24" s="1214"/>
      <c r="C24" s="1214"/>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476.37125104512052</v>
      </c>
      <c r="C26" s="249">
        <f>B26*'GWP N2O_CH4'!B5</f>
        <v>10003.796271947531</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80.518711793665304</v>
      </c>
      <c r="C27" s="249">
        <f>B27*'GWP N2O_CH4'!B5</f>
        <v>1690.8929476669714</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6.3502884069877856</v>
      </c>
      <c r="C28" s="249">
        <f>B28*'GWP N2O_CH4'!B4</f>
        <v>1968.5894061662136</v>
      </c>
      <c r="D28" s="50"/>
    </row>
    <row r="29" spans="1:4">
      <c r="A29" s="41" t="s">
        <v>277</v>
      </c>
      <c r="B29" s="249">
        <f>B34*'ha_N2O bodem landbouw'!B4</f>
        <v>20.449090726444251</v>
      </c>
      <c r="C29" s="249">
        <f>B29*'GWP N2O_CH4'!B4</f>
        <v>6339.2181251977181</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5.1059336213756124E-3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1" sqref="C41:E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201" t="s">
        <v>506</v>
      </c>
      <c r="B1" s="1202" t="s">
        <v>559</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1.2226040241942666E-5</v>
      </c>
      <c r="C5" s="448" t="s">
        <v>211</v>
      </c>
      <c r="D5" s="433">
        <f>SUM(D6:D11)</f>
        <v>2.0367830296874901E-5</v>
      </c>
      <c r="E5" s="433">
        <f>SUM(E6:E11)</f>
        <v>6.2243211930675156E-4</v>
      </c>
      <c r="F5" s="446" t="s">
        <v>211</v>
      </c>
      <c r="G5" s="433">
        <f>SUM(G6:G11)</f>
        <v>0.16821934216508463</v>
      </c>
      <c r="H5" s="433">
        <f>SUM(H6:H11)</f>
        <v>3.0458056583770678E-2</v>
      </c>
      <c r="I5" s="448" t="s">
        <v>211</v>
      </c>
      <c r="J5" s="448" t="s">
        <v>211</v>
      </c>
      <c r="K5" s="448" t="s">
        <v>211</v>
      </c>
      <c r="L5" s="448" t="s">
        <v>211</v>
      </c>
      <c r="M5" s="433">
        <f>SUM(M6:M11)</f>
        <v>8.9815661787444774E-3</v>
      </c>
      <c r="N5" s="448" t="s">
        <v>211</v>
      </c>
      <c r="O5" s="448" t="s">
        <v>211</v>
      </c>
      <c r="P5" s="449" t="s">
        <v>211</v>
      </c>
    </row>
    <row r="6" spans="1:18">
      <c r="A6" s="264" t="s">
        <v>726</v>
      </c>
      <c r="B6" s="88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9.4672594583380907E-6</v>
      </c>
      <c r="C6" s="887"/>
      <c r="D6" s="887">
        <f>vkm_2011_GW_PW*SUMIFS(TableVerdeelsleutelVkm[CNG],TableVerdeelsleutelVkm[Voertuigtype],"Lichte voertuigen")*SUMIFS(TableECFTransport[EnergieConsumptieFactor (PJ per km)],TableECFTransport[Index],CONCATENATE($A6,"_CNG_CNG"))</f>
        <v>1.3407491005428718E-5</v>
      </c>
      <c r="E6" s="887">
        <f>vkm_2011_GW_PW*SUMIFS(TableVerdeelsleutelVkm[LPG],TableVerdeelsleutelVkm[Voertuigtype],"Lichte voertuigen")*SUMIFS(TableECFTransport[EnergieConsumptieFactor (PJ per km)],TableECFTransport[Index],CONCATENATE($A6,"_LPG_LPG"))</f>
        <v>4.2108515385485732E-4</v>
      </c>
      <c r="F6" s="436"/>
      <c r="G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7.5680532317922516E-2</v>
      </c>
      <c r="H6" s="88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2.0279207605749115E-2</v>
      </c>
      <c r="I6" s="887"/>
      <c r="J6" s="887"/>
      <c r="K6" s="887"/>
      <c r="L6" s="887"/>
      <c r="M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4.3415252518709258E-3</v>
      </c>
      <c r="N6" s="434"/>
      <c r="O6" s="434"/>
      <c r="P6" s="435"/>
    </row>
    <row r="7" spans="1:18">
      <c r="A7" s="264" t="s">
        <v>728</v>
      </c>
      <c r="B7" s="88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887"/>
      <c r="D7" s="887">
        <f>vkm_2011_GW_ZV*SUMIFS(TableVerdeelsleutelVkm[CNG],TableVerdeelsleutelVkm[Voertuigtype],"Zware voertuigen")*SUMIFS(TableECFTransport[EnergieConsumptieFactor (PJ per km)],TableECFTransport[Index],CONCATENATE($A7,"_CNG_CNG"))</f>
        <v>0</v>
      </c>
      <c r="E7" s="887">
        <f>vkm_2011_GW_ZV*SUMIFS(TableVerdeelsleutelVkm[LPG],TableVerdeelsleutelVkm[Voertuigtype],"Zware voertuigen")*SUMIFS(TableECFTransport[EnergieConsumptieFactor (PJ per km)],TableECFTransport[Index],CONCATENATE($A7,"_LPG_LPG"))</f>
        <v>0</v>
      </c>
      <c r="F7" s="436"/>
      <c r="G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5.2816070911729504E-2</v>
      </c>
      <c r="H7" s="88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1.8765002463274485E-5</v>
      </c>
      <c r="I7" s="887"/>
      <c r="J7" s="887"/>
      <c r="K7" s="887"/>
      <c r="L7" s="887"/>
      <c r="M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2.3834221289110425E-3</v>
      </c>
      <c r="N7" s="434"/>
      <c r="O7" s="434"/>
      <c r="P7" s="435"/>
    </row>
    <row r="8" spans="1:18">
      <c r="A8" s="264" t="s">
        <v>729</v>
      </c>
      <c r="B8" s="887">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2.7587807836045761E-6</v>
      </c>
      <c r="C8" s="887"/>
      <c r="D8" s="436">
        <f>vkm_2011_NGW_PW*SUMIFS(TableVerdeelsleutelVkm[CNG],TableVerdeelsleutelVkm[Voertuigtype],"Lichte voertuigen")*SUMIFS(TableECFTransport[EnergieConsumptieFactor (PJ per km)],TableECFTransport[Index],CONCATENATE($A8,"_CNG_CNG"))</f>
        <v>6.9603392914461826E-6</v>
      </c>
      <c r="E8" s="436">
        <f>vkm_2011_NGW_PW*SUMIFS(TableVerdeelsleutelVkm[LPG],TableVerdeelsleutelVkm[Voertuigtype],"Lichte voertuigen")*SUMIFS(TableECFTransport[EnergieConsumptieFactor (PJ per km)],TableECFTransport[Index],CONCATENATE($A8,"_LPG_LPG"))</f>
        <v>2.0134696545189419E-4</v>
      </c>
      <c r="F8" s="436"/>
      <c r="G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3.413026310493484E-2</v>
      </c>
      <c r="H8" s="88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1.0158203743932804E-2</v>
      </c>
      <c r="I8" s="887"/>
      <c r="J8" s="887"/>
      <c r="K8" s="887"/>
      <c r="L8" s="887"/>
      <c r="M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2.0042529437316469E-3</v>
      </c>
      <c r="N8" s="434"/>
      <c r="O8" s="434"/>
      <c r="P8" s="435"/>
    </row>
    <row r="9" spans="1:18">
      <c r="A9" s="264" t="s">
        <v>730</v>
      </c>
      <c r="B9" s="887">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887"/>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5.5924758304978063E-3</v>
      </c>
      <c r="H9" s="88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1.8802316254895525E-6</v>
      </c>
      <c r="I9" s="887"/>
      <c r="J9" s="887"/>
      <c r="K9" s="887"/>
      <c r="L9" s="887"/>
      <c r="M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2.5236585423086194E-4</v>
      </c>
      <c r="N9" s="434"/>
      <c r="O9" s="434"/>
      <c r="P9" s="435"/>
    </row>
    <row r="10" spans="1:18">
      <c r="A10" s="264" t="s">
        <v>731</v>
      </c>
      <c r="B10" s="887">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887"/>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8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887"/>
      <c r="J10" s="887"/>
      <c r="K10" s="887"/>
      <c r="L10" s="887"/>
      <c r="M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888">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888"/>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8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888"/>
      <c r="J11" s="888"/>
      <c r="K11" s="888"/>
      <c r="L11" s="888"/>
      <c r="M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3.3961222894285186</v>
      </c>
      <c r="C14" s="21"/>
      <c r="D14" s="21">
        <f t="shared" ref="D14:M14" si="0">((D5)*10^9/3600)+D12</f>
        <v>5.6577306380208059</v>
      </c>
      <c r="E14" s="21">
        <f t="shared" si="0"/>
        <v>172.89781091854209</v>
      </c>
      <c r="F14" s="21"/>
      <c r="G14" s="21">
        <f t="shared" si="0"/>
        <v>46727.59504585684</v>
      </c>
      <c r="H14" s="21">
        <f t="shared" si="0"/>
        <v>8460.571273269632</v>
      </c>
      <c r="I14" s="21"/>
      <c r="J14" s="21"/>
      <c r="K14" s="21"/>
      <c r="L14" s="21"/>
      <c r="M14" s="21">
        <f t="shared" si="0"/>
        <v>2494.8794940956882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0.20697583617672413</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0.70291525061287841</v>
      </c>
      <c r="C18" s="23"/>
      <c r="D18" s="23">
        <f t="shared" ref="D18:M18" si="1">D14*D16</f>
        <v>1.1428615888802029</v>
      </c>
      <c r="E18" s="23">
        <f t="shared" si="1"/>
        <v>39.247803078509058</v>
      </c>
      <c r="F18" s="23"/>
      <c r="G18" s="23">
        <f t="shared" si="1"/>
        <v>12476.267877243778</v>
      </c>
      <c r="H18" s="23">
        <f t="shared" si="1"/>
        <v>2106.6822470441384</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774"/>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17" t="s">
        <v>309</v>
      </c>
      <c r="C23" s="917" t="s">
        <v>736</v>
      </c>
      <c r="D23" s="917" t="s">
        <v>737</v>
      </c>
      <c r="E23" s="917" t="s">
        <v>738</v>
      </c>
      <c r="F23" s="917" t="s">
        <v>672</v>
      </c>
      <c r="G23" s="917" t="s">
        <v>739</v>
      </c>
      <c r="H23" s="917" t="s">
        <v>740</v>
      </c>
      <c r="I23" s="917" t="s">
        <v>119</v>
      </c>
      <c r="J23" s="917" t="s">
        <v>741</v>
      </c>
      <c r="K23" s="917" t="s">
        <v>742</v>
      </c>
      <c r="L23" s="918" t="s">
        <v>743</v>
      </c>
      <c r="M23" s="129" t="s">
        <v>182</v>
      </c>
      <c r="N23" s="271" t="s">
        <v>316</v>
      </c>
    </row>
    <row r="24" spans="1:18">
      <c r="A24" s="32" t="s">
        <v>725</v>
      </c>
      <c r="B24" s="919">
        <v>1.1458473093966344E-4</v>
      </c>
      <c r="C24" s="919">
        <v>0.78846923300122418</v>
      </c>
      <c r="D24" s="920"/>
      <c r="E24" s="919"/>
      <c r="F24" s="919">
        <v>2.1088868952125812E-5</v>
      </c>
      <c r="G24" s="919">
        <v>2.3126377126688293E-4</v>
      </c>
      <c r="H24" s="920"/>
      <c r="I24" s="920">
        <v>4.0829409328532176E-3</v>
      </c>
      <c r="J24" s="920">
        <v>0.20473703882718919</v>
      </c>
      <c r="K24" s="920">
        <v>2.5751136388416614E-3</v>
      </c>
      <c r="L24" s="921"/>
      <c r="M24" s="272" t="s">
        <v>751</v>
      </c>
      <c r="N24" s="886">
        <f>SUM(B24:K24)</f>
        <v>1.0002312637712669</v>
      </c>
    </row>
    <row r="25" spans="1:18">
      <c r="A25" s="32" t="s">
        <v>727</v>
      </c>
      <c r="B25" s="920" t="s">
        <v>752</v>
      </c>
      <c r="C25" s="919">
        <v>0.9994477010686813</v>
      </c>
      <c r="D25" s="920"/>
      <c r="E25" s="920"/>
      <c r="F25" s="919" t="s">
        <v>752</v>
      </c>
      <c r="G25" s="920" t="s">
        <v>752</v>
      </c>
      <c r="H25" s="920"/>
      <c r="I25" s="920" t="s">
        <v>752</v>
      </c>
      <c r="J25" s="920">
        <v>5.5229893131857771E-4</v>
      </c>
      <c r="K25" s="920" t="s">
        <v>752</v>
      </c>
      <c r="L25" s="921"/>
      <c r="M25" s="272" t="s">
        <v>751</v>
      </c>
      <c r="N25" s="886">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883">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22"/>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883">
        <f>C30</f>
        <v>2013</v>
      </c>
      <c r="D37" s="276" t="s">
        <v>319</v>
      </c>
      <c r="E37" s="923"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15" t="s">
        <v>507</v>
      </c>
      <c r="B46" s="1216" t="s">
        <v>558</v>
      </c>
      <c r="C46" s="1217"/>
      <c r="D46" s="1217"/>
      <c r="E46" s="1217"/>
      <c r="F46" s="1217"/>
      <c r="G46" s="1217"/>
      <c r="H46" s="1217"/>
      <c r="I46" s="1217"/>
      <c r="J46" s="1217"/>
      <c r="K46" s="1217"/>
      <c r="L46" s="1217"/>
      <c r="M46" s="1217"/>
      <c r="N46" s="1217"/>
      <c r="O46" s="1217"/>
      <c r="P46" s="1217"/>
    </row>
    <row r="47" spans="1:16" s="15" customFormat="1" ht="15.75" thickTop="1">
      <c r="A47" s="1215"/>
      <c r="B47" s="1218" t="s">
        <v>21</v>
      </c>
      <c r="C47" s="1218" t="s">
        <v>196</v>
      </c>
      <c r="D47" s="1220" t="s">
        <v>197</v>
      </c>
      <c r="E47" s="1221"/>
      <c r="F47" s="1221"/>
      <c r="G47" s="1221"/>
      <c r="H47" s="1221"/>
      <c r="I47" s="1221"/>
      <c r="J47" s="1221"/>
      <c r="K47" s="1222"/>
      <c r="L47" s="1220" t="s">
        <v>198</v>
      </c>
      <c r="M47" s="1221"/>
      <c r="N47" s="1221"/>
      <c r="O47" s="1221"/>
      <c r="P47" s="1222"/>
    </row>
    <row r="48" spans="1:16" s="15" customFormat="1" ht="45">
      <c r="A48" s="1215"/>
      <c r="B48" s="1219"/>
      <c r="C48" s="1219"/>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5.5603726192440892E-3</v>
      </c>
      <c r="H50" s="323">
        <f t="shared" si="2"/>
        <v>0</v>
      </c>
      <c r="I50" s="323">
        <f t="shared" si="2"/>
        <v>0</v>
      </c>
      <c r="J50" s="323">
        <f t="shared" si="2"/>
        <v>0</v>
      </c>
      <c r="K50" s="323">
        <f t="shared" si="2"/>
        <v>0</v>
      </c>
      <c r="L50" s="323">
        <f t="shared" si="2"/>
        <v>0</v>
      </c>
      <c r="M50" s="323">
        <f t="shared" si="2"/>
        <v>2.4728337058424395E-4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5.5603726192440892E-3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2.4728337058424395E-4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1544.5479497900249</v>
      </c>
      <c r="H54" s="21">
        <f t="shared" si="3"/>
        <v>0</v>
      </c>
      <c r="I54" s="21">
        <f t="shared" si="3"/>
        <v>0</v>
      </c>
      <c r="J54" s="21">
        <f t="shared" si="3"/>
        <v>0</v>
      </c>
      <c r="K54" s="21">
        <f t="shared" si="3"/>
        <v>0</v>
      </c>
      <c r="L54" s="21">
        <f t="shared" si="3"/>
        <v>0</v>
      </c>
      <c r="M54" s="21">
        <f t="shared" si="3"/>
        <v>68.689825162289992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0.20697583617672413</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412.39430259393669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883">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6" customWidth="1"/>
    <col min="2" max="2" width="22.85546875" style="45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6"/>
  </cols>
  <sheetData>
    <row r="2" spans="1:19" ht="15.75">
      <c r="A2" s="1071" t="s">
        <v>221</v>
      </c>
      <c r="B2" s="1071"/>
      <c r="C2" s="1071"/>
      <c r="D2" s="59"/>
      <c r="E2" s="59"/>
      <c r="F2" s="59"/>
      <c r="G2" s="59"/>
      <c r="H2" s="60"/>
      <c r="I2" s="60"/>
      <c r="J2" s="61"/>
      <c r="K2" s="61"/>
      <c r="L2" s="60"/>
      <c r="M2" s="60"/>
      <c r="N2" s="60"/>
      <c r="O2" s="60"/>
      <c r="P2" s="60"/>
      <c r="Q2" s="60"/>
      <c r="R2" s="60"/>
    </row>
    <row r="3" spans="1:19">
      <c r="A3" s="1072"/>
      <c r="B3" s="1072"/>
      <c r="C3" s="1072"/>
      <c r="D3" s="1072"/>
      <c r="E3" s="1072"/>
      <c r="F3" s="1072"/>
      <c r="G3" s="1072"/>
      <c r="H3" s="1072"/>
      <c r="I3" s="1072"/>
      <c r="J3" s="1072"/>
      <c r="K3" s="1072"/>
      <c r="L3" s="1072"/>
      <c r="M3" s="1072"/>
      <c r="N3" s="1072"/>
      <c r="O3" s="1072"/>
      <c r="P3" s="1072"/>
      <c r="Q3" s="1072"/>
      <c r="R3" s="1072"/>
    </row>
    <row r="4" spans="1:19" ht="15.75" thickBot="1">
      <c r="A4" s="457"/>
      <c r="B4" s="457"/>
      <c r="C4" s="63"/>
      <c r="D4" s="63"/>
      <c r="E4" s="63"/>
      <c r="F4" s="63"/>
      <c r="G4" s="63"/>
      <c r="H4" s="63"/>
      <c r="I4" s="63"/>
      <c r="J4" s="63"/>
      <c r="K4" s="63"/>
      <c r="L4" s="63"/>
      <c r="M4" s="63"/>
      <c r="N4" s="63"/>
      <c r="O4" s="63"/>
      <c r="P4" s="63"/>
      <c r="Q4" s="63"/>
      <c r="R4" s="63"/>
    </row>
    <row r="5" spans="1:19" ht="16.5" thickBot="1">
      <c r="A5" s="1073" t="s">
        <v>222</v>
      </c>
      <c r="B5" s="796"/>
      <c r="C5" s="1076" t="s">
        <v>343</v>
      </c>
      <c r="D5" s="1077"/>
      <c r="E5" s="1077"/>
      <c r="F5" s="1077"/>
      <c r="G5" s="1077"/>
      <c r="H5" s="1077"/>
      <c r="I5" s="1077"/>
      <c r="J5" s="1077"/>
      <c r="K5" s="1077"/>
      <c r="L5" s="1077"/>
      <c r="M5" s="1077"/>
      <c r="N5" s="1077"/>
      <c r="O5" s="1077"/>
      <c r="P5" s="1077"/>
      <c r="Q5" s="1077"/>
      <c r="R5" s="1078"/>
    </row>
    <row r="6" spans="1:19" ht="16.5" thickTop="1">
      <c r="A6" s="1074"/>
      <c r="B6" s="797"/>
      <c r="C6" s="1079" t="s">
        <v>21</v>
      </c>
      <c r="D6" s="1081" t="s">
        <v>196</v>
      </c>
      <c r="E6" s="1083" t="s">
        <v>197</v>
      </c>
      <c r="F6" s="1084"/>
      <c r="G6" s="1084"/>
      <c r="H6" s="1084"/>
      <c r="I6" s="1084"/>
      <c r="J6" s="1084"/>
      <c r="K6" s="1084"/>
      <c r="L6" s="1085"/>
      <c r="M6" s="1083" t="s">
        <v>198</v>
      </c>
      <c r="N6" s="1084"/>
      <c r="O6" s="1084"/>
      <c r="P6" s="1084"/>
      <c r="Q6" s="1084"/>
      <c r="R6" s="1086" t="s">
        <v>116</v>
      </c>
    </row>
    <row r="7" spans="1:19" ht="45.75" thickBot="1">
      <c r="A7" s="1075"/>
      <c r="B7" s="798"/>
      <c r="C7" s="1080"/>
      <c r="D7" s="1082"/>
      <c r="E7" s="1001" t="s">
        <v>199</v>
      </c>
      <c r="F7" s="1001" t="s">
        <v>200</v>
      </c>
      <c r="G7" s="64" t="s">
        <v>201</v>
      </c>
      <c r="H7" s="1001" t="s">
        <v>202</v>
      </c>
      <c r="I7" s="1001" t="s">
        <v>120</v>
      </c>
      <c r="J7" s="1001" t="s">
        <v>203</v>
      </c>
      <c r="K7" s="454" t="s">
        <v>204</v>
      </c>
      <c r="L7" s="454" t="s">
        <v>205</v>
      </c>
      <c r="M7" s="64" t="s">
        <v>206</v>
      </c>
      <c r="N7" s="65" t="s">
        <v>207</v>
      </c>
      <c r="O7" s="65" t="s">
        <v>208</v>
      </c>
      <c r="P7" s="65" t="s">
        <v>209</v>
      </c>
      <c r="Q7" s="66" t="s">
        <v>210</v>
      </c>
      <c r="R7" s="1087"/>
    </row>
    <row r="8" spans="1:19" ht="18.75" customHeight="1" thickTop="1">
      <c r="A8" s="804" t="s">
        <v>344</v>
      </c>
      <c r="B8" s="809"/>
      <c r="C8" s="1092"/>
      <c r="D8" s="1092"/>
      <c r="E8" s="1092"/>
      <c r="F8" s="1092"/>
      <c r="G8" s="1092"/>
      <c r="H8" s="1092"/>
      <c r="I8" s="1092"/>
      <c r="J8" s="1092"/>
      <c r="K8" s="1092"/>
      <c r="L8" s="1092"/>
      <c r="M8" s="1092"/>
      <c r="N8" s="1092"/>
      <c r="O8" s="1092"/>
      <c r="P8" s="1092"/>
      <c r="Q8" s="1092"/>
      <c r="R8" s="310"/>
    </row>
    <row r="9" spans="1:19" s="458" customFormat="1">
      <c r="A9" s="805" t="s">
        <v>223</v>
      </c>
      <c r="B9" s="810"/>
      <c r="C9" s="690">
        <f>'Eigen gebouwen'!B15</f>
        <v>0</v>
      </c>
      <c r="D9" s="690">
        <f>'Eigen gebouwen'!C15</f>
        <v>0</v>
      </c>
      <c r="E9" s="690">
        <f>'Eigen gebouwen'!D15</f>
        <v>0</v>
      </c>
      <c r="F9" s="690">
        <f>'Eigen gebouwen'!E15</f>
        <v>0</v>
      </c>
      <c r="G9" s="690">
        <f>'Eigen gebouwen'!F15</f>
        <v>0</v>
      </c>
      <c r="H9" s="690">
        <f>'Eigen gebouwen'!G15</f>
        <v>0</v>
      </c>
      <c r="I9" s="690">
        <f>'Eigen gebouwen'!H15</f>
        <v>0</v>
      </c>
      <c r="J9" s="690">
        <f>'Eigen gebouwen'!I15</f>
        <v>0</v>
      </c>
      <c r="K9" s="690">
        <f>'Eigen gebouwen'!J15</f>
        <v>0</v>
      </c>
      <c r="L9" s="690">
        <f>'Eigen gebouwen'!K15</f>
        <v>0</v>
      </c>
      <c r="M9" s="690">
        <f>'Eigen gebouwen'!L15</f>
        <v>0</v>
      </c>
      <c r="N9" s="690">
        <f>'Eigen gebouwen'!M15</f>
        <v>0</v>
      </c>
      <c r="O9" s="690">
        <f>'Eigen gebouwen'!N15</f>
        <v>0</v>
      </c>
      <c r="P9" s="690">
        <f>'Eigen gebouwen'!O15</f>
        <v>0</v>
      </c>
      <c r="Q9" s="691">
        <f>'Eigen gebouwen'!P15</f>
        <v>0</v>
      </c>
      <c r="R9" s="692">
        <f>SUM(C9:Q9)</f>
        <v>0</v>
      </c>
      <c r="S9" s="67"/>
    </row>
    <row r="10" spans="1:19" s="458" customFormat="1">
      <c r="A10" s="806" t="s">
        <v>224</v>
      </c>
      <c r="B10" s="811"/>
      <c r="C10" s="690">
        <f ca="1">tertiair!B16+'openbare verlichting'!B8</f>
        <v>13158.657670942421</v>
      </c>
      <c r="D10" s="690">
        <f ca="1">tertiair!C16</f>
        <v>0</v>
      </c>
      <c r="E10" s="690">
        <f ca="1">tertiair!D16</f>
        <v>8934.3606523303552</v>
      </c>
      <c r="F10" s="690">
        <f>tertiair!E16</f>
        <v>173.63274767983248</v>
      </c>
      <c r="G10" s="690">
        <f ca="1">tertiair!F16</f>
        <v>2688.6879241698985</v>
      </c>
      <c r="H10" s="690">
        <f>tertiair!G16</f>
        <v>0</v>
      </c>
      <c r="I10" s="690">
        <f>tertiair!H16</f>
        <v>0</v>
      </c>
      <c r="J10" s="690">
        <f>tertiair!I16</f>
        <v>0</v>
      </c>
      <c r="K10" s="690">
        <f>tertiair!J16</f>
        <v>0</v>
      </c>
      <c r="L10" s="690">
        <f>tertiair!K16</f>
        <v>0</v>
      </c>
      <c r="M10" s="690">
        <f ca="1">tertiair!L16</f>
        <v>0</v>
      </c>
      <c r="N10" s="690">
        <f>tertiair!M16</f>
        <v>0</v>
      </c>
      <c r="O10" s="690">
        <f ca="1">tertiair!N16</f>
        <v>2180.6365494746938</v>
      </c>
      <c r="P10" s="690">
        <f>tertiair!O16</f>
        <v>1.5633333333333335</v>
      </c>
      <c r="Q10" s="691">
        <f>tertiair!P16</f>
        <v>19.066666666666666</v>
      </c>
      <c r="R10" s="693">
        <f ca="1">SUM(C10:Q10)</f>
        <v>27156.605544597198</v>
      </c>
      <c r="S10" s="67"/>
    </row>
    <row r="11" spans="1:19" s="458" customFormat="1">
      <c r="A11" s="805" t="s">
        <v>225</v>
      </c>
      <c r="B11" s="810"/>
      <c r="C11" s="690">
        <f>huishoudens!B8</f>
        <v>29430.348957367903</v>
      </c>
      <c r="D11" s="690">
        <f>huishoudens!C8</f>
        <v>0</v>
      </c>
      <c r="E11" s="690">
        <f>huishoudens!D8</f>
        <v>26572.811112821226</v>
      </c>
      <c r="F11" s="690">
        <f>huishoudens!E8</f>
        <v>5269.4424582662805</v>
      </c>
      <c r="G11" s="690">
        <f>huishoudens!F8</f>
        <v>59060.035321664065</v>
      </c>
      <c r="H11" s="690">
        <f>huishoudens!G8</f>
        <v>0</v>
      </c>
      <c r="I11" s="690">
        <f>huishoudens!H8</f>
        <v>0</v>
      </c>
      <c r="J11" s="690">
        <f>huishoudens!I8</f>
        <v>0</v>
      </c>
      <c r="K11" s="690">
        <f>huishoudens!J8</f>
        <v>12668.709414554656</v>
      </c>
      <c r="L11" s="690">
        <f>huishoudens!K8</f>
        <v>0</v>
      </c>
      <c r="M11" s="690">
        <f>huishoudens!L8</f>
        <v>0</v>
      </c>
      <c r="N11" s="690">
        <f>huishoudens!M8</f>
        <v>0</v>
      </c>
      <c r="O11" s="690">
        <f>huishoudens!N8</f>
        <v>23240.890673666861</v>
      </c>
      <c r="P11" s="690">
        <f>huishoudens!O8</f>
        <v>168.84</v>
      </c>
      <c r="Q11" s="691">
        <f>huishoudens!P8</f>
        <v>991.4666666666667</v>
      </c>
      <c r="R11" s="693">
        <f>SUM(C11:Q11)</f>
        <v>157402.54460500766</v>
      </c>
      <c r="S11" s="67"/>
    </row>
    <row r="12" spans="1:19" s="458" customFormat="1">
      <c r="A12" s="805" t="s">
        <v>510</v>
      </c>
      <c r="B12" s="810"/>
      <c r="C12" s="690">
        <f>'Eigen openbare verlichting'!B15</f>
        <v>0</v>
      </c>
      <c r="D12" s="690"/>
      <c r="E12" s="690"/>
      <c r="F12" s="690"/>
      <c r="G12" s="690"/>
      <c r="H12" s="690"/>
      <c r="I12" s="690"/>
      <c r="J12" s="690"/>
      <c r="K12" s="690"/>
      <c r="L12" s="690"/>
      <c r="M12" s="690"/>
      <c r="N12" s="690"/>
      <c r="O12" s="690"/>
      <c r="P12" s="690"/>
      <c r="Q12" s="690"/>
      <c r="R12" s="693">
        <f>SUM(C12:Q12)</f>
        <v>0</v>
      </c>
      <c r="S12" s="67"/>
    </row>
    <row r="13" spans="1:19" s="458" customFormat="1">
      <c r="A13" s="805" t="s">
        <v>660</v>
      </c>
      <c r="B13" s="814" t="s">
        <v>658</v>
      </c>
      <c r="C13" s="690">
        <f>industrie!B18</f>
        <v>7349.6852702451897</v>
      </c>
      <c r="D13" s="690">
        <f>industrie!C18</f>
        <v>0</v>
      </c>
      <c r="E13" s="690">
        <f>industrie!D18</f>
        <v>1512.7127487152381</v>
      </c>
      <c r="F13" s="690">
        <f>industrie!E18</f>
        <v>562.44236205079596</v>
      </c>
      <c r="G13" s="690">
        <f>industrie!F18</f>
        <v>2236.8012946723029</v>
      </c>
      <c r="H13" s="690">
        <f>industrie!G18</f>
        <v>0</v>
      </c>
      <c r="I13" s="690">
        <f>industrie!H18</f>
        <v>0</v>
      </c>
      <c r="J13" s="690">
        <f>industrie!I18</f>
        <v>0</v>
      </c>
      <c r="K13" s="690">
        <f>industrie!J18</f>
        <v>16.560890846595086</v>
      </c>
      <c r="L13" s="690">
        <f>industrie!K18</f>
        <v>0</v>
      </c>
      <c r="M13" s="690">
        <f>industrie!L18</f>
        <v>0</v>
      </c>
      <c r="N13" s="690">
        <f>industrie!M18</f>
        <v>0</v>
      </c>
      <c r="O13" s="690">
        <f>industrie!N18</f>
        <v>1567.8560585310788</v>
      </c>
      <c r="P13" s="690">
        <f>industrie!O18</f>
        <v>0</v>
      </c>
      <c r="Q13" s="691">
        <f>industrie!P18</f>
        <v>0</v>
      </c>
      <c r="R13" s="693">
        <f>SUM(C13:Q13)</f>
        <v>13246.058625061201</v>
      </c>
      <c r="S13" s="67"/>
    </row>
    <row r="14" spans="1:19" s="458" customFormat="1">
      <c r="A14" s="805"/>
      <c r="B14" s="814" t="s">
        <v>659</v>
      </c>
      <c r="C14" s="690"/>
      <c r="D14" s="690"/>
      <c r="E14" s="690"/>
      <c r="F14" s="690"/>
      <c r="G14" s="690"/>
      <c r="H14" s="690"/>
      <c r="I14" s="690"/>
      <c r="J14" s="690"/>
      <c r="K14" s="690"/>
      <c r="L14" s="690"/>
      <c r="M14" s="690"/>
      <c r="N14" s="690"/>
      <c r="O14" s="690"/>
      <c r="P14" s="690"/>
      <c r="Q14" s="690"/>
      <c r="R14" s="693"/>
      <c r="S14" s="67"/>
    </row>
    <row r="15" spans="1:19" s="458" customFormat="1" ht="15" thickBot="1">
      <c r="A15" s="1003" t="s">
        <v>870</v>
      </c>
      <c r="B15" s="1004"/>
      <c r="C15" s="1005"/>
      <c r="D15" s="1005"/>
      <c r="E15" s="1005"/>
      <c r="F15" s="1005"/>
      <c r="G15" s="1005"/>
      <c r="H15" s="1005"/>
      <c r="I15" s="1005"/>
      <c r="J15" s="1005"/>
      <c r="K15" s="1005"/>
      <c r="L15" s="1005"/>
      <c r="M15" s="1005"/>
      <c r="N15" s="1005"/>
      <c r="O15" s="1005"/>
      <c r="P15" s="1005"/>
      <c r="Q15" s="1006"/>
      <c r="R15" s="692"/>
      <c r="S15" s="67"/>
    </row>
    <row r="16" spans="1:19" s="458" customFormat="1" ht="15.75" thickBot="1">
      <c r="A16" s="694" t="s">
        <v>226</v>
      </c>
      <c r="B16" s="812"/>
      <c r="C16" s="725">
        <f ca="1">SUM(C9:C15)</f>
        <v>49938.691898555509</v>
      </c>
      <c r="D16" s="725">
        <f t="shared" ref="D16:R16" ca="1" si="0">SUM(D9:D15)</f>
        <v>0</v>
      </c>
      <c r="E16" s="725">
        <f t="shared" ca="1" si="0"/>
        <v>37019.884513866818</v>
      </c>
      <c r="F16" s="725">
        <f t="shared" si="0"/>
        <v>6005.5175679969088</v>
      </c>
      <c r="G16" s="725">
        <f t="shared" ca="1" si="0"/>
        <v>63985.524540506267</v>
      </c>
      <c r="H16" s="725">
        <f t="shared" si="0"/>
        <v>0</v>
      </c>
      <c r="I16" s="725">
        <f t="shared" si="0"/>
        <v>0</v>
      </c>
      <c r="J16" s="725">
        <f t="shared" si="0"/>
        <v>0</v>
      </c>
      <c r="K16" s="725">
        <f t="shared" si="0"/>
        <v>12685.270305401251</v>
      </c>
      <c r="L16" s="725">
        <f t="shared" si="0"/>
        <v>0</v>
      </c>
      <c r="M16" s="725">
        <f t="shared" ca="1" si="0"/>
        <v>0</v>
      </c>
      <c r="N16" s="725">
        <f t="shared" si="0"/>
        <v>0</v>
      </c>
      <c r="O16" s="725">
        <f t="shared" ca="1" si="0"/>
        <v>26989.383281672635</v>
      </c>
      <c r="P16" s="725">
        <f t="shared" si="0"/>
        <v>170.40333333333334</v>
      </c>
      <c r="Q16" s="725">
        <f t="shared" si="0"/>
        <v>1010.5333333333334</v>
      </c>
      <c r="R16" s="725">
        <f t="shared" ca="1" si="0"/>
        <v>197805.20877466607</v>
      </c>
      <c r="S16" s="67"/>
    </row>
    <row r="17" spans="1:19" s="458" customFormat="1" ht="15.75">
      <c r="A17" s="807" t="s">
        <v>227</v>
      </c>
      <c r="B17" s="729"/>
      <c r="C17" s="1093"/>
      <c r="D17" s="1093"/>
      <c r="E17" s="1093"/>
      <c r="F17" s="1093"/>
      <c r="G17" s="1093"/>
      <c r="H17" s="1093"/>
      <c r="I17" s="1093"/>
      <c r="J17" s="1093"/>
      <c r="K17" s="1093"/>
      <c r="L17" s="1093"/>
      <c r="M17" s="1093"/>
      <c r="N17" s="1093"/>
      <c r="O17" s="1093"/>
      <c r="P17" s="1093"/>
      <c r="Q17" s="1093"/>
      <c r="R17" s="695"/>
      <c r="S17" s="67"/>
    </row>
    <row r="18" spans="1:19" s="458" customFormat="1">
      <c r="A18" s="805" t="s">
        <v>228</v>
      </c>
      <c r="B18" s="810"/>
      <c r="C18" s="690">
        <f>'Eigen vloot'!B27</f>
        <v>0</v>
      </c>
      <c r="D18" s="690">
        <f>'Eigen vloot'!C27</f>
        <v>0</v>
      </c>
      <c r="E18" s="690">
        <f>'Eigen vloot'!D27</f>
        <v>0</v>
      </c>
      <c r="F18" s="690">
        <f>'Eigen vloot'!E27</f>
        <v>0</v>
      </c>
      <c r="G18" s="690">
        <f>'Eigen vloot'!F27</f>
        <v>0</v>
      </c>
      <c r="H18" s="690">
        <f>'Eigen vloot'!G27</f>
        <v>0</v>
      </c>
      <c r="I18" s="690">
        <f>'Eigen vloot'!H27</f>
        <v>0</v>
      </c>
      <c r="J18" s="690">
        <f>'Eigen vloot'!I27</f>
        <v>0</v>
      </c>
      <c r="K18" s="690">
        <f>'Eigen vloot'!J27</f>
        <v>0</v>
      </c>
      <c r="L18" s="690">
        <f>'Eigen vloot'!K27</f>
        <v>0</v>
      </c>
      <c r="M18" s="690">
        <f>'Eigen vloot'!L27</f>
        <v>0</v>
      </c>
      <c r="N18" s="690">
        <f>'Eigen vloot'!M27</f>
        <v>0</v>
      </c>
      <c r="O18" s="690">
        <f>'Eigen vloot'!N27</f>
        <v>0</v>
      </c>
      <c r="P18" s="690">
        <f>'Eigen vloot'!O27</f>
        <v>0</v>
      </c>
      <c r="Q18" s="691">
        <f>'Eigen vloot'!P27</f>
        <v>0</v>
      </c>
      <c r="R18" s="693">
        <f>SUM(C18:Q18)</f>
        <v>0</v>
      </c>
      <c r="S18" s="67"/>
    </row>
    <row r="19" spans="1:19" s="458" customFormat="1">
      <c r="A19" s="805" t="s">
        <v>229</v>
      </c>
      <c r="B19" s="810"/>
      <c r="C19" s="690">
        <f>transport!B54</f>
        <v>0</v>
      </c>
      <c r="D19" s="690">
        <f>transport!C54</f>
        <v>0</v>
      </c>
      <c r="E19" s="690">
        <f>transport!D54</f>
        <v>0</v>
      </c>
      <c r="F19" s="690">
        <f>transport!E54</f>
        <v>0</v>
      </c>
      <c r="G19" s="690">
        <f>transport!F54</f>
        <v>0</v>
      </c>
      <c r="H19" s="690">
        <f>transport!G54</f>
        <v>1544.5479497900249</v>
      </c>
      <c r="I19" s="690">
        <f>transport!H54</f>
        <v>0</v>
      </c>
      <c r="J19" s="690">
        <f>transport!I54</f>
        <v>0</v>
      </c>
      <c r="K19" s="690">
        <f>transport!J54</f>
        <v>0</v>
      </c>
      <c r="L19" s="690">
        <f>transport!K54</f>
        <v>0</v>
      </c>
      <c r="M19" s="690">
        <f>transport!L54</f>
        <v>0</v>
      </c>
      <c r="N19" s="690">
        <f>transport!M54</f>
        <v>68.689825162289992</v>
      </c>
      <c r="O19" s="690">
        <f>transport!N54</f>
        <v>0</v>
      </c>
      <c r="P19" s="690">
        <f>transport!O54</f>
        <v>0</v>
      </c>
      <c r="Q19" s="691">
        <f>transport!P54</f>
        <v>0</v>
      </c>
      <c r="R19" s="693">
        <f>SUM(C19:Q19)</f>
        <v>1613.2377749523148</v>
      </c>
      <c r="S19" s="67"/>
    </row>
    <row r="20" spans="1:19" s="458" customFormat="1">
      <c r="A20" s="805" t="s">
        <v>307</v>
      </c>
      <c r="B20" s="810"/>
      <c r="C20" s="690">
        <f>transport!B14</f>
        <v>3.3961222894285186</v>
      </c>
      <c r="D20" s="690">
        <f>transport!C14</f>
        <v>0</v>
      </c>
      <c r="E20" s="690">
        <f>transport!D14</f>
        <v>5.6577306380208059</v>
      </c>
      <c r="F20" s="690">
        <f>transport!E14</f>
        <v>172.89781091854209</v>
      </c>
      <c r="G20" s="690">
        <f>transport!F14</f>
        <v>0</v>
      </c>
      <c r="H20" s="690">
        <f>transport!G14</f>
        <v>46727.59504585684</v>
      </c>
      <c r="I20" s="690">
        <f>transport!H14</f>
        <v>8460.571273269632</v>
      </c>
      <c r="J20" s="690">
        <f>transport!I14</f>
        <v>0</v>
      </c>
      <c r="K20" s="690">
        <f>transport!J14</f>
        <v>0</v>
      </c>
      <c r="L20" s="690">
        <f>transport!K14</f>
        <v>0</v>
      </c>
      <c r="M20" s="690">
        <f>transport!L14</f>
        <v>0</v>
      </c>
      <c r="N20" s="690">
        <f>transport!M14</f>
        <v>2494.8794940956882</v>
      </c>
      <c r="O20" s="690">
        <f>transport!N14</f>
        <v>0</v>
      </c>
      <c r="P20" s="690">
        <f>transport!O14</f>
        <v>0</v>
      </c>
      <c r="Q20" s="691">
        <f>transport!P14</f>
        <v>0</v>
      </c>
      <c r="R20" s="693">
        <f>SUM(C20:Q20)</f>
        <v>57864.997477068151</v>
      </c>
      <c r="S20" s="67"/>
    </row>
    <row r="21" spans="1:19" s="458" customFormat="1" ht="15" thickBot="1">
      <c r="A21" s="827" t="s">
        <v>871</v>
      </c>
      <c r="B21" s="1004"/>
      <c r="C21" s="1005"/>
      <c r="D21" s="1005"/>
      <c r="E21" s="1005"/>
      <c r="F21" s="1005"/>
      <c r="G21" s="1005"/>
      <c r="H21" s="1005"/>
      <c r="I21" s="1005"/>
      <c r="J21" s="1005"/>
      <c r="K21" s="1005"/>
      <c r="L21" s="1005"/>
      <c r="M21" s="1005"/>
      <c r="N21" s="1005"/>
      <c r="O21" s="1005"/>
      <c r="P21" s="1005"/>
      <c r="Q21" s="1006"/>
      <c r="R21" s="692"/>
      <c r="S21" s="67"/>
    </row>
    <row r="22" spans="1:19" s="458" customFormat="1" ht="15.75" thickBot="1">
      <c r="A22" s="698" t="s">
        <v>230</v>
      </c>
      <c r="B22" s="813"/>
      <c r="C22" s="808">
        <f>SUM(C18:C21)</f>
        <v>3.3961222894285186</v>
      </c>
      <c r="D22" s="808">
        <f t="shared" ref="D22:R22" si="1">SUM(D18:D21)</f>
        <v>0</v>
      </c>
      <c r="E22" s="808">
        <f t="shared" si="1"/>
        <v>5.6577306380208059</v>
      </c>
      <c r="F22" s="808">
        <f t="shared" si="1"/>
        <v>172.89781091854209</v>
      </c>
      <c r="G22" s="808">
        <f t="shared" si="1"/>
        <v>0</v>
      </c>
      <c r="H22" s="808">
        <f t="shared" si="1"/>
        <v>48272.142995646864</v>
      </c>
      <c r="I22" s="808">
        <f t="shared" si="1"/>
        <v>8460.571273269632</v>
      </c>
      <c r="J22" s="808">
        <f t="shared" si="1"/>
        <v>0</v>
      </c>
      <c r="K22" s="808">
        <f t="shared" si="1"/>
        <v>0</v>
      </c>
      <c r="L22" s="808">
        <f t="shared" si="1"/>
        <v>0</v>
      </c>
      <c r="M22" s="808">
        <f t="shared" si="1"/>
        <v>0</v>
      </c>
      <c r="N22" s="808">
        <f t="shared" si="1"/>
        <v>2563.5693192579783</v>
      </c>
      <c r="O22" s="808">
        <f t="shared" si="1"/>
        <v>0</v>
      </c>
      <c r="P22" s="808">
        <f t="shared" si="1"/>
        <v>0</v>
      </c>
      <c r="Q22" s="808">
        <f t="shared" si="1"/>
        <v>0</v>
      </c>
      <c r="R22" s="808">
        <f t="shared" si="1"/>
        <v>59478.235252020466</v>
      </c>
      <c r="S22" s="67"/>
    </row>
    <row r="23" spans="1:19" s="458" customFormat="1" ht="15.75">
      <c r="A23" s="807" t="s">
        <v>237</v>
      </c>
      <c r="B23" s="729"/>
      <c r="C23" s="1093"/>
      <c r="D23" s="1093"/>
      <c r="E23" s="1093"/>
      <c r="F23" s="1093"/>
      <c r="G23" s="1093"/>
      <c r="H23" s="1093"/>
      <c r="I23" s="1093"/>
      <c r="J23" s="1093"/>
      <c r="K23" s="1093"/>
      <c r="L23" s="1093"/>
      <c r="M23" s="1093"/>
      <c r="N23" s="1093"/>
      <c r="O23" s="1093"/>
      <c r="P23" s="1093"/>
      <c r="Q23" s="1093"/>
      <c r="R23" s="695"/>
      <c r="S23" s="67"/>
    </row>
    <row r="24" spans="1:19" s="458" customFormat="1">
      <c r="A24" s="805" t="s">
        <v>654</v>
      </c>
      <c r="B24" s="810"/>
      <c r="C24" s="690">
        <f>+landbouw!B8</f>
        <v>1183.2322558032008</v>
      </c>
      <c r="D24" s="690">
        <f>+landbouw!C8</f>
        <v>0</v>
      </c>
      <c r="E24" s="690">
        <f>+landbouw!D8</f>
        <v>104.69586733024977</v>
      </c>
      <c r="F24" s="690">
        <f>+landbouw!E8</f>
        <v>14.910250736190019</v>
      </c>
      <c r="G24" s="690">
        <f>+landbouw!F8</f>
        <v>4082.4476999127878</v>
      </c>
      <c r="H24" s="690">
        <f>+landbouw!G8</f>
        <v>0</v>
      </c>
      <c r="I24" s="690">
        <f>+landbouw!H8</f>
        <v>0</v>
      </c>
      <c r="J24" s="690">
        <f>+landbouw!I8</f>
        <v>0</v>
      </c>
      <c r="K24" s="690">
        <f>+landbouw!J8</f>
        <v>177.94468076323014</v>
      </c>
      <c r="L24" s="690">
        <f>+landbouw!K8</f>
        <v>0</v>
      </c>
      <c r="M24" s="690">
        <f>+landbouw!L8</f>
        <v>0</v>
      </c>
      <c r="N24" s="690">
        <f>+landbouw!M8</f>
        <v>0</v>
      </c>
      <c r="O24" s="690">
        <f>+landbouw!N8</f>
        <v>0</v>
      </c>
      <c r="P24" s="690">
        <f>+landbouw!O8</f>
        <v>0</v>
      </c>
      <c r="Q24" s="691">
        <f>+landbouw!P8</f>
        <v>0</v>
      </c>
      <c r="R24" s="693">
        <f>SUM(C24:Q24)</f>
        <v>5563.2307545456588</v>
      </c>
      <c r="S24" s="67"/>
    </row>
    <row r="25" spans="1:19" s="458" customFormat="1" ht="15" thickBot="1">
      <c r="A25" s="827" t="s">
        <v>872</v>
      </c>
      <c r="B25" s="1004"/>
      <c r="C25" s="1005">
        <f>IF(Onbekend_ele_kWh="---",0,Onbekend_ele_kWh)/1000+IF(REST_rest_ele_kWh="---",0,REST_rest_ele_kWh)/1000</f>
        <v>932.41021622526489</v>
      </c>
      <c r="D25" s="1005"/>
      <c r="E25" s="1005">
        <f>IF(onbekend_gas_kWh="---",0,onbekend_gas_kWh)/1000+IF(REST_rest_gas_kWh="---",0,REST_rest_gas_kWh)/1000</f>
        <v>1217.9087650776</v>
      </c>
      <c r="F25" s="1005"/>
      <c r="G25" s="1005"/>
      <c r="H25" s="1005"/>
      <c r="I25" s="1005"/>
      <c r="J25" s="1005"/>
      <c r="K25" s="1005"/>
      <c r="L25" s="1005"/>
      <c r="M25" s="1005"/>
      <c r="N25" s="1005"/>
      <c r="O25" s="1005"/>
      <c r="P25" s="1005"/>
      <c r="Q25" s="1006"/>
      <c r="R25" s="693">
        <f>SUM(C25:Q25)</f>
        <v>2150.3189813028648</v>
      </c>
      <c r="S25" s="67"/>
    </row>
    <row r="26" spans="1:19" s="458" customFormat="1" ht="15.75" thickBot="1">
      <c r="A26" s="698" t="s">
        <v>873</v>
      </c>
      <c r="B26" s="813"/>
      <c r="C26" s="808">
        <f>SUM(C24:C25)</f>
        <v>2115.6424720284658</v>
      </c>
      <c r="D26" s="808">
        <f t="shared" ref="D26:R26" si="2">SUM(D24:D25)</f>
        <v>0</v>
      </c>
      <c r="E26" s="808">
        <f t="shared" si="2"/>
        <v>1322.6046324078497</v>
      </c>
      <c r="F26" s="808">
        <f t="shared" si="2"/>
        <v>14.910250736190019</v>
      </c>
      <c r="G26" s="808">
        <f t="shared" si="2"/>
        <v>4082.4476999127878</v>
      </c>
      <c r="H26" s="808">
        <f t="shared" si="2"/>
        <v>0</v>
      </c>
      <c r="I26" s="808">
        <f t="shared" si="2"/>
        <v>0</v>
      </c>
      <c r="J26" s="808">
        <f t="shared" si="2"/>
        <v>0</v>
      </c>
      <c r="K26" s="808">
        <f t="shared" si="2"/>
        <v>177.94468076323014</v>
      </c>
      <c r="L26" s="808">
        <f t="shared" si="2"/>
        <v>0</v>
      </c>
      <c r="M26" s="808">
        <f t="shared" si="2"/>
        <v>0</v>
      </c>
      <c r="N26" s="808">
        <f t="shared" si="2"/>
        <v>0</v>
      </c>
      <c r="O26" s="808">
        <f t="shared" si="2"/>
        <v>0</v>
      </c>
      <c r="P26" s="808">
        <f t="shared" si="2"/>
        <v>0</v>
      </c>
      <c r="Q26" s="808">
        <f t="shared" si="2"/>
        <v>0</v>
      </c>
      <c r="R26" s="808">
        <f t="shared" si="2"/>
        <v>7713.5497358485236</v>
      </c>
      <c r="S26" s="67"/>
    </row>
    <row r="27" spans="1:19" s="458" customFormat="1" ht="17.25" thickTop="1" thickBot="1">
      <c r="A27" s="699" t="s">
        <v>116</v>
      </c>
      <c r="B27" s="800"/>
      <c r="C27" s="700">
        <f ca="1">C22+C16+C26</f>
        <v>52057.730492873401</v>
      </c>
      <c r="D27" s="700">
        <f t="shared" ref="D27:R27" ca="1" si="3">D22+D16+D26</f>
        <v>0</v>
      </c>
      <c r="E27" s="700">
        <f t="shared" ca="1" si="3"/>
        <v>38348.146876912688</v>
      </c>
      <c r="F27" s="700">
        <f t="shared" si="3"/>
        <v>6193.3256296516411</v>
      </c>
      <c r="G27" s="700">
        <f t="shared" ca="1" si="3"/>
        <v>68067.972240419054</v>
      </c>
      <c r="H27" s="700">
        <f t="shared" si="3"/>
        <v>48272.142995646864</v>
      </c>
      <c r="I27" s="700">
        <f t="shared" si="3"/>
        <v>8460.571273269632</v>
      </c>
      <c r="J27" s="700">
        <f t="shared" si="3"/>
        <v>0</v>
      </c>
      <c r="K27" s="700">
        <f t="shared" si="3"/>
        <v>12863.214986164481</v>
      </c>
      <c r="L27" s="700">
        <f t="shared" si="3"/>
        <v>0</v>
      </c>
      <c r="M27" s="700">
        <f t="shared" ca="1" si="3"/>
        <v>0</v>
      </c>
      <c r="N27" s="700">
        <f t="shared" si="3"/>
        <v>2563.5693192579783</v>
      </c>
      <c r="O27" s="700">
        <f t="shared" ca="1" si="3"/>
        <v>26989.383281672635</v>
      </c>
      <c r="P27" s="700">
        <f t="shared" si="3"/>
        <v>170.40333333333334</v>
      </c>
      <c r="Q27" s="700">
        <f t="shared" si="3"/>
        <v>1010.5333333333334</v>
      </c>
      <c r="R27" s="700">
        <f t="shared" ca="1" si="3"/>
        <v>264996.99376253504</v>
      </c>
      <c r="S27" s="67"/>
    </row>
    <row r="28" spans="1:19" ht="15.75" customHeight="1" thickBot="1">
      <c r="A28" s="701"/>
      <c r="B28" s="701"/>
      <c r="C28" s="702"/>
      <c r="D28" s="702"/>
      <c r="E28" s="702"/>
      <c r="F28" s="702"/>
      <c r="G28" s="702"/>
      <c r="H28" s="702"/>
      <c r="I28" s="702"/>
      <c r="J28" s="702"/>
      <c r="K28" s="702"/>
      <c r="L28" s="702"/>
      <c r="M28" s="702"/>
      <c r="N28" s="702"/>
      <c r="O28" s="702"/>
      <c r="P28" s="702"/>
      <c r="Q28" s="702"/>
      <c r="R28" s="702"/>
    </row>
    <row r="29" spans="1:19" ht="41.25" customHeight="1" thickTop="1" thickBot="1">
      <c r="A29" s="703" t="s">
        <v>345</v>
      </c>
      <c r="B29" s="703"/>
      <c r="C29" s="704">
        <f>'EF ele_warmte'!B5</f>
        <v>0</v>
      </c>
      <c r="D29" s="705"/>
      <c r="E29" s="706"/>
      <c r="F29" s="705"/>
      <c r="G29" s="705"/>
      <c r="H29" s="705"/>
      <c r="I29" s="705"/>
      <c r="J29" s="705"/>
      <c r="K29" s="705"/>
      <c r="L29" s="705"/>
      <c r="M29" s="705"/>
      <c r="N29" s="705"/>
      <c r="O29" s="705"/>
      <c r="P29" s="705"/>
      <c r="Q29" s="705"/>
      <c r="R29" s="705"/>
    </row>
    <row r="30" spans="1:19" ht="31.5" thickTop="1" thickBot="1">
      <c r="A30" s="707" t="s">
        <v>346</v>
      </c>
      <c r="B30" s="707"/>
      <c r="C30" s="708" t="s">
        <v>211</v>
      </c>
      <c r="D30" s="709"/>
      <c r="E30" s="709"/>
      <c r="F30" s="709"/>
      <c r="G30" s="709"/>
      <c r="H30" s="710"/>
      <c r="I30" s="711"/>
      <c r="J30" s="711"/>
      <c r="K30" s="711"/>
      <c r="L30" s="711"/>
      <c r="M30" s="711"/>
      <c r="N30" s="711"/>
      <c r="O30" s="711"/>
      <c r="P30" s="711"/>
      <c r="Q30" s="711"/>
      <c r="R30" s="711"/>
    </row>
    <row r="31" spans="1:19" ht="15" thickTop="1">
      <c r="A31" s="1094"/>
      <c r="B31" s="1094"/>
      <c r="C31" s="1094"/>
      <c r="D31" s="712"/>
      <c r="E31" s="711"/>
      <c r="F31" s="711"/>
      <c r="G31" s="711"/>
      <c r="H31" s="711"/>
      <c r="I31" s="711"/>
      <c r="J31" s="711"/>
      <c r="K31" s="711"/>
      <c r="L31" s="711"/>
      <c r="M31" s="711"/>
      <c r="N31" s="711"/>
      <c r="O31" s="711"/>
      <c r="P31" s="711"/>
      <c r="Q31" s="711"/>
      <c r="R31" s="711"/>
    </row>
    <row r="32" spans="1:19" ht="15.75">
      <c r="A32" s="713" t="s">
        <v>231</v>
      </c>
      <c r="B32" s="713"/>
      <c r="C32" s="712"/>
      <c r="D32" s="712"/>
      <c r="E32" s="711"/>
      <c r="F32" s="711"/>
      <c r="G32" s="711"/>
      <c r="H32" s="711"/>
      <c r="I32" s="711"/>
      <c r="J32" s="711"/>
      <c r="K32" s="711"/>
      <c r="L32" s="711"/>
      <c r="M32" s="711"/>
      <c r="N32" s="711"/>
      <c r="O32" s="711"/>
      <c r="P32" s="711"/>
      <c r="Q32" s="711"/>
      <c r="R32" s="711"/>
    </row>
    <row r="33" spans="1:18">
      <c r="A33" s="1095"/>
      <c r="B33" s="1095"/>
      <c r="C33" s="1095"/>
      <c r="D33" s="1095"/>
      <c r="E33" s="1095"/>
      <c r="F33" s="1095"/>
      <c r="G33" s="1095"/>
      <c r="H33" s="1095"/>
      <c r="I33" s="1095"/>
      <c r="J33" s="1095"/>
      <c r="K33" s="1095"/>
      <c r="L33" s="1095"/>
      <c r="M33" s="1095"/>
      <c r="N33" s="1095"/>
      <c r="O33" s="1095"/>
      <c r="P33" s="1095"/>
      <c r="Q33" s="1095"/>
      <c r="R33" s="1095"/>
    </row>
    <row r="34" spans="1:18" ht="15.75" thickBot="1">
      <c r="A34" s="714"/>
      <c r="B34" s="714"/>
      <c r="C34" s="715"/>
      <c r="D34" s="715"/>
      <c r="E34" s="715"/>
      <c r="F34" s="715"/>
      <c r="G34" s="715"/>
      <c r="H34" s="715"/>
      <c r="I34" s="715"/>
      <c r="J34" s="715"/>
      <c r="K34" s="715"/>
      <c r="L34" s="715"/>
      <c r="M34" s="715"/>
      <c r="N34" s="715"/>
      <c r="O34" s="715"/>
      <c r="P34" s="715"/>
      <c r="Q34" s="715"/>
      <c r="R34" s="715"/>
    </row>
    <row r="35" spans="1:18" ht="17.25" thickTop="1" thickBot="1">
      <c r="A35" s="1096"/>
      <c r="B35" s="815"/>
      <c r="C35" s="1098" t="s">
        <v>347</v>
      </c>
      <c r="D35" s="1099"/>
      <c r="E35" s="1099"/>
      <c r="F35" s="1099"/>
      <c r="G35" s="1099"/>
      <c r="H35" s="1099"/>
      <c r="I35" s="1099"/>
      <c r="J35" s="1099"/>
      <c r="K35" s="1099"/>
      <c r="L35" s="1099"/>
      <c r="M35" s="1099"/>
      <c r="N35" s="1099"/>
      <c r="O35" s="1099"/>
      <c r="P35" s="1099"/>
      <c r="Q35" s="1099"/>
      <c r="R35" s="1100"/>
    </row>
    <row r="36" spans="1:18" ht="16.5" thickTop="1">
      <c r="A36" s="1097"/>
      <c r="B36" s="816"/>
      <c r="C36" s="1101" t="s">
        <v>21</v>
      </c>
      <c r="D36" s="1103" t="s">
        <v>232</v>
      </c>
      <c r="E36" s="1105" t="s">
        <v>197</v>
      </c>
      <c r="F36" s="1106"/>
      <c r="G36" s="1106"/>
      <c r="H36" s="1106"/>
      <c r="I36" s="1106"/>
      <c r="J36" s="1106"/>
      <c r="K36" s="1106"/>
      <c r="L36" s="1107"/>
      <c r="M36" s="1105" t="s">
        <v>198</v>
      </c>
      <c r="N36" s="1106"/>
      <c r="O36" s="1106"/>
      <c r="P36" s="1106"/>
      <c r="Q36" s="1106"/>
      <c r="R36" s="1108" t="s">
        <v>116</v>
      </c>
    </row>
    <row r="37" spans="1:18" ht="45.75" thickBot="1">
      <c r="A37" s="1097"/>
      <c r="B37" s="816"/>
      <c r="C37" s="1102"/>
      <c r="D37" s="1104"/>
      <c r="E37" s="716" t="s">
        <v>199</v>
      </c>
      <c r="F37" s="716" t="s">
        <v>200</v>
      </c>
      <c r="G37" s="716" t="s">
        <v>201</v>
      </c>
      <c r="H37" s="716" t="s">
        <v>202</v>
      </c>
      <c r="I37" s="716" t="s">
        <v>120</v>
      </c>
      <c r="J37" s="716" t="s">
        <v>203</v>
      </c>
      <c r="K37" s="717" t="s">
        <v>233</v>
      </c>
      <c r="L37" s="717" t="s">
        <v>205</v>
      </c>
      <c r="M37" s="64" t="s">
        <v>206</v>
      </c>
      <c r="N37" s="65" t="s">
        <v>207</v>
      </c>
      <c r="O37" s="716" t="s">
        <v>234</v>
      </c>
      <c r="P37" s="716" t="s">
        <v>235</v>
      </c>
      <c r="Q37" s="717" t="s">
        <v>210</v>
      </c>
      <c r="R37" s="1109"/>
    </row>
    <row r="38" spans="1:18" ht="17.25" thickTop="1" thickBot="1">
      <c r="A38" s="828" t="s">
        <v>344</v>
      </c>
      <c r="B38" s="829"/>
      <c r="C38" s="718" t="s">
        <v>236</v>
      </c>
      <c r="D38" s="719"/>
      <c r="E38" s="720"/>
      <c r="F38" s="720"/>
      <c r="G38" s="720"/>
      <c r="H38" s="720"/>
      <c r="I38" s="720"/>
      <c r="J38" s="720"/>
      <c r="K38" s="720"/>
      <c r="L38" s="720"/>
      <c r="M38" s="1007"/>
      <c r="N38" s="1007"/>
      <c r="O38" s="720"/>
      <c r="P38" s="1007"/>
      <c r="Q38" s="721"/>
      <c r="R38" s="722"/>
    </row>
    <row r="39" spans="1:18" ht="15" thickTop="1">
      <c r="A39" s="801" t="s">
        <v>223</v>
      </c>
      <c r="B39" s="825"/>
      <c r="C39" s="690">
        <f ca="1">'Eigen gebouwen'!B19</f>
        <v>0</v>
      </c>
      <c r="D39" s="690">
        <f ca="1">'Eigen gebouwen'!C19</f>
        <v>0</v>
      </c>
      <c r="E39" s="690">
        <f>'Eigen gebouwen'!D19</f>
        <v>0</v>
      </c>
      <c r="F39" s="690">
        <f>'Eigen gebouwen'!E19</f>
        <v>0</v>
      </c>
      <c r="G39" s="690">
        <f>'Eigen gebouwen'!F19</f>
        <v>0</v>
      </c>
      <c r="H39" s="690">
        <f>'Eigen gebouwen'!G19</f>
        <v>0</v>
      </c>
      <c r="I39" s="690">
        <f>'Eigen gebouwen'!H19</f>
        <v>0</v>
      </c>
      <c r="J39" s="690">
        <f>'Eigen gebouwen'!I19</f>
        <v>0</v>
      </c>
      <c r="K39" s="690">
        <f>'Eigen gebouwen'!J19</f>
        <v>0</v>
      </c>
      <c r="L39" s="690">
        <f>'Eigen gebouwen'!K19</f>
        <v>0</v>
      </c>
      <c r="M39" s="690">
        <f>'Eigen gebouwen'!L19</f>
        <v>0</v>
      </c>
      <c r="N39" s="690">
        <f>'Eigen gebouwen'!M19</f>
        <v>0</v>
      </c>
      <c r="O39" s="690">
        <f>'Eigen gebouwen'!N19</f>
        <v>0</v>
      </c>
      <c r="P39" s="690">
        <f>'Eigen gebouwen'!O19</f>
        <v>0</v>
      </c>
      <c r="Q39" s="767">
        <f>'Eigen gebouwen'!P19</f>
        <v>0</v>
      </c>
      <c r="R39" s="1008">
        <f t="shared" ref="R39:R44" ca="1" si="4">SUM(C39:Q39)</f>
        <v>0</v>
      </c>
    </row>
    <row r="40" spans="1:18">
      <c r="A40" s="806" t="s">
        <v>224</v>
      </c>
      <c r="B40" s="826"/>
      <c r="C40" s="690">
        <f ca="1">tertiair!B20+'openbare verlichting'!B12</f>
        <v>2723.5241744065729</v>
      </c>
      <c r="D40" s="690">
        <f ca="1">tertiair!C20</f>
        <v>0</v>
      </c>
      <c r="E40" s="690">
        <f ca="1">tertiair!D20</f>
        <v>1804.7408517707318</v>
      </c>
      <c r="F40" s="690">
        <f>tertiair!E20</f>
        <v>39.414633723321977</v>
      </c>
      <c r="G40" s="690">
        <f ca="1">tertiair!F20</f>
        <v>717.8796757533629</v>
      </c>
      <c r="H40" s="690">
        <f>tertiair!G20</f>
        <v>0</v>
      </c>
      <c r="I40" s="690">
        <f>tertiair!H20</f>
        <v>0</v>
      </c>
      <c r="J40" s="690">
        <f>tertiair!I20</f>
        <v>0</v>
      </c>
      <c r="K40" s="690">
        <f>tertiair!J20</f>
        <v>0</v>
      </c>
      <c r="L40" s="690">
        <f>tertiair!K20</f>
        <v>0</v>
      </c>
      <c r="M40" s="690">
        <f ca="1">tertiair!L20</f>
        <v>0</v>
      </c>
      <c r="N40" s="690">
        <f>tertiair!M20</f>
        <v>0</v>
      </c>
      <c r="O40" s="690">
        <f ca="1">tertiair!N20</f>
        <v>0</v>
      </c>
      <c r="P40" s="690">
        <f>tertiair!O20</f>
        <v>0</v>
      </c>
      <c r="Q40" s="767">
        <f>tertiair!P20</f>
        <v>0</v>
      </c>
      <c r="R40" s="846">
        <f t="shared" ca="1" si="4"/>
        <v>5285.5593356539903</v>
      </c>
    </row>
    <row r="41" spans="1:18">
      <c r="A41" s="818" t="s">
        <v>225</v>
      </c>
      <c r="B41" s="825"/>
      <c r="C41" s="690">
        <f ca="1">huishoudens!B12</f>
        <v>6091.3710844240031</v>
      </c>
      <c r="D41" s="690">
        <f ca="1">huishoudens!C12</f>
        <v>0</v>
      </c>
      <c r="E41" s="690">
        <f>huishoudens!D12</f>
        <v>5367.7078447898875</v>
      </c>
      <c r="F41" s="690">
        <f>huishoudens!E12</f>
        <v>1196.1634380264456</v>
      </c>
      <c r="G41" s="690">
        <f>huishoudens!F12</f>
        <v>15769.029430884306</v>
      </c>
      <c r="H41" s="690">
        <f>huishoudens!G12</f>
        <v>0</v>
      </c>
      <c r="I41" s="690">
        <f>huishoudens!H12</f>
        <v>0</v>
      </c>
      <c r="J41" s="690">
        <f>huishoudens!I12</f>
        <v>0</v>
      </c>
      <c r="K41" s="690">
        <f>huishoudens!J12</f>
        <v>4484.7231327523477</v>
      </c>
      <c r="L41" s="690">
        <f>huishoudens!K12</f>
        <v>0</v>
      </c>
      <c r="M41" s="690">
        <f>huishoudens!L12</f>
        <v>0</v>
      </c>
      <c r="N41" s="690">
        <f>huishoudens!M12</f>
        <v>0</v>
      </c>
      <c r="O41" s="690">
        <f>huishoudens!N12</f>
        <v>0</v>
      </c>
      <c r="P41" s="690">
        <f>huishoudens!O12</f>
        <v>0</v>
      </c>
      <c r="Q41" s="767">
        <f>huishoudens!P12</f>
        <v>0</v>
      </c>
      <c r="R41" s="846">
        <f t="shared" ca="1" si="4"/>
        <v>32908.994930876986</v>
      </c>
    </row>
    <row r="42" spans="1:18">
      <c r="A42" s="818" t="s">
        <v>510</v>
      </c>
      <c r="B42" s="825"/>
      <c r="C42" s="690">
        <f ca="1">'Eigen openbare verlichting'!B19</f>
        <v>0</v>
      </c>
      <c r="D42" s="690"/>
      <c r="E42" s="690"/>
      <c r="F42" s="690"/>
      <c r="G42" s="690"/>
      <c r="H42" s="690"/>
      <c r="I42" s="690"/>
      <c r="J42" s="690"/>
      <c r="K42" s="690"/>
      <c r="L42" s="690"/>
      <c r="M42" s="690"/>
      <c r="N42" s="690"/>
      <c r="O42" s="690"/>
      <c r="P42" s="690"/>
      <c r="Q42" s="767"/>
      <c r="R42" s="846">
        <f t="shared" ca="1" si="4"/>
        <v>0</v>
      </c>
    </row>
    <row r="43" spans="1:18">
      <c r="A43" s="818" t="s">
        <v>661</v>
      </c>
      <c r="B43" s="833" t="s">
        <v>658</v>
      </c>
      <c r="C43" s="690">
        <f ca="1">industrie!B22</f>
        <v>1521.2072544447508</v>
      </c>
      <c r="D43" s="690">
        <f ca="1">industrie!C22</f>
        <v>0</v>
      </c>
      <c r="E43" s="690">
        <f>industrie!D22</f>
        <v>305.56797524047812</v>
      </c>
      <c r="F43" s="690">
        <f>industrie!E22</f>
        <v>127.67441618553069</v>
      </c>
      <c r="G43" s="690">
        <f>industrie!F22</f>
        <v>597.22594567750491</v>
      </c>
      <c r="H43" s="690">
        <f>industrie!G22</f>
        <v>0</v>
      </c>
      <c r="I43" s="690">
        <f>industrie!H22</f>
        <v>0</v>
      </c>
      <c r="J43" s="690">
        <f>industrie!I22</f>
        <v>0</v>
      </c>
      <c r="K43" s="690">
        <f>industrie!J22</f>
        <v>5.8625553596946602</v>
      </c>
      <c r="L43" s="690">
        <f>industrie!K22</f>
        <v>0</v>
      </c>
      <c r="M43" s="690">
        <f>industrie!L22</f>
        <v>0</v>
      </c>
      <c r="N43" s="690">
        <f>industrie!M22</f>
        <v>0</v>
      </c>
      <c r="O43" s="690">
        <f>industrie!N22</f>
        <v>0</v>
      </c>
      <c r="P43" s="690">
        <f>industrie!O22</f>
        <v>0</v>
      </c>
      <c r="Q43" s="767">
        <f>industrie!P22</f>
        <v>0</v>
      </c>
      <c r="R43" s="845">
        <f t="shared" ca="1" si="4"/>
        <v>2557.5381469079593</v>
      </c>
    </row>
    <row r="44" spans="1:18">
      <c r="A44" s="818"/>
      <c r="B44" s="825" t="s">
        <v>659</v>
      </c>
      <c r="C44" s="690"/>
      <c r="D44" s="690"/>
      <c r="E44" s="690"/>
      <c r="F44" s="690"/>
      <c r="G44" s="690"/>
      <c r="H44" s="690"/>
      <c r="I44" s="690"/>
      <c r="J44" s="690"/>
      <c r="K44" s="690"/>
      <c r="L44" s="690"/>
      <c r="M44" s="690"/>
      <c r="N44" s="690"/>
      <c r="O44" s="690"/>
      <c r="P44" s="690"/>
      <c r="Q44" s="767"/>
      <c r="R44" s="846">
        <f t="shared" si="4"/>
        <v>0</v>
      </c>
    </row>
    <row r="45" spans="1:18" ht="15" thickBot="1">
      <c r="A45" s="1003" t="s">
        <v>870</v>
      </c>
      <c r="B45" s="1009"/>
      <c r="C45" s="1005"/>
      <c r="D45" s="1005"/>
      <c r="E45" s="1005"/>
      <c r="F45" s="1005"/>
      <c r="G45" s="1005"/>
      <c r="H45" s="1005"/>
      <c r="I45" s="1005"/>
      <c r="J45" s="1005"/>
      <c r="K45" s="1005"/>
      <c r="L45" s="1005"/>
      <c r="M45" s="1005"/>
      <c r="N45" s="1005"/>
      <c r="O45" s="1005"/>
      <c r="P45" s="1005"/>
      <c r="Q45" s="1006"/>
      <c r="R45" s="1010"/>
    </row>
    <row r="46" spans="1:18" ht="15.75" thickBot="1">
      <c r="A46" s="819" t="s">
        <v>226</v>
      </c>
      <c r="B46" s="832"/>
      <c r="C46" s="725">
        <f ca="1">SUM(C39:C45)</f>
        <v>10336.102513275328</v>
      </c>
      <c r="D46" s="725">
        <f t="shared" ref="D46:Q46" ca="1" si="5">SUM(D39:D45)</f>
        <v>0</v>
      </c>
      <c r="E46" s="725">
        <f t="shared" ca="1" si="5"/>
        <v>7478.0166718010978</v>
      </c>
      <c r="F46" s="725">
        <f t="shared" si="5"/>
        <v>1363.2524879352982</v>
      </c>
      <c r="G46" s="725">
        <f t="shared" ca="1" si="5"/>
        <v>17084.135052315174</v>
      </c>
      <c r="H46" s="725">
        <f t="shared" si="5"/>
        <v>0</v>
      </c>
      <c r="I46" s="725">
        <f t="shared" si="5"/>
        <v>0</v>
      </c>
      <c r="J46" s="725">
        <f t="shared" si="5"/>
        <v>0</v>
      </c>
      <c r="K46" s="725">
        <f t="shared" si="5"/>
        <v>4490.5856881120426</v>
      </c>
      <c r="L46" s="725">
        <f t="shared" si="5"/>
        <v>0</v>
      </c>
      <c r="M46" s="725">
        <f t="shared" ca="1" si="5"/>
        <v>0</v>
      </c>
      <c r="N46" s="725">
        <f t="shared" si="5"/>
        <v>0</v>
      </c>
      <c r="O46" s="725">
        <f t="shared" ca="1" si="5"/>
        <v>0</v>
      </c>
      <c r="P46" s="725">
        <f t="shared" si="5"/>
        <v>0</v>
      </c>
      <c r="Q46" s="725">
        <f t="shared" si="5"/>
        <v>0</v>
      </c>
      <c r="R46" s="725">
        <f ca="1">SUM(R39:R45)</f>
        <v>40752.092413438935</v>
      </c>
    </row>
    <row r="47" spans="1:18" ht="15.75">
      <c r="A47" s="820" t="s">
        <v>227</v>
      </c>
      <c r="B47" s="830"/>
      <c r="C47" s="718"/>
      <c r="D47" s="719"/>
      <c r="E47" s="719"/>
      <c r="F47" s="719"/>
      <c r="G47" s="719"/>
      <c r="H47" s="719"/>
      <c r="I47" s="719"/>
      <c r="J47" s="719"/>
      <c r="K47" s="719"/>
      <c r="L47" s="719"/>
      <c r="M47" s="728"/>
      <c r="N47" s="728"/>
      <c r="O47" s="719"/>
      <c r="P47" s="728"/>
      <c r="Q47" s="728"/>
      <c r="R47" s="722"/>
    </row>
    <row r="48" spans="1:18">
      <c r="A48" s="818" t="s">
        <v>228</v>
      </c>
      <c r="B48" s="825"/>
      <c r="C48" s="690">
        <f ca="1">'Eigen vloot'!B31</f>
        <v>0</v>
      </c>
      <c r="D48" s="690">
        <f>'Eigen vloot'!C31</f>
        <v>0</v>
      </c>
      <c r="E48" s="690">
        <f>'Eigen vloot'!D31</f>
        <v>0</v>
      </c>
      <c r="F48" s="690">
        <f>'Eigen vloot'!E31</f>
        <v>0</v>
      </c>
      <c r="G48" s="690">
        <f>'Eigen vloot'!F31</f>
        <v>0</v>
      </c>
      <c r="H48" s="690">
        <f>'Eigen vloot'!G31</f>
        <v>0</v>
      </c>
      <c r="I48" s="690">
        <f>'Eigen vloot'!H31</f>
        <v>0</v>
      </c>
      <c r="J48" s="690">
        <f>'Eigen vloot'!I31</f>
        <v>0</v>
      </c>
      <c r="K48" s="690">
        <f>'Eigen vloot'!J31</f>
        <v>0</v>
      </c>
      <c r="L48" s="690">
        <f>'Eigen vloot'!K31</f>
        <v>0</v>
      </c>
      <c r="M48" s="690">
        <f>'Eigen vloot'!L31</f>
        <v>0</v>
      </c>
      <c r="N48" s="690">
        <f>'Eigen vloot'!M31</f>
        <v>0</v>
      </c>
      <c r="O48" s="690">
        <f>'Eigen vloot'!N31</f>
        <v>0</v>
      </c>
      <c r="P48" s="690">
        <f>'Eigen vloot'!O31</f>
        <v>0</v>
      </c>
      <c r="Q48" s="690">
        <f>'Eigen vloot'!P31</f>
        <v>0</v>
      </c>
      <c r="R48" s="723">
        <f ca="1">SUM(C48:Q48)</f>
        <v>0</v>
      </c>
    </row>
    <row r="49" spans="1:18">
      <c r="A49" s="818" t="s">
        <v>229</v>
      </c>
      <c r="B49" s="825"/>
      <c r="C49" s="690">
        <f ca="1">transport!B58</f>
        <v>0</v>
      </c>
      <c r="D49" s="690">
        <f ca="1">transport!C58</f>
        <v>0</v>
      </c>
      <c r="E49" s="690">
        <f>transport!D58</f>
        <v>0</v>
      </c>
      <c r="F49" s="690">
        <f>transport!E58</f>
        <v>0</v>
      </c>
      <c r="G49" s="690">
        <f>transport!F58</f>
        <v>0</v>
      </c>
      <c r="H49" s="690">
        <f>transport!G58</f>
        <v>412.39430259393669</v>
      </c>
      <c r="I49" s="690">
        <f>transport!H58</f>
        <v>0</v>
      </c>
      <c r="J49" s="690">
        <f>transport!I58</f>
        <v>0</v>
      </c>
      <c r="K49" s="690">
        <f>transport!J58</f>
        <v>0</v>
      </c>
      <c r="L49" s="690">
        <f>transport!K58</f>
        <v>0</v>
      </c>
      <c r="M49" s="690">
        <f>transport!L58</f>
        <v>0</v>
      </c>
      <c r="N49" s="690">
        <f>transport!M58</f>
        <v>0</v>
      </c>
      <c r="O49" s="690">
        <f>transport!N58</f>
        <v>0</v>
      </c>
      <c r="P49" s="690">
        <f>transport!O58</f>
        <v>0</v>
      </c>
      <c r="Q49" s="691">
        <f>transport!P58</f>
        <v>0</v>
      </c>
      <c r="R49" s="723">
        <f ca="1">SUM(C49:Q49)</f>
        <v>412.39430259393669</v>
      </c>
    </row>
    <row r="50" spans="1:18">
      <c r="A50" s="821" t="s">
        <v>307</v>
      </c>
      <c r="B50" s="831"/>
      <c r="C50" s="696">
        <f ca="1">transport!B18</f>
        <v>0.70291525061287841</v>
      </c>
      <c r="D50" s="696">
        <f>transport!C18</f>
        <v>0</v>
      </c>
      <c r="E50" s="696">
        <f>transport!D18</f>
        <v>1.1428615888802029</v>
      </c>
      <c r="F50" s="696">
        <f>transport!E18</f>
        <v>39.247803078509058</v>
      </c>
      <c r="G50" s="696">
        <f>transport!F18</f>
        <v>0</v>
      </c>
      <c r="H50" s="696">
        <f>transport!G18</f>
        <v>12476.267877243778</v>
      </c>
      <c r="I50" s="696">
        <f>transport!H18</f>
        <v>2106.6822470441384</v>
      </c>
      <c r="J50" s="696">
        <f>transport!I18</f>
        <v>0</v>
      </c>
      <c r="K50" s="696">
        <f>transport!J18</f>
        <v>0</v>
      </c>
      <c r="L50" s="696">
        <f>transport!K18</f>
        <v>0</v>
      </c>
      <c r="M50" s="696">
        <f>transport!L18</f>
        <v>0</v>
      </c>
      <c r="N50" s="696">
        <f>transport!M18</f>
        <v>0</v>
      </c>
      <c r="O50" s="696">
        <f>transport!N18</f>
        <v>0</v>
      </c>
      <c r="P50" s="696">
        <f>transport!O18</f>
        <v>0</v>
      </c>
      <c r="Q50" s="697">
        <f>transport!P18</f>
        <v>0</v>
      </c>
      <c r="R50" s="724">
        <f ca="1">SUM(C50:Q50)</f>
        <v>14624.043704205918</v>
      </c>
    </row>
    <row r="51" spans="1:18" ht="15" thickBot="1">
      <c r="A51" s="818" t="s">
        <v>871</v>
      </c>
      <c r="B51" s="825"/>
      <c r="C51" s="690"/>
      <c r="D51" s="690"/>
      <c r="E51" s="690"/>
      <c r="F51" s="690"/>
      <c r="G51" s="690"/>
      <c r="H51" s="690"/>
      <c r="I51" s="690"/>
      <c r="J51" s="690"/>
      <c r="K51" s="690"/>
      <c r="L51" s="690"/>
      <c r="M51" s="690"/>
      <c r="N51" s="690"/>
      <c r="O51" s="690"/>
      <c r="P51" s="690"/>
      <c r="Q51" s="691"/>
      <c r="R51" s="723"/>
    </row>
    <row r="52" spans="1:18" ht="15.75" thickBot="1">
      <c r="A52" s="819" t="s">
        <v>230</v>
      </c>
      <c r="B52" s="832"/>
      <c r="C52" s="725">
        <f ca="1">SUM(C48:C51)</f>
        <v>0.70291525061287841</v>
      </c>
      <c r="D52" s="725">
        <f t="shared" ref="D52:Q52" ca="1" si="6">SUM(D48:D51)</f>
        <v>0</v>
      </c>
      <c r="E52" s="725">
        <f t="shared" si="6"/>
        <v>1.1428615888802029</v>
      </c>
      <c r="F52" s="725">
        <f t="shared" si="6"/>
        <v>39.247803078509058</v>
      </c>
      <c r="G52" s="725">
        <f t="shared" si="6"/>
        <v>0</v>
      </c>
      <c r="H52" s="725">
        <f t="shared" si="6"/>
        <v>12888.662179837715</v>
      </c>
      <c r="I52" s="725">
        <f t="shared" si="6"/>
        <v>2106.6822470441384</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15036.438006799855</v>
      </c>
    </row>
    <row r="53" spans="1:18" ht="15.75">
      <c r="A53" s="820" t="s">
        <v>237</v>
      </c>
      <c r="B53" s="799"/>
      <c r="C53" s="718"/>
      <c r="D53" s="719"/>
      <c r="E53" s="719"/>
      <c r="F53" s="719"/>
      <c r="G53" s="719"/>
      <c r="H53" s="719"/>
      <c r="I53" s="719"/>
      <c r="J53" s="719"/>
      <c r="K53" s="719"/>
      <c r="L53" s="719"/>
      <c r="M53" s="728"/>
      <c r="N53" s="728"/>
      <c r="O53" s="719"/>
      <c r="P53" s="728"/>
      <c r="Q53" s="728"/>
      <c r="R53" s="722"/>
    </row>
    <row r="54" spans="1:18">
      <c r="A54" s="821" t="s">
        <v>654</v>
      </c>
      <c r="B54" s="831"/>
      <c r="C54" s="696">
        <f ca="1">+landbouw!B12</f>
        <v>244.90048553613903</v>
      </c>
      <c r="D54" s="696">
        <f ca="1">+landbouw!C12</f>
        <v>0</v>
      </c>
      <c r="E54" s="696">
        <f>+landbouw!D12</f>
        <v>21.148565200710454</v>
      </c>
      <c r="F54" s="696">
        <f>+landbouw!E12</f>
        <v>3.3846269171151344</v>
      </c>
      <c r="G54" s="696">
        <f>+landbouw!F12</f>
        <v>1090.0135358767145</v>
      </c>
      <c r="H54" s="696">
        <f>+landbouw!G12</f>
        <v>0</v>
      </c>
      <c r="I54" s="696">
        <f>+landbouw!H12</f>
        <v>0</v>
      </c>
      <c r="J54" s="696">
        <f>+landbouw!I12</f>
        <v>0</v>
      </c>
      <c r="K54" s="696">
        <f>+landbouw!J12</f>
        <v>62.992416990183465</v>
      </c>
      <c r="L54" s="696">
        <f>+landbouw!K12</f>
        <v>0</v>
      </c>
      <c r="M54" s="696">
        <f>+landbouw!L12</f>
        <v>0</v>
      </c>
      <c r="N54" s="696">
        <f>+landbouw!M12</f>
        <v>0</v>
      </c>
      <c r="O54" s="696">
        <f>+landbouw!N12</f>
        <v>0</v>
      </c>
      <c r="P54" s="696">
        <f>+landbouw!O12</f>
        <v>0</v>
      </c>
      <c r="Q54" s="697">
        <f>+landbouw!P12</f>
        <v>0</v>
      </c>
      <c r="R54" s="724">
        <f ca="1">SUM(C54:Q54)</f>
        <v>1422.4396305208627</v>
      </c>
    </row>
    <row r="55" spans="1:18" ht="15" thickBot="1">
      <c r="A55" s="821" t="s">
        <v>872</v>
      </c>
      <c r="B55" s="831"/>
      <c r="C55" s="696">
        <f ca="1">C25*'EF ele_warmte'!B12</f>
        <v>192.98638416294435</v>
      </c>
      <c r="D55" s="696"/>
      <c r="E55" s="696">
        <f>E25*EF_CO2_aardgas</f>
        <v>246.01757054567523</v>
      </c>
      <c r="F55" s="696"/>
      <c r="G55" s="696"/>
      <c r="H55" s="696"/>
      <c r="I55" s="696"/>
      <c r="J55" s="696"/>
      <c r="K55" s="696"/>
      <c r="L55" s="696"/>
      <c r="M55" s="696"/>
      <c r="N55" s="696"/>
      <c r="O55" s="696"/>
      <c r="P55" s="696"/>
      <c r="Q55" s="697"/>
      <c r="R55" s="724">
        <f ca="1">SUM(C55:Q55)</f>
        <v>439.00395470861957</v>
      </c>
    </row>
    <row r="56" spans="1:18" ht="15.75" thickBot="1">
      <c r="A56" s="819" t="s">
        <v>873</v>
      </c>
      <c r="B56" s="832"/>
      <c r="C56" s="725">
        <f ca="1">SUM(C54:C55)</f>
        <v>437.88686969908338</v>
      </c>
      <c r="D56" s="725">
        <f t="shared" ref="D56:Q56" ca="1" si="7">SUM(D54:D55)</f>
        <v>0</v>
      </c>
      <c r="E56" s="725">
        <f t="shared" si="7"/>
        <v>267.16613574638569</v>
      </c>
      <c r="F56" s="725">
        <f t="shared" si="7"/>
        <v>3.3846269171151344</v>
      </c>
      <c r="G56" s="725">
        <f t="shared" si="7"/>
        <v>1090.0135358767145</v>
      </c>
      <c r="H56" s="725">
        <f t="shared" si="7"/>
        <v>0</v>
      </c>
      <c r="I56" s="725">
        <f t="shared" si="7"/>
        <v>0</v>
      </c>
      <c r="J56" s="725">
        <f t="shared" si="7"/>
        <v>0</v>
      </c>
      <c r="K56" s="725">
        <f t="shared" si="7"/>
        <v>62.992416990183465</v>
      </c>
      <c r="L56" s="725">
        <f t="shared" si="7"/>
        <v>0</v>
      </c>
      <c r="M56" s="725">
        <f t="shared" si="7"/>
        <v>0</v>
      </c>
      <c r="N56" s="725">
        <f t="shared" si="7"/>
        <v>0</v>
      </c>
      <c r="O56" s="725">
        <f t="shared" si="7"/>
        <v>0</v>
      </c>
      <c r="P56" s="725">
        <f t="shared" si="7"/>
        <v>0</v>
      </c>
      <c r="Q56" s="726">
        <f t="shared" si="7"/>
        <v>0</v>
      </c>
      <c r="R56" s="727">
        <f ca="1">SUM(R54:R55)</f>
        <v>1861.4435852294823</v>
      </c>
    </row>
    <row r="57" spans="1:18" ht="15.75">
      <c r="A57" s="799" t="s">
        <v>655</v>
      </c>
      <c r="B57" s="799"/>
      <c r="C57" s="730"/>
      <c r="D57" s="719"/>
      <c r="E57" s="719"/>
      <c r="F57" s="719"/>
      <c r="G57" s="719"/>
      <c r="H57" s="719"/>
      <c r="I57" s="719"/>
      <c r="J57" s="719"/>
      <c r="K57" s="719"/>
      <c r="L57" s="719"/>
      <c r="M57" s="728"/>
      <c r="N57" s="728"/>
      <c r="O57" s="719"/>
      <c r="P57" s="728"/>
      <c r="Q57" s="728"/>
      <c r="R57" s="722"/>
    </row>
    <row r="58" spans="1:18" ht="15">
      <c r="A58" s="822" t="s">
        <v>238</v>
      </c>
      <c r="B58" s="836"/>
      <c r="C58" s="1088"/>
      <c r="D58" s="1089"/>
      <c r="E58" s="1089"/>
      <c r="F58" s="1089"/>
      <c r="G58" s="1089"/>
      <c r="H58" s="1089"/>
      <c r="I58" s="1089"/>
      <c r="J58" s="1089"/>
      <c r="K58" s="1089"/>
      <c r="L58" s="1089"/>
      <c r="M58" s="1089"/>
      <c r="N58" s="1089"/>
      <c r="O58" s="1089"/>
      <c r="P58" s="1089"/>
      <c r="Q58" s="1089"/>
      <c r="R58" s="731"/>
    </row>
    <row r="59" spans="1:18" ht="15">
      <c r="A59" s="823" t="s">
        <v>239</v>
      </c>
      <c r="B59" s="810"/>
      <c r="C59" s="1090"/>
      <c r="D59" s="1091"/>
      <c r="E59" s="1091"/>
      <c r="F59" s="1091"/>
      <c r="G59" s="1091"/>
      <c r="H59" s="1091"/>
      <c r="I59" s="1091"/>
      <c r="J59" s="1091"/>
      <c r="K59" s="1091"/>
      <c r="L59" s="1091"/>
      <c r="M59" s="1091"/>
      <c r="N59" s="1091"/>
      <c r="O59" s="1091"/>
      <c r="P59" s="1091"/>
      <c r="Q59" s="1091"/>
      <c r="R59" s="732"/>
    </row>
    <row r="60" spans="1:18" ht="15" thickBot="1">
      <c r="A60" s="834" t="s">
        <v>240</v>
      </c>
      <c r="B60" s="835"/>
      <c r="C60" s="1090"/>
      <c r="D60" s="1091"/>
      <c r="E60" s="1091"/>
      <c r="F60" s="1091"/>
      <c r="G60" s="1091"/>
      <c r="H60" s="1091"/>
      <c r="I60" s="1091"/>
      <c r="J60" s="1091"/>
      <c r="K60" s="1091"/>
      <c r="L60" s="1091"/>
      <c r="M60" s="1091"/>
      <c r="N60" s="1091"/>
      <c r="O60" s="1091"/>
      <c r="P60" s="1091"/>
      <c r="Q60" s="1091"/>
      <c r="R60" s="724"/>
    </row>
    <row r="61" spans="1:18" ht="16.5" thickBot="1">
      <c r="A61" s="837" t="s">
        <v>116</v>
      </c>
      <c r="B61" s="838"/>
      <c r="C61" s="733">
        <f ca="1">C46+C52+C56</f>
        <v>10774.692298225023</v>
      </c>
      <c r="D61" s="733">
        <f t="shared" ref="D61:Q61" ca="1" si="8">D46+D52+D56</f>
        <v>0</v>
      </c>
      <c r="E61" s="733">
        <f t="shared" ca="1" si="8"/>
        <v>7746.3256691363631</v>
      </c>
      <c r="F61" s="733">
        <f t="shared" si="8"/>
        <v>1405.8849179309225</v>
      </c>
      <c r="G61" s="733">
        <f t="shared" ca="1" si="8"/>
        <v>18174.148588191889</v>
      </c>
      <c r="H61" s="733">
        <f t="shared" si="8"/>
        <v>12888.662179837715</v>
      </c>
      <c r="I61" s="733">
        <f t="shared" si="8"/>
        <v>2106.6822470441384</v>
      </c>
      <c r="J61" s="733">
        <f t="shared" si="8"/>
        <v>0</v>
      </c>
      <c r="K61" s="733">
        <f t="shared" si="8"/>
        <v>4553.5781051022259</v>
      </c>
      <c r="L61" s="733">
        <f t="shared" si="8"/>
        <v>0</v>
      </c>
      <c r="M61" s="733">
        <f t="shared" ca="1" si="8"/>
        <v>0</v>
      </c>
      <c r="N61" s="733">
        <f t="shared" si="8"/>
        <v>0</v>
      </c>
      <c r="O61" s="733">
        <f t="shared" ca="1" si="8"/>
        <v>0</v>
      </c>
      <c r="P61" s="733">
        <f t="shared" si="8"/>
        <v>0</v>
      </c>
      <c r="Q61" s="733">
        <f t="shared" si="8"/>
        <v>0</v>
      </c>
      <c r="R61" s="733">
        <f ca="1">R46+R52+R56</f>
        <v>57649.974005468277</v>
      </c>
    </row>
    <row r="62" spans="1:18" ht="15.75" thickTop="1" thickBot="1">
      <c r="A62" s="999"/>
      <c r="B62" s="999"/>
      <c r="C62" s="734"/>
      <c r="D62" s="734"/>
      <c r="E62" s="735"/>
      <c r="F62" s="735"/>
      <c r="G62" s="735"/>
      <c r="H62" s="735"/>
      <c r="I62" s="735"/>
      <c r="J62" s="735"/>
      <c r="K62" s="735"/>
      <c r="L62" s="735"/>
      <c r="M62" s="735"/>
      <c r="N62" s="735"/>
      <c r="O62" s="735"/>
      <c r="P62" s="735"/>
      <c r="Q62" s="735"/>
      <c r="R62" s="735"/>
    </row>
    <row r="63" spans="1:18" ht="20.25" thickTop="1" thickBot="1">
      <c r="A63" s="736" t="s">
        <v>348</v>
      </c>
      <c r="B63" s="817"/>
      <c r="C63" s="776">
        <f t="shared" ref="C63:Q63" ca="1" si="9">IF(ISERROR(C61/C27),0,C61/C27)</f>
        <v>0.20697583617672416</v>
      </c>
      <c r="D63" s="776">
        <f t="shared" ca="1" si="9"/>
        <v>0</v>
      </c>
      <c r="E63" s="1011">
        <f t="shared" ca="1" si="9"/>
        <v>0.20200000000000001</v>
      </c>
      <c r="F63" s="776">
        <f t="shared" si="9"/>
        <v>0.22700000000000001</v>
      </c>
      <c r="G63" s="776">
        <f t="shared" ca="1" si="9"/>
        <v>0.26700000000000002</v>
      </c>
      <c r="H63" s="776">
        <f t="shared" si="9"/>
        <v>0.26700000000000002</v>
      </c>
      <c r="I63" s="776">
        <f t="shared" si="9"/>
        <v>0.249</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5"/>
    </row>
    <row r="64" spans="1:18" ht="33" thickTop="1" thickBot="1">
      <c r="A64" s="824" t="s">
        <v>349</v>
      </c>
      <c r="B64" s="802"/>
      <c r="C64" s="777">
        <f>'EF ele_warmte'!B6</f>
        <v>0.221</v>
      </c>
      <c r="D64" s="778"/>
      <c r="E64" s="779"/>
      <c r="F64" s="780"/>
      <c r="G64" s="780"/>
      <c r="H64" s="780"/>
      <c r="I64" s="780"/>
      <c r="J64" s="780"/>
      <c r="K64" s="780"/>
      <c r="L64" s="780"/>
      <c r="M64" s="780"/>
      <c r="N64" s="780"/>
      <c r="O64" s="780"/>
      <c r="P64" s="780"/>
      <c r="Q64" s="780"/>
      <c r="R64" s="735"/>
    </row>
    <row r="65" spans="1:18" ht="15" thickTop="1">
      <c r="A65" s="737"/>
      <c r="B65" s="737"/>
      <c r="C65" s="735"/>
      <c r="D65" s="735"/>
      <c r="E65" s="735"/>
      <c r="F65" s="735"/>
      <c r="G65" s="735"/>
      <c r="H65" s="735"/>
      <c r="I65" s="735"/>
      <c r="J65" s="735"/>
      <c r="K65" s="735"/>
      <c r="L65" s="735"/>
      <c r="M65" s="735"/>
      <c r="N65" s="735"/>
      <c r="O65" s="735"/>
      <c r="P65" s="735"/>
      <c r="Q65" s="735"/>
      <c r="R65" s="735"/>
    </row>
    <row r="66" spans="1:18" ht="18.75">
      <c r="A66" s="738" t="s">
        <v>350</v>
      </c>
      <c r="B66" s="738"/>
      <c r="C66" s="711"/>
      <c r="D66" s="739"/>
      <c r="E66" s="711"/>
      <c r="F66" s="711"/>
      <c r="G66" s="711"/>
      <c r="H66" s="711"/>
      <c r="I66" s="711"/>
      <c r="J66" s="711"/>
      <c r="K66" s="711"/>
      <c r="L66" s="711"/>
      <c r="M66" s="711"/>
      <c r="N66" s="711"/>
      <c r="O66" s="711"/>
      <c r="P66" s="740"/>
      <c r="Q66" s="740"/>
      <c r="R66" s="740"/>
    </row>
    <row r="67" spans="1:18">
      <c r="A67" s="1095"/>
      <c r="B67" s="1095"/>
      <c r="C67" s="1095"/>
      <c r="D67" s="1095"/>
      <c r="E67" s="1095"/>
      <c r="F67" s="1095"/>
      <c r="G67" s="1095"/>
      <c r="H67" s="1095"/>
      <c r="I67" s="1095"/>
      <c r="J67" s="1095"/>
      <c r="K67" s="1095"/>
      <c r="L67" s="1095"/>
      <c r="M67" s="1095"/>
      <c r="N67" s="1095"/>
      <c r="O67" s="1095"/>
      <c r="P67" s="1095"/>
      <c r="Q67" s="1095"/>
      <c r="R67" s="741"/>
    </row>
    <row r="68" spans="1:18" ht="16.5" customHeight="1" thickBot="1">
      <c r="A68" s="714"/>
      <c r="B68" s="714"/>
      <c r="C68" s="715"/>
      <c r="D68" s="715"/>
      <c r="E68" s="715"/>
      <c r="F68" s="715"/>
      <c r="G68" s="715"/>
      <c r="H68" s="715"/>
      <c r="I68" s="715"/>
      <c r="J68" s="715"/>
      <c r="K68" s="715"/>
      <c r="L68" s="715"/>
      <c r="M68" s="715"/>
      <c r="N68" s="715"/>
      <c r="O68" s="715"/>
      <c r="P68" s="715"/>
      <c r="Q68" s="715"/>
      <c r="R68" s="715"/>
    </row>
    <row r="69" spans="1:18" ht="48.75" customHeight="1" thickTop="1" thickBot="1">
      <c r="A69" s="1108" t="s">
        <v>241</v>
      </c>
      <c r="B69" s="1111" t="s">
        <v>351</v>
      </c>
      <c r="C69" s="1112"/>
      <c r="D69" s="1115" t="s">
        <v>352</v>
      </c>
      <c r="E69" s="1116"/>
      <c r="F69" s="1116"/>
      <c r="G69" s="1116"/>
      <c r="H69" s="1116"/>
      <c r="I69" s="1116"/>
      <c r="J69" s="1116"/>
      <c r="K69" s="1116"/>
      <c r="L69" s="1116"/>
      <c r="M69" s="1116"/>
      <c r="N69" s="1116"/>
      <c r="O69" s="1117"/>
      <c r="P69" s="1012" t="s">
        <v>664</v>
      </c>
      <c r="Q69" s="1118" t="s">
        <v>663</v>
      </c>
      <c r="R69" s="1119"/>
    </row>
    <row r="70" spans="1:18" ht="61.5" thickTop="1" thickBot="1">
      <c r="A70" s="1110"/>
      <c r="B70" s="1113"/>
      <c r="C70" s="1114"/>
      <c r="D70" s="1120" t="s">
        <v>197</v>
      </c>
      <c r="E70" s="1121"/>
      <c r="F70" s="1121"/>
      <c r="G70" s="1121"/>
      <c r="H70" s="1122"/>
      <c r="I70" s="992" t="s">
        <v>246</v>
      </c>
      <c r="J70" s="992" t="s">
        <v>234</v>
      </c>
      <c r="K70" s="992" t="s">
        <v>209</v>
      </c>
      <c r="L70" s="992" t="s">
        <v>210</v>
      </c>
      <c r="M70" s="742" t="s">
        <v>245</v>
      </c>
      <c r="N70" s="992" t="s">
        <v>247</v>
      </c>
      <c r="O70" s="994" t="s">
        <v>127</v>
      </c>
      <c r="P70" s="1013"/>
      <c r="Q70" s="852"/>
      <c r="R70" s="853"/>
    </row>
    <row r="71" spans="1:18" ht="95.25" customHeight="1" thickTop="1" thickBot="1">
      <c r="A71" s="1109"/>
      <c r="B71" s="997" t="s">
        <v>662</v>
      </c>
      <c r="C71" s="997" t="s">
        <v>874</v>
      </c>
      <c r="D71" s="1014" t="s">
        <v>199</v>
      </c>
      <c r="E71" s="1015" t="s">
        <v>200</v>
      </c>
      <c r="F71" s="992" t="s">
        <v>201</v>
      </c>
      <c r="G71" s="989" t="s">
        <v>203</v>
      </c>
      <c r="H71" s="1016" t="s">
        <v>204</v>
      </c>
      <c r="I71" s="993"/>
      <c r="J71" s="993"/>
      <c r="K71" s="993"/>
      <c r="L71" s="993"/>
      <c r="M71" s="990"/>
      <c r="N71" s="993"/>
      <c r="O71" s="998"/>
      <c r="P71" s="1017"/>
      <c r="Q71" s="1000" t="s">
        <v>665</v>
      </c>
      <c r="R71" s="998" t="s">
        <v>666</v>
      </c>
    </row>
    <row r="72" spans="1:18" ht="15.75" thickTop="1">
      <c r="A72" s="743" t="s">
        <v>249</v>
      </c>
      <c r="B72" s="839">
        <f>'lokale energieproductie'!B4</f>
        <v>0</v>
      </c>
      <c r="C72" s="1144"/>
      <c r="D72" s="1144"/>
      <c r="E72" s="1145"/>
      <c r="F72" s="1145"/>
      <c r="G72" s="1135"/>
      <c r="H72" s="1138"/>
      <c r="I72" s="1141"/>
      <c r="J72" s="995"/>
      <c r="K72" s="1123"/>
      <c r="L72" s="1123"/>
      <c r="M72" s="1123"/>
      <c r="N72" s="1123"/>
      <c r="O72" s="1126"/>
      <c r="P72" s="847">
        <v>0</v>
      </c>
      <c r="Q72" s="1018"/>
      <c r="R72" s="847">
        <v>0</v>
      </c>
    </row>
    <row r="73" spans="1:18" ht="15">
      <c r="A73" s="744" t="s">
        <v>250</v>
      </c>
      <c r="B73" s="743">
        <f>'lokale energieproductie'!B5</f>
        <v>0</v>
      </c>
      <c r="C73" s="1142"/>
      <c r="D73" s="1142"/>
      <c r="E73" s="1124"/>
      <c r="F73" s="1124"/>
      <c r="G73" s="1136"/>
      <c r="H73" s="1139"/>
      <c r="I73" s="1142"/>
      <c r="J73" s="996"/>
      <c r="K73" s="1124"/>
      <c r="L73" s="1124"/>
      <c r="M73" s="1124"/>
      <c r="N73" s="1124"/>
      <c r="O73" s="1127"/>
      <c r="P73" s="848">
        <v>0</v>
      </c>
      <c r="Q73" s="854"/>
      <c r="R73" s="848">
        <v>0</v>
      </c>
    </row>
    <row r="74" spans="1:18" ht="15">
      <c r="A74" s="744" t="s">
        <v>251</v>
      </c>
      <c r="B74" s="743">
        <f>'lokale energieproductie'!B6</f>
        <v>3303.4666999999999</v>
      </c>
      <c r="C74" s="1142"/>
      <c r="D74" s="1142"/>
      <c r="E74" s="1124"/>
      <c r="F74" s="1124"/>
      <c r="G74" s="1136"/>
      <c r="H74" s="1139"/>
      <c r="I74" s="1142"/>
      <c r="J74" s="996"/>
      <c r="K74" s="1124"/>
      <c r="L74" s="1124"/>
      <c r="M74" s="1124"/>
      <c r="N74" s="1124"/>
      <c r="O74" s="1127"/>
      <c r="P74" s="848">
        <v>0</v>
      </c>
      <c r="Q74" s="854"/>
      <c r="R74" s="848">
        <v>0</v>
      </c>
    </row>
    <row r="75" spans="1:18" ht="15.75" thickBot="1">
      <c r="A75" s="744" t="s">
        <v>875</v>
      </c>
      <c r="B75" s="743">
        <f>'lokale energieproductie'!B7</f>
        <v>0</v>
      </c>
      <c r="C75" s="1143"/>
      <c r="D75" s="1143"/>
      <c r="E75" s="1125"/>
      <c r="F75" s="1125"/>
      <c r="G75" s="1137"/>
      <c r="H75" s="1140"/>
      <c r="I75" s="1143"/>
      <c r="J75" s="1019"/>
      <c r="K75" s="1125"/>
      <c r="L75" s="1125"/>
      <c r="M75" s="1125"/>
      <c r="N75" s="1125"/>
      <c r="O75" s="1128"/>
      <c r="P75" s="848">
        <v>0</v>
      </c>
      <c r="Q75" s="1020"/>
      <c r="R75" s="848">
        <v>0</v>
      </c>
    </row>
    <row r="76" spans="1:18" ht="15">
      <c r="A76" s="745" t="s">
        <v>252</v>
      </c>
      <c r="B76" s="743">
        <f>'lokale energieproductie'!B8*IFERROR(SUM(I76:O76)/SUM(D76:O76),0)</f>
        <v>0</v>
      </c>
      <c r="C76" s="743">
        <f>'lokale energieproductie'!B8*IFERROR(SUM(D76:H76)/SUM(D76:O76),0)</f>
        <v>0</v>
      </c>
      <c r="D76" s="1021">
        <f>'lokale energieproductie'!C8</f>
        <v>0</v>
      </c>
      <c r="E76" s="1022">
        <f>'lokale energieproductie'!D8</f>
        <v>0</v>
      </c>
      <c r="F76" s="1022">
        <f>'lokale energieproductie'!E8</f>
        <v>0</v>
      </c>
      <c r="G76" s="1022">
        <f>'lokale energieproductie'!F8</f>
        <v>0</v>
      </c>
      <c r="H76" s="1022">
        <f>'lokale energieproductie'!G8</f>
        <v>0</v>
      </c>
      <c r="I76" s="1022">
        <f>'lokale energieproductie'!I8</f>
        <v>0</v>
      </c>
      <c r="J76" s="1022">
        <f>'lokale energieproductie'!J8</f>
        <v>0</v>
      </c>
      <c r="K76" s="1022">
        <f>'lokale energieproductie'!M8</f>
        <v>0</v>
      </c>
      <c r="L76" s="1022">
        <f>'lokale energieproductie'!N8</f>
        <v>0</v>
      </c>
      <c r="M76" s="1022">
        <f>'lokale energieproductie'!H8</f>
        <v>0</v>
      </c>
      <c r="N76" s="1022">
        <f>'lokale energieproductie'!K8</f>
        <v>0</v>
      </c>
      <c r="O76" s="1023">
        <f>'lokale energieproductie'!L8</f>
        <v>0</v>
      </c>
      <c r="P76" s="1024"/>
      <c r="Q76" s="849">
        <f>D76*EF_CO2_aardgas+E76*EF_VLgas_CO2+'SEAP template'!F76*EF_stookolie_CO2+EF_bruinkool_CO2*'SEAP template'!G76+'SEAP template'!H76*EF_steenkool_CO2+'EF brandstof'!M4*'SEAP template'!M76+'SEAP template'!O76*EF_anderfossiel_CO2</f>
        <v>0</v>
      </c>
      <c r="R76" s="848">
        <v>0</v>
      </c>
    </row>
    <row r="77" spans="1:18" ht="30.75" thickBot="1">
      <c r="A77" s="746" t="s">
        <v>353</v>
      </c>
      <c r="B77" s="743">
        <f>'lokale energieproductie'!B9*IFERROR(SUM(I77:O77)/SUM(D77:O77),0)</f>
        <v>0</v>
      </c>
      <c r="C77" s="743">
        <f>'lokale energieproductie'!B9*IFERROR(SUM(D77:H77)/SUM(D77:O77),0)</f>
        <v>0</v>
      </c>
      <c r="D77" s="768">
        <f>'lokale energieproductie'!C9</f>
        <v>0</v>
      </c>
      <c r="E77" s="769">
        <f>'lokale energieproductie'!D9</f>
        <v>0</v>
      </c>
      <c r="F77" s="769">
        <f>'lokale energieproductie'!E9</f>
        <v>0</v>
      </c>
      <c r="G77" s="769">
        <f>'lokale energieproductie'!F9</f>
        <v>0</v>
      </c>
      <c r="H77" s="769">
        <f>'lokale energieproductie'!G9</f>
        <v>0</v>
      </c>
      <c r="I77" s="1022">
        <f>'lokale energieproductie'!I9</f>
        <v>0</v>
      </c>
      <c r="J77" s="1022">
        <f>'lokale energieproductie'!J9</f>
        <v>0</v>
      </c>
      <c r="K77" s="1022">
        <f>'lokale energieproductie'!M9</f>
        <v>0</v>
      </c>
      <c r="L77" s="1022">
        <f>'lokale energieproductie'!N9</f>
        <v>0</v>
      </c>
      <c r="M77" s="1022">
        <f>'lokale energieproductie'!H9</f>
        <v>0</v>
      </c>
      <c r="N77" s="1022">
        <f>'lokale energieproductie'!K9</f>
        <v>0</v>
      </c>
      <c r="O77" s="1023">
        <f>'lokale energieproductie'!L9</f>
        <v>0</v>
      </c>
      <c r="P77" s="841"/>
      <c r="Q77" s="849">
        <f>D77*EF_CO2_aardgas+E77*EF_VLgas_CO2+'SEAP template'!F77*EF_stookolie_CO2+EF_bruinkool_CO2*'SEAP template'!G77+'SEAP template'!H77*EF_steenkool_CO2+'EF brandstof'!M4*'SEAP template'!M77+'SEAP template'!O77*EF_anderfossiel_CO2</f>
        <v>0</v>
      </c>
      <c r="R77" s="851">
        <v>0</v>
      </c>
    </row>
    <row r="78" spans="1:18" ht="16.5" thickTop="1" thickBot="1">
      <c r="A78" s="747" t="s">
        <v>116</v>
      </c>
      <c r="B78" s="748">
        <f>SUM(B72:B77)</f>
        <v>3303.4666999999999</v>
      </c>
      <c r="C78" s="748">
        <f>SUM(C72:C77)</f>
        <v>0</v>
      </c>
      <c r="D78" s="749">
        <f t="shared" ref="D78:H78" si="10">SUM(D76:D77)</f>
        <v>0</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6">
        <f>SUM(O76:O77)</f>
        <v>0</v>
      </c>
      <c r="P78" s="750">
        <v>0</v>
      </c>
      <c r="Q78" s="750">
        <f>SUM(Q76:Q77)</f>
        <v>0</v>
      </c>
      <c r="R78" s="750">
        <f>SUM(R72:R77)</f>
        <v>0</v>
      </c>
    </row>
    <row r="79" spans="1:18" ht="15.75" thickTop="1">
      <c r="A79" s="751"/>
      <c r="B79" s="803"/>
      <c r="C79" s="752"/>
      <c r="D79" s="752"/>
      <c r="E79" s="712"/>
      <c r="F79" s="711"/>
      <c r="G79" s="711"/>
      <c r="H79" s="711"/>
      <c r="I79" s="753"/>
      <c r="J79" s="711"/>
      <c r="K79" s="711"/>
      <c r="L79" s="711"/>
      <c r="M79" s="711"/>
      <c r="N79" s="754"/>
      <c r="O79" s="711"/>
      <c r="P79" s="711"/>
      <c r="Q79" s="711"/>
      <c r="R79" s="711"/>
    </row>
    <row r="80" spans="1:18" ht="15">
      <c r="A80" s="999"/>
      <c r="B80" s="999"/>
      <c r="C80" s="752"/>
      <c r="D80" s="752"/>
      <c r="E80" s="711"/>
      <c r="F80" s="711"/>
      <c r="G80" s="711"/>
      <c r="H80" s="711"/>
      <c r="I80" s="711"/>
      <c r="J80" s="711"/>
      <c r="K80" s="711"/>
      <c r="L80" s="711"/>
      <c r="M80" s="711"/>
      <c r="N80" s="711"/>
      <c r="O80" s="711"/>
      <c r="P80" s="711"/>
      <c r="Q80" s="711"/>
      <c r="R80" s="711"/>
    </row>
    <row r="81" spans="1:19" ht="18.75">
      <c r="A81" s="755" t="s">
        <v>354</v>
      </c>
      <c r="B81" s="755"/>
      <c r="C81" s="756"/>
      <c r="D81" s="739"/>
      <c r="E81" s="711"/>
      <c r="F81" s="711"/>
      <c r="G81" s="711"/>
      <c r="H81" s="711"/>
      <c r="I81" s="711"/>
      <c r="J81" s="711"/>
      <c r="K81" s="711"/>
      <c r="L81" s="711"/>
      <c r="M81" s="711"/>
      <c r="N81" s="711"/>
      <c r="O81" s="711"/>
      <c r="P81" s="711"/>
      <c r="Q81" s="711"/>
      <c r="R81" s="711"/>
    </row>
    <row r="82" spans="1:19">
      <c r="A82" s="1095"/>
      <c r="B82" s="1095"/>
      <c r="C82" s="1095"/>
      <c r="D82" s="1095"/>
      <c r="E82" s="1095"/>
      <c r="F82" s="1095"/>
      <c r="G82" s="1095"/>
      <c r="H82" s="1095"/>
      <c r="I82" s="1095"/>
      <c r="J82" s="1095"/>
      <c r="K82" s="1095"/>
      <c r="L82" s="1095"/>
      <c r="M82" s="1095"/>
      <c r="N82" s="1095"/>
      <c r="O82" s="1095"/>
      <c r="P82" s="1095"/>
      <c r="Q82" s="741"/>
      <c r="R82" s="741"/>
    </row>
    <row r="83" spans="1:19" ht="15.75" thickBot="1">
      <c r="A83" s="714"/>
      <c r="B83" s="714"/>
      <c r="C83" s="715"/>
      <c r="D83" s="715"/>
      <c r="E83" s="715"/>
      <c r="F83" s="715"/>
      <c r="G83" s="715"/>
      <c r="H83" s="715"/>
      <c r="I83" s="715"/>
      <c r="J83" s="715"/>
      <c r="K83" s="715"/>
      <c r="L83" s="715"/>
      <c r="M83" s="715"/>
      <c r="N83" s="715"/>
      <c r="O83" s="715"/>
      <c r="P83" s="715"/>
      <c r="Q83" s="715"/>
      <c r="R83" s="715"/>
    </row>
    <row r="84" spans="1:19" ht="48.2" customHeight="1" thickTop="1" thickBot="1">
      <c r="A84" s="1108" t="s">
        <v>253</v>
      </c>
      <c r="B84" s="1111" t="s">
        <v>355</v>
      </c>
      <c r="C84" s="1129"/>
      <c r="D84" s="1132" t="s">
        <v>356</v>
      </c>
      <c r="E84" s="1133"/>
      <c r="F84" s="1133"/>
      <c r="G84" s="1133"/>
      <c r="H84" s="1133"/>
      <c r="I84" s="1133"/>
      <c r="J84" s="1133"/>
      <c r="K84" s="1133"/>
      <c r="L84" s="1133"/>
      <c r="M84" s="1133"/>
      <c r="N84" s="1133"/>
      <c r="O84" s="1134"/>
      <c r="P84" s="1012" t="s">
        <v>664</v>
      </c>
      <c r="Q84" s="1111" t="s">
        <v>663</v>
      </c>
      <c r="R84" s="1112"/>
    </row>
    <row r="85" spans="1:19" ht="16.5" customHeight="1" thickTop="1" thickBot="1">
      <c r="A85" s="1110"/>
      <c r="B85" s="1130"/>
      <c r="C85" s="1131"/>
      <c r="D85" s="1149" t="s">
        <v>197</v>
      </c>
      <c r="E85" s="1150"/>
      <c r="F85" s="1150"/>
      <c r="G85" s="1150"/>
      <c r="H85" s="1151"/>
      <c r="I85" s="1152" t="s">
        <v>246</v>
      </c>
      <c r="J85" s="1103" t="s">
        <v>234</v>
      </c>
      <c r="K85" s="1155" t="s">
        <v>209</v>
      </c>
      <c r="L85" s="1155" t="s">
        <v>210</v>
      </c>
      <c r="M85" s="1156" t="s">
        <v>245</v>
      </c>
      <c r="N85" s="1155" t="s">
        <v>257</v>
      </c>
      <c r="O85" s="1158" t="s">
        <v>127</v>
      </c>
      <c r="P85" s="1013"/>
      <c r="Q85" s="852"/>
      <c r="R85" s="853"/>
    </row>
    <row r="86" spans="1:19" ht="110.25" customHeight="1" thickTop="1" thickBot="1">
      <c r="A86" s="1109"/>
      <c r="B86" s="840" t="s">
        <v>662</v>
      </c>
      <c r="C86" s="840" t="s">
        <v>874</v>
      </c>
      <c r="D86" s="1000" t="s">
        <v>199</v>
      </c>
      <c r="E86" s="993" t="s">
        <v>200</v>
      </c>
      <c r="F86" s="991" t="s">
        <v>201</v>
      </c>
      <c r="G86" s="993" t="s">
        <v>203</v>
      </c>
      <c r="H86" s="757" t="s">
        <v>204</v>
      </c>
      <c r="I86" s="1153"/>
      <c r="J86" s="1154"/>
      <c r="K86" s="1104"/>
      <c r="L86" s="1104"/>
      <c r="M86" s="1157"/>
      <c r="N86" s="1104"/>
      <c r="O86" s="1159"/>
      <c r="P86" s="1017"/>
      <c r="Q86" s="1000" t="s">
        <v>665</v>
      </c>
      <c r="R86" s="998" t="s">
        <v>666</v>
      </c>
    </row>
    <row r="87" spans="1:19" ht="15.75" thickTop="1">
      <c r="A87" s="758" t="s">
        <v>252</v>
      </c>
      <c r="B87" s="759">
        <f>'lokale energieproductie'!B17*IFERROR(SUM(I87:O87)/SUM(D87:O87),0)</f>
        <v>0</v>
      </c>
      <c r="C87" s="759">
        <f>'lokale energieproductie'!B17*IFERROR(SUM(D87:H87)/SUM(D87:O87),0)</f>
        <v>0</v>
      </c>
      <c r="D87" s="770">
        <f>'lokale energieproductie'!C17</f>
        <v>0</v>
      </c>
      <c r="E87" s="770">
        <f>'lokale energieproductie'!D17</f>
        <v>0</v>
      </c>
      <c r="F87" s="770">
        <f>'lokale energieproductie'!E17</f>
        <v>0</v>
      </c>
      <c r="G87" s="770">
        <f>'lokale energieproductie'!F17</f>
        <v>0</v>
      </c>
      <c r="H87" s="770">
        <f>'lokale energieproductie'!G17</f>
        <v>0</v>
      </c>
      <c r="I87" s="770">
        <f>'lokale energieproductie'!I17</f>
        <v>0</v>
      </c>
      <c r="J87" s="770">
        <f>'lokale energieproductie'!J17</f>
        <v>0</v>
      </c>
      <c r="K87" s="770">
        <f>'lokale energieproductie'!M17</f>
        <v>0</v>
      </c>
      <c r="L87" s="770">
        <f>'lokale energieproductie'!N17</f>
        <v>0</v>
      </c>
      <c r="M87" s="770">
        <f>'lokale energieproductie'!H17</f>
        <v>0</v>
      </c>
      <c r="N87" s="770">
        <f>'lokale energieproductie'!K17</f>
        <v>0</v>
      </c>
      <c r="O87" s="770">
        <f>'lokale energieproductie'!L17</f>
        <v>0</v>
      </c>
      <c r="P87" s="1146"/>
      <c r="Q87" s="855">
        <f>D87*EF_CO2_aardgas+E87*EF_VLgas_CO2+'SEAP template'!F87*EF_stookolie_CO2+EF_bruinkool_CO2*'SEAP template'!G87+'SEAP template'!H87*EF_steenkool_CO2+'EF brandstof'!M4*'SEAP template'!M87+'SEAP template'!O87*EF_anderfossiel_CO2</f>
        <v>0</v>
      </c>
      <c r="R87" s="842">
        <v>0</v>
      </c>
    </row>
    <row r="88" spans="1:19" ht="15">
      <c r="A88" s="760" t="s">
        <v>258</v>
      </c>
      <c r="B88" s="759">
        <f>'lokale energieproductie'!B18*IFERROR(SUM(I88:O88)/SUM(D88:O88),0)</f>
        <v>0</v>
      </c>
      <c r="C88" s="759">
        <f>'lokale energieproductie'!B18*IFERROR(SUM(D88:H88)/SUM(D88:O88),0)</f>
        <v>0</v>
      </c>
      <c r="D88" s="770">
        <f>'lokale energieproductie'!C18</f>
        <v>0</v>
      </c>
      <c r="E88" s="770">
        <f>'lokale energieproductie'!D18</f>
        <v>0</v>
      </c>
      <c r="F88" s="770">
        <f>'lokale energieproductie'!E18</f>
        <v>0</v>
      </c>
      <c r="G88" s="770">
        <f>'lokale energieproductie'!F18</f>
        <v>0</v>
      </c>
      <c r="H88" s="770">
        <f>'lokale energieproductie'!G18</f>
        <v>0</v>
      </c>
      <c r="I88" s="770">
        <f>'lokale energieproductie'!I18</f>
        <v>0</v>
      </c>
      <c r="J88" s="770">
        <f>'lokale energieproductie'!J18</f>
        <v>0</v>
      </c>
      <c r="K88" s="770">
        <f>'lokale energieproductie'!M18</f>
        <v>0</v>
      </c>
      <c r="L88" s="770">
        <f>'lokale energieproductie'!N18</f>
        <v>0</v>
      </c>
      <c r="M88" s="770">
        <f>'lokale energieproductie'!H18</f>
        <v>0</v>
      </c>
      <c r="N88" s="770">
        <f>'lokale energieproductie'!K18</f>
        <v>0</v>
      </c>
      <c r="O88" s="770">
        <f>'lokale energieproductie'!L18</f>
        <v>0</v>
      </c>
      <c r="P88" s="1147"/>
      <c r="Q88" s="849">
        <f>D88*EF_CO2_aardgas+E88*EF_VLgas_CO2+'SEAP template'!F88*EF_stookolie_CO2+EF_bruinkool_CO2*'SEAP template'!G88+'SEAP template'!H88*EF_steenkool_CO2+'EF brandstof'!M4*'SEAP template'!M88+'SEAP template'!O88*EF_anderfossiel_CO2</f>
        <v>0</v>
      </c>
      <c r="R88" s="843">
        <v>0</v>
      </c>
    </row>
    <row r="89" spans="1:19" ht="30" thickBot="1">
      <c r="A89" s="746" t="s">
        <v>353</v>
      </c>
      <c r="B89" s="759">
        <f>'lokale energieproductie'!B19*IFERROR(SUM(I89:O89)/SUM(D89:O89),0)</f>
        <v>0</v>
      </c>
      <c r="C89" s="759">
        <f>'lokale energieproductie'!B19*IFERROR(SUM(D89:H89)/SUM(D89:O89),0)</f>
        <v>0</v>
      </c>
      <c r="D89" s="770">
        <f>'lokale energieproductie'!C19</f>
        <v>0</v>
      </c>
      <c r="E89" s="770">
        <f>'lokale energieproductie'!D19</f>
        <v>0</v>
      </c>
      <c r="F89" s="770">
        <f>'lokale energieproductie'!E19</f>
        <v>0</v>
      </c>
      <c r="G89" s="770">
        <f>'lokale energieproductie'!F19</f>
        <v>0</v>
      </c>
      <c r="H89" s="770">
        <f>'lokale energieproductie'!G19</f>
        <v>0</v>
      </c>
      <c r="I89" s="770">
        <f>'lokale energieproductie'!I19</f>
        <v>0</v>
      </c>
      <c r="J89" s="770">
        <f>'lokale energieproductie'!J19</f>
        <v>0</v>
      </c>
      <c r="K89" s="770">
        <f>'lokale energieproductie'!M19</f>
        <v>0</v>
      </c>
      <c r="L89" s="770">
        <f>'lokale energieproductie'!N19</f>
        <v>0</v>
      </c>
      <c r="M89" s="770">
        <f>'lokale energieproductie'!H19</f>
        <v>0</v>
      </c>
      <c r="N89" s="770">
        <f>'lokale energieproductie'!K19</f>
        <v>0</v>
      </c>
      <c r="O89" s="770">
        <f>'lokale energieproductie'!L19</f>
        <v>0</v>
      </c>
      <c r="P89" s="1148"/>
      <c r="Q89" s="850">
        <f>D89*EF_CO2_aardgas+E89*EF_VLgas_CO2+'SEAP template'!F89*EF_stookolie_CO2+EF_bruinkool_CO2*'SEAP template'!G89+'SEAP template'!H89*EF_steenkool_CO2+'EF brandstof'!M4*'SEAP template'!M89+'SEAP template'!O89*EF_anderfossiel_CO2</f>
        <v>0</v>
      </c>
      <c r="R89" s="844">
        <v>0</v>
      </c>
    </row>
    <row r="90" spans="1:19" ht="16.5" thickTop="1" thickBot="1">
      <c r="A90" s="761" t="s">
        <v>116</v>
      </c>
      <c r="B90" s="748">
        <f>SUM(B87:B89)</f>
        <v>0</v>
      </c>
      <c r="C90" s="748">
        <f>SUM(C87:C89)</f>
        <v>0</v>
      </c>
      <c r="D90" s="748">
        <f t="shared" ref="D90:H90" si="12">SUM(D87:D89)</f>
        <v>0</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0</v>
      </c>
      <c r="R90" s="856">
        <f>SUM(R87:R89)</f>
        <v>0</v>
      </c>
    </row>
    <row r="91" spans="1:19" ht="15.75" thickTop="1">
      <c r="A91" s="762"/>
      <c r="B91" s="762"/>
      <c r="C91" s="763"/>
      <c r="D91" s="764"/>
      <c r="E91" s="765"/>
      <c r="F91" s="753"/>
      <c r="G91" s="753"/>
      <c r="H91" s="753"/>
      <c r="I91" s="753"/>
      <c r="J91" s="753"/>
      <c r="K91" s="753"/>
      <c r="L91" s="753"/>
      <c r="M91" s="711"/>
      <c r="Q91" s="753"/>
      <c r="R91" s="711"/>
      <c r="S91" s="740"/>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10" zoomScale="65" zoomScaleNormal="65" workbookViewId="0">
      <selection activeCell="B63" sqref="B63:Z63"/>
    </sheetView>
  </sheetViews>
  <sheetFormatPr defaultColWidth="9.140625" defaultRowHeight="15"/>
  <cols>
    <col min="1" max="1" width="38" style="619" customWidth="1"/>
    <col min="2" max="2" width="27" style="619" customWidth="1"/>
    <col min="3" max="3" width="25.42578125" style="619" customWidth="1"/>
    <col min="4" max="4" width="41.28515625" style="619" customWidth="1"/>
    <col min="5" max="5" width="27.5703125" style="619" customWidth="1"/>
    <col min="6" max="7" width="18" style="619" customWidth="1"/>
    <col min="8" max="8" width="23.42578125" style="619" customWidth="1"/>
    <col min="9" max="9" width="28.5703125" style="619" customWidth="1"/>
    <col min="10" max="10" width="35.28515625" style="619" customWidth="1"/>
    <col min="11" max="11" width="32.7109375" style="619" customWidth="1"/>
    <col min="12" max="14" width="23.85546875" style="619" customWidth="1"/>
    <col min="15" max="15" width="21.140625" style="619" customWidth="1"/>
    <col min="16" max="16" width="17.5703125" style="619" customWidth="1"/>
    <col min="17" max="17" width="22.85546875" style="619" customWidth="1"/>
    <col min="18" max="18" width="19.140625" style="619" customWidth="1"/>
    <col min="19" max="19" width="24.7109375" style="619" customWidth="1"/>
    <col min="20" max="20" width="9.140625" style="619"/>
    <col min="21" max="21" width="21.140625" style="619" customWidth="1"/>
    <col min="22" max="22" width="14.85546875" style="619" customWidth="1"/>
    <col min="23" max="23" width="16.140625" style="619" customWidth="1"/>
    <col min="24" max="24" width="14.7109375" style="619" customWidth="1"/>
    <col min="25" max="26" width="16.140625" style="619" customWidth="1"/>
    <col min="27" max="27" width="17.28515625" style="619" customWidth="1"/>
    <col min="28" max="28" width="16.85546875" style="619" customWidth="1"/>
    <col min="29" max="16384" width="9.140625" style="619"/>
  </cols>
  <sheetData>
    <row r="1" spans="1:21" s="548" customFormat="1" ht="17.45" customHeight="1" thickTop="1" thickBot="1">
      <c r="A1" s="1223" t="s">
        <v>241</v>
      </c>
      <c r="B1" s="1226" t="s">
        <v>242</v>
      </c>
      <c r="C1" s="1235" t="s">
        <v>243</v>
      </c>
      <c r="D1" s="1236"/>
      <c r="E1" s="1236"/>
      <c r="F1" s="1236"/>
      <c r="G1" s="1236"/>
      <c r="H1" s="1236"/>
      <c r="I1" s="1236"/>
      <c r="J1" s="1236"/>
      <c r="K1" s="1236"/>
      <c r="L1" s="1236"/>
      <c r="M1" s="1236"/>
      <c r="N1" s="1237"/>
      <c r="O1" s="1238" t="s">
        <v>244</v>
      </c>
      <c r="P1" s="1226" t="s">
        <v>560</v>
      </c>
      <c r="Q1" s="1238"/>
      <c r="S1" s="1244"/>
      <c r="T1" s="1244"/>
      <c r="U1" s="1244"/>
    </row>
    <row r="2" spans="1:21" s="548" customFormat="1" ht="15.75" thickBot="1">
      <c r="A2" s="1224"/>
      <c r="B2" s="1224"/>
      <c r="C2" s="1228" t="s">
        <v>197</v>
      </c>
      <c r="D2" s="1229"/>
      <c r="E2" s="1229"/>
      <c r="F2" s="1229"/>
      <c r="G2" s="1230"/>
      <c r="H2" s="1231" t="s">
        <v>245</v>
      </c>
      <c r="I2" s="1233" t="s">
        <v>246</v>
      </c>
      <c r="J2" s="1233" t="s">
        <v>234</v>
      </c>
      <c r="K2" s="1233" t="s">
        <v>247</v>
      </c>
      <c r="L2" s="1233" t="s">
        <v>127</v>
      </c>
      <c r="M2" s="1233" t="s">
        <v>876</v>
      </c>
      <c r="N2" s="1247" t="s">
        <v>877</v>
      </c>
      <c r="O2" s="1239"/>
      <c r="P2" s="1241"/>
      <c r="Q2" s="1239"/>
      <c r="S2" s="1244"/>
      <c r="T2" s="1244"/>
      <c r="U2" s="1244"/>
    </row>
    <row r="3" spans="1:21" s="548" customFormat="1" ht="53.45" customHeight="1" thickBot="1">
      <c r="A3" s="1225"/>
      <c r="B3" s="1227"/>
      <c r="C3" s="549" t="s">
        <v>199</v>
      </c>
      <c r="D3" s="1039" t="s">
        <v>200</v>
      </c>
      <c r="E3" s="550" t="s">
        <v>201</v>
      </c>
      <c r="F3" s="551" t="s">
        <v>203</v>
      </c>
      <c r="G3" s="552" t="s">
        <v>204</v>
      </c>
      <c r="H3" s="1232"/>
      <c r="I3" s="1234"/>
      <c r="J3" s="1234"/>
      <c r="K3" s="1234"/>
      <c r="L3" s="1234"/>
      <c r="M3" s="1234"/>
      <c r="N3" s="1248"/>
      <c r="O3" s="1240"/>
      <c r="P3" s="1227"/>
      <c r="Q3" s="1240"/>
      <c r="S3" s="1244"/>
      <c r="T3" s="1244"/>
      <c r="U3" s="1244"/>
    </row>
    <row r="4" spans="1:21" s="548" customFormat="1" ht="15.75" thickTop="1">
      <c r="A4" s="553" t="s">
        <v>249</v>
      </c>
      <c r="B4" s="554">
        <f>IF(ISERROR(kWh_wind_land),0,kWh_wind_land)</f>
        <v>0</v>
      </c>
      <c r="C4" s="1249"/>
      <c r="D4" s="1252"/>
      <c r="E4" s="1252"/>
      <c r="F4" s="1255"/>
      <c r="G4" s="1258"/>
      <c r="H4" s="1261"/>
      <c r="I4" s="1252"/>
      <c r="J4" s="1252"/>
      <c r="K4" s="1252"/>
      <c r="L4" s="1252"/>
      <c r="M4" s="1252"/>
      <c r="N4" s="1026"/>
      <c r="O4" s="555"/>
      <c r="P4" s="1264"/>
      <c r="Q4" s="1265"/>
      <c r="S4" s="1040"/>
      <c r="T4" s="1266"/>
      <c r="U4" s="1266"/>
    </row>
    <row r="5" spans="1:21" s="548" customFormat="1">
      <c r="A5" s="556" t="s">
        <v>250</v>
      </c>
      <c r="B5" s="554">
        <f>IF(ISERROR(kWh_waterkracht),0,kWh_waterkracht)</f>
        <v>0</v>
      </c>
      <c r="C5" s="1250"/>
      <c r="D5" s="1253"/>
      <c r="E5" s="1253"/>
      <c r="F5" s="1256"/>
      <c r="G5" s="1259"/>
      <c r="H5" s="1262"/>
      <c r="I5" s="1253"/>
      <c r="J5" s="1253"/>
      <c r="K5" s="1253"/>
      <c r="L5" s="1253"/>
      <c r="M5" s="1253"/>
      <c r="N5" s="1026"/>
      <c r="O5" s="557"/>
      <c r="P5" s="1245"/>
      <c r="Q5" s="1246"/>
      <c r="S5" s="1040"/>
      <c r="T5" s="1266"/>
      <c r="U5" s="1266"/>
    </row>
    <row r="6" spans="1:21" s="548" customFormat="1">
      <c r="A6" s="556" t="s">
        <v>251</v>
      </c>
      <c r="B6" s="554">
        <f>IF(ISERROR((kWh_PV_kleiner_dan_10kW+kWh_PV_groter_dan_10kW)),0,(kWh_PV_kleiner_dan_10kW+kWh_PV_groter_dan_10kW))</f>
        <v>3303.4666999999999</v>
      </c>
      <c r="C6" s="1250"/>
      <c r="D6" s="1253"/>
      <c r="E6" s="1253"/>
      <c r="F6" s="1256"/>
      <c r="G6" s="1259"/>
      <c r="H6" s="1262"/>
      <c r="I6" s="1253"/>
      <c r="J6" s="1253"/>
      <c r="K6" s="1253"/>
      <c r="L6" s="1253"/>
      <c r="M6" s="1253"/>
      <c r="N6" s="1026"/>
      <c r="O6" s="557"/>
      <c r="P6" s="1245"/>
      <c r="Q6" s="1246"/>
      <c r="S6" s="1040"/>
      <c r="T6" s="1266"/>
      <c r="U6" s="1266"/>
    </row>
    <row r="7" spans="1:21" s="548" customFormat="1">
      <c r="A7" s="556" t="s">
        <v>875</v>
      </c>
      <c r="B7" s="554"/>
      <c r="C7" s="1251"/>
      <c r="D7" s="1254"/>
      <c r="E7" s="1254"/>
      <c r="F7" s="1257"/>
      <c r="G7" s="1260"/>
      <c r="H7" s="1263"/>
      <c r="I7" s="1254"/>
      <c r="J7" s="1254"/>
      <c r="K7" s="1254"/>
      <c r="L7" s="1254"/>
      <c r="M7" s="1254"/>
      <c r="N7" s="1027"/>
      <c r="O7" s="557"/>
      <c r="P7" s="1037"/>
      <c r="Q7" s="1038"/>
      <c r="S7" s="1040"/>
      <c r="T7" s="1040"/>
      <c r="U7" s="1040"/>
    </row>
    <row r="8" spans="1:21" s="548" customFormat="1">
      <c r="A8" s="558" t="s">
        <v>252</v>
      </c>
      <c r="B8" s="559">
        <f>N58</f>
        <v>0</v>
      </c>
      <c r="C8" s="560">
        <f>B101</f>
        <v>0</v>
      </c>
      <c r="D8" s="1028"/>
      <c r="E8" s="1028">
        <f>E101</f>
        <v>0</v>
      </c>
      <c r="F8" s="1029"/>
      <c r="G8" s="561"/>
      <c r="H8" s="1028">
        <f>I101</f>
        <v>0</v>
      </c>
      <c r="I8" s="1028">
        <f>G101+F101</f>
        <v>0</v>
      </c>
      <c r="J8" s="1028">
        <f>H101+D101+C101</f>
        <v>0</v>
      </c>
      <c r="K8" s="1028"/>
      <c r="L8" s="1028"/>
      <c r="M8" s="1028"/>
      <c r="N8" s="562"/>
      <c r="O8" s="563">
        <f>C8*$C$12+D8*$D$12+E8*$E$12+F8*$F$12+G8*$G$12+H8*$H$12+I8*$I$12+J8*$J$12</f>
        <v>0</v>
      </c>
      <c r="P8" s="1245"/>
      <c r="Q8" s="1246"/>
      <c r="S8" s="1040"/>
      <c r="T8" s="1266"/>
      <c r="U8" s="1266"/>
    </row>
    <row r="9" spans="1:21" s="548" customFormat="1" ht="17.45" customHeight="1" thickBot="1">
      <c r="A9" s="564" t="s">
        <v>248</v>
      </c>
      <c r="B9" s="565">
        <f>N89+'Eigen informatie GS &amp; warmtenet'!B12</f>
        <v>0</v>
      </c>
      <c r="C9" s="56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9"/>
      <c r="N9" s="1030"/>
      <c r="O9" s="563">
        <f>C9*$C$12+D9*$D$12+E9*$E$12+F9*$F$12+G9*$G$12+H9*$H$12+I9*$I$12+J9*$J$12</f>
        <v>0</v>
      </c>
      <c r="P9" s="1242"/>
      <c r="Q9" s="1243"/>
      <c r="R9" s="570"/>
      <c r="S9" s="1040"/>
      <c r="T9" s="1266"/>
      <c r="U9" s="1266"/>
    </row>
    <row r="10" spans="1:21" s="548" customFormat="1" ht="16.5" thickTop="1" thickBot="1">
      <c r="A10" s="571" t="s">
        <v>116</v>
      </c>
      <c r="B10" s="572">
        <f>SUM(B4:B9)</f>
        <v>3303.4666999999999</v>
      </c>
      <c r="C10" s="573">
        <f t="shared" ref="C10:L10" si="0">SUM(C8:C9)</f>
        <v>0</v>
      </c>
      <c r="D10" s="573">
        <f t="shared" si="0"/>
        <v>0</v>
      </c>
      <c r="E10" s="573">
        <f t="shared" si="0"/>
        <v>0</v>
      </c>
      <c r="F10" s="573">
        <f t="shared" si="0"/>
        <v>0</v>
      </c>
      <c r="G10" s="573">
        <f t="shared" si="0"/>
        <v>0</v>
      </c>
      <c r="H10" s="573">
        <f t="shared" si="0"/>
        <v>0</v>
      </c>
      <c r="I10" s="573">
        <f t="shared" si="0"/>
        <v>0</v>
      </c>
      <c r="J10" s="573">
        <f t="shared" si="0"/>
        <v>0</v>
      </c>
      <c r="K10" s="573">
        <f t="shared" si="0"/>
        <v>0</v>
      </c>
      <c r="L10" s="573">
        <f t="shared" si="0"/>
        <v>0</v>
      </c>
      <c r="M10" s="1031"/>
      <c r="N10" s="1031"/>
      <c r="O10" s="574">
        <f>SUM(O4:O9)</f>
        <v>0</v>
      </c>
      <c r="P10" s="575"/>
      <c r="R10" s="1041"/>
      <c r="S10" s="1040"/>
      <c r="T10" s="1041"/>
      <c r="U10" s="1041"/>
    </row>
    <row r="11" spans="1:21" s="578" customFormat="1" ht="15.75" thickTop="1">
      <c r="A11" s="576"/>
      <c r="B11" s="577"/>
      <c r="C11" s="577"/>
      <c r="D11" s="577"/>
      <c r="E11" s="577"/>
      <c r="F11" s="577"/>
      <c r="G11" s="577"/>
      <c r="H11" s="577"/>
      <c r="I11" s="577"/>
      <c r="J11" s="577"/>
      <c r="K11" s="577"/>
      <c r="L11" s="577"/>
      <c r="M11" s="577"/>
      <c r="N11" s="577"/>
      <c r="P11" s="577"/>
      <c r="R11" s="577"/>
    </row>
    <row r="12" spans="1:21" s="578" customFormat="1">
      <c r="A12" s="1032" t="s">
        <v>290</v>
      </c>
      <c r="B12" s="1033"/>
      <c r="C12" s="1033">
        <f>EF_CO2_aardgas</f>
        <v>0.20200000000000001</v>
      </c>
      <c r="D12" s="1033">
        <f>EF_VLgas_CO2</f>
        <v>0.22700000000000001</v>
      </c>
      <c r="E12" s="1033">
        <f>EF_stookolie_CO2</f>
        <v>0.26700000000000002</v>
      </c>
      <c r="F12" s="1033">
        <f>EF_bruinkool_CO2</f>
        <v>0.35099999999999998</v>
      </c>
      <c r="G12" s="1033">
        <f>EF_steenkool_CO2</f>
        <v>0.35399999999999998</v>
      </c>
      <c r="H12" s="1033">
        <f>'EF brandstof'!M4</f>
        <v>0.33</v>
      </c>
      <c r="I12" s="1033">
        <f>'EF brandstof'!J4</f>
        <v>0</v>
      </c>
      <c r="J12" s="1033">
        <f>'EF brandstof'!L4</f>
        <v>0</v>
      </c>
      <c r="K12" s="1033">
        <f>'EF brandstof'!L4</f>
        <v>0</v>
      </c>
      <c r="L12" s="1033"/>
      <c r="M12" s="1033"/>
      <c r="N12" s="1033"/>
      <c r="P12" s="579"/>
      <c r="Q12" s="579"/>
      <c r="R12" s="579"/>
    </row>
    <row r="13" spans="1:21" s="548" customFormat="1" ht="15.75" thickBot="1">
      <c r="A13" s="580"/>
      <c r="B13" s="579"/>
      <c r="C13" s="579"/>
      <c r="D13" s="579"/>
      <c r="E13" s="579"/>
      <c r="F13" s="579"/>
      <c r="G13" s="579"/>
      <c r="H13" s="579"/>
      <c r="I13" s="579"/>
      <c r="J13" s="579"/>
      <c r="K13" s="579"/>
      <c r="L13" s="579"/>
      <c r="M13" s="579"/>
      <c r="N13" s="579"/>
      <c r="O13" s="579"/>
      <c r="P13" s="579"/>
      <c r="Q13" s="579"/>
      <c r="R13" s="579"/>
    </row>
    <row r="14" spans="1:21" s="548" customFormat="1" ht="17.25" thickTop="1" thickBot="1">
      <c r="A14" s="1223" t="s">
        <v>253</v>
      </c>
      <c r="B14" s="1223" t="s">
        <v>254</v>
      </c>
      <c r="C14" s="1267" t="s">
        <v>255</v>
      </c>
      <c r="D14" s="1268"/>
      <c r="E14" s="1268"/>
      <c r="F14" s="1268"/>
      <c r="G14" s="1268"/>
      <c r="H14" s="1268"/>
      <c r="I14" s="1268"/>
      <c r="J14" s="1268"/>
      <c r="K14" s="1268"/>
      <c r="L14" s="1268"/>
      <c r="M14" s="1268"/>
      <c r="N14" s="1269"/>
      <c r="O14" s="1238" t="s">
        <v>244</v>
      </c>
      <c r="P14" s="1226" t="s">
        <v>256</v>
      </c>
      <c r="Q14" s="1238"/>
      <c r="R14" s="1244"/>
      <c r="S14" s="1244"/>
      <c r="T14" s="1244"/>
    </row>
    <row r="15" spans="1:21" s="548" customFormat="1" ht="15.75" customHeight="1" thickBot="1">
      <c r="A15" s="1224"/>
      <c r="B15" s="1224"/>
      <c r="C15" s="1270" t="s">
        <v>197</v>
      </c>
      <c r="D15" s="1271"/>
      <c r="E15" s="1271"/>
      <c r="F15" s="1271"/>
      <c r="G15" s="1272"/>
      <c r="H15" s="1273" t="s">
        <v>245</v>
      </c>
      <c r="I15" s="1273" t="s">
        <v>246</v>
      </c>
      <c r="J15" s="1273" t="s">
        <v>234</v>
      </c>
      <c r="K15" s="1273" t="s">
        <v>257</v>
      </c>
      <c r="L15" s="1273" t="s">
        <v>127</v>
      </c>
      <c r="M15" s="1273" t="s">
        <v>876</v>
      </c>
      <c r="N15" s="1247" t="s">
        <v>877</v>
      </c>
      <c r="O15" s="1239"/>
      <c r="P15" s="1241"/>
      <c r="Q15" s="1239"/>
      <c r="R15" s="1244"/>
      <c r="S15" s="1244"/>
      <c r="T15" s="1244"/>
    </row>
    <row r="16" spans="1:21" s="548" customFormat="1" ht="40.700000000000003" customHeight="1" thickBot="1">
      <c r="A16" s="1225"/>
      <c r="B16" s="1225"/>
      <c r="C16" s="581" t="s">
        <v>199</v>
      </c>
      <c r="D16" s="1039" t="s">
        <v>200</v>
      </c>
      <c r="E16" s="1002" t="s">
        <v>201</v>
      </c>
      <c r="F16" s="1039" t="s">
        <v>203</v>
      </c>
      <c r="G16" s="582" t="s">
        <v>204</v>
      </c>
      <c r="H16" s="1232"/>
      <c r="I16" s="1232"/>
      <c r="J16" s="1232"/>
      <c r="K16" s="1232"/>
      <c r="L16" s="1232"/>
      <c r="M16" s="1232"/>
      <c r="N16" s="1248"/>
      <c r="O16" s="1240"/>
      <c r="P16" s="1227"/>
      <c r="Q16" s="1240"/>
      <c r="R16" s="1244"/>
      <c r="S16" s="1244"/>
      <c r="T16" s="1244"/>
    </row>
    <row r="17" spans="1:26" s="548" customFormat="1" ht="15.75" thickTop="1">
      <c r="A17" s="583" t="s">
        <v>252</v>
      </c>
      <c r="B17" s="584">
        <f>O58</f>
        <v>0</v>
      </c>
      <c r="C17" s="585">
        <f>B102</f>
        <v>0</v>
      </c>
      <c r="D17" s="586"/>
      <c r="E17" s="586">
        <f>E102</f>
        <v>0</v>
      </c>
      <c r="F17" s="1034"/>
      <c r="G17" s="587"/>
      <c r="H17" s="585">
        <f>I102</f>
        <v>0</v>
      </c>
      <c r="I17" s="586">
        <f>G102+F102</f>
        <v>0</v>
      </c>
      <c r="J17" s="586">
        <f>H102+D102+C102</f>
        <v>0</v>
      </c>
      <c r="K17" s="586"/>
      <c r="L17" s="586"/>
      <c r="M17" s="586"/>
      <c r="N17" s="1035"/>
      <c r="O17" s="588">
        <f>C17*$C$22+E17*$E$22+H17*$H$22+I17*$I$22+J17*$J$22+D17*$D$22+F17*$F$22+G17*$G$22+K17*$K$22+L17*$L$22</f>
        <v>0</v>
      </c>
      <c r="P17" s="1282"/>
      <c r="Q17" s="1283"/>
      <c r="R17" s="1042"/>
      <c r="S17" s="1277"/>
      <c r="T17" s="1277"/>
    </row>
    <row r="18" spans="1:26" s="548" customFormat="1">
      <c r="A18" s="589" t="s">
        <v>258</v>
      </c>
      <c r="B18" s="590">
        <f>'Eigen informatie GS &amp; warmtenet'!B32</f>
        <v>0</v>
      </c>
      <c r="C18" s="1028">
        <f>'Eigen informatie GS &amp; warmtenet'!B35</f>
        <v>0</v>
      </c>
      <c r="D18" s="1028">
        <f>'Eigen informatie GS &amp; warmtenet'!B36</f>
        <v>0</v>
      </c>
      <c r="E18" s="1028">
        <f>'Eigen informatie GS &amp; warmtenet'!B37</f>
        <v>0</v>
      </c>
      <c r="F18" s="1028">
        <f>'Eigen informatie GS &amp; warmtenet'!B38</f>
        <v>0</v>
      </c>
      <c r="G18" s="1028">
        <f>'Eigen informatie GS &amp; warmtenet'!B39</f>
        <v>0</v>
      </c>
      <c r="H18" s="1028">
        <f>'Eigen informatie GS &amp; warmtenet'!B40</f>
        <v>0</v>
      </c>
      <c r="I18" s="1028">
        <f>'Eigen informatie GS &amp; warmtenet'!B41</f>
        <v>0</v>
      </c>
      <c r="J18" s="1028">
        <f>'Eigen informatie GS &amp; warmtenet'!B42</f>
        <v>0</v>
      </c>
      <c r="K18" s="1028">
        <f>'Eigen informatie GS &amp; warmtenet'!B43</f>
        <v>0</v>
      </c>
      <c r="L18" s="1028">
        <f>'Eigen informatie GS &amp; warmtenet'!B44</f>
        <v>0</v>
      </c>
      <c r="M18" s="1028">
        <f>'Eigen informatie GS &amp; warmtenet'!B45</f>
        <v>0</v>
      </c>
      <c r="N18" s="1028">
        <f>'Eigen informatie GS &amp; warmtenet'!B46</f>
        <v>0</v>
      </c>
      <c r="O18" s="588">
        <f>C18*$C$22+E18*$E$22+H18*$H$22+I18*$I$22+J18*$J$22+D18*$D$22+F18*$F$22+G18*$G$22+K18*$K$22+L18*$L$22</f>
        <v>0</v>
      </c>
      <c r="P18" s="1278"/>
      <c r="Q18" s="1279"/>
      <c r="R18" s="1040"/>
      <c r="S18" s="1266"/>
      <c r="T18" s="1266"/>
    </row>
    <row r="19" spans="1:26" s="548" customFormat="1" ht="15.75" thickBot="1">
      <c r="A19" s="564" t="s">
        <v>248</v>
      </c>
      <c r="B19" s="590">
        <f>'Eigen informatie GS &amp; warmtenet'!B11</f>
        <v>0</v>
      </c>
      <c r="C19" s="59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8">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8"/>
      <c r="N19" s="1036"/>
      <c r="O19" s="588">
        <f>C19*$C$22+E19*$E$22+H19*$H$22+I19*$I$22+J19*$J$22+D19*$D$22+F19*$F$22+G19*$G$22+K19*$K$22+L19*$L$22</f>
        <v>0</v>
      </c>
      <c r="P19" s="1280"/>
      <c r="Q19" s="1281"/>
      <c r="R19" s="1040"/>
      <c r="S19" s="1266"/>
      <c r="T19" s="1266"/>
    </row>
    <row r="20" spans="1:26" s="548" customFormat="1" ht="16.5" thickTop="1" thickBot="1">
      <c r="A20" s="571" t="s">
        <v>116</v>
      </c>
      <c r="B20" s="572">
        <f>SUM(B17:B19)</f>
        <v>0</v>
      </c>
      <c r="C20" s="572">
        <f>SUM(C17:C19)</f>
        <v>0</v>
      </c>
      <c r="D20" s="572">
        <f t="shared" ref="D20:L20" si="1">SUM(D17:D19)</f>
        <v>0</v>
      </c>
      <c r="E20" s="572">
        <f t="shared" si="1"/>
        <v>0</v>
      </c>
      <c r="F20" s="572">
        <f t="shared" si="1"/>
        <v>0</v>
      </c>
      <c r="G20" s="572">
        <f t="shared" si="1"/>
        <v>0</v>
      </c>
      <c r="H20" s="572">
        <f t="shared" si="1"/>
        <v>0</v>
      </c>
      <c r="I20" s="572">
        <f t="shared" si="1"/>
        <v>0</v>
      </c>
      <c r="J20" s="572">
        <f t="shared" si="1"/>
        <v>0</v>
      </c>
      <c r="K20" s="572">
        <f t="shared" si="1"/>
        <v>0</v>
      </c>
      <c r="L20" s="572">
        <f t="shared" si="1"/>
        <v>0</v>
      </c>
      <c r="M20" s="572"/>
      <c r="N20" s="572"/>
      <c r="O20" s="592">
        <f>SUM(O17:O19)</f>
        <v>0</v>
      </c>
      <c r="P20" s="1274"/>
      <c r="Q20" s="1275"/>
      <c r="R20" s="1040"/>
      <c r="S20" s="1276"/>
      <c r="T20" s="1276"/>
    </row>
    <row r="21" spans="1:26" s="548" customFormat="1" ht="15.75" thickTop="1">
      <c r="A21" s="1042"/>
      <c r="B21" s="1040"/>
      <c r="C21" s="1040"/>
      <c r="D21" s="1040"/>
      <c r="E21" s="1040"/>
      <c r="F21" s="1040"/>
      <c r="G21" s="1040"/>
      <c r="H21" s="1040"/>
      <c r="I21" s="1040"/>
      <c r="J21" s="1040"/>
      <c r="K21" s="1040"/>
      <c r="L21" s="1040"/>
      <c r="M21" s="1040"/>
      <c r="N21" s="1040"/>
      <c r="O21" s="1040"/>
      <c r="P21" s="1041"/>
      <c r="Q21" s="1041"/>
      <c r="R21" s="1040"/>
      <c r="S21" s="1041"/>
      <c r="T21" s="1041"/>
    </row>
    <row r="22" spans="1:26" s="578" customFormat="1">
      <c r="A22" s="1032" t="s">
        <v>290</v>
      </c>
      <c r="B22" s="1033"/>
      <c r="C22" s="1033">
        <f>EF_CO2_aardgas</f>
        <v>0.20200000000000001</v>
      </c>
      <c r="D22" s="1033">
        <f>EF_VLgas_CO2</f>
        <v>0.22700000000000001</v>
      </c>
      <c r="E22" s="1033">
        <f>EF_stookolie_CO2</f>
        <v>0.26700000000000002</v>
      </c>
      <c r="F22" s="1033">
        <f>EF_bruinkool_CO2</f>
        <v>0.35099999999999998</v>
      </c>
      <c r="G22" s="1033">
        <f>EF_steenkool_CO2</f>
        <v>0.35399999999999998</v>
      </c>
      <c r="H22" s="1033">
        <f>'EF brandstof'!M4</f>
        <v>0.33</v>
      </c>
      <c r="I22" s="1033">
        <f>'EF brandstof'!J4</f>
        <v>0</v>
      </c>
      <c r="J22" s="1033">
        <f>'EF brandstof'!L4</f>
        <v>0</v>
      </c>
      <c r="K22" s="1033">
        <f>'EF brandstof'!L4</f>
        <v>0</v>
      </c>
      <c r="L22" s="1033"/>
      <c r="M22" s="1033"/>
      <c r="N22" s="1033"/>
      <c r="O22" s="579"/>
      <c r="P22" s="579"/>
      <c r="Q22" s="579"/>
      <c r="R22" s="579"/>
      <c r="S22" s="548"/>
    </row>
    <row r="23" spans="1:26" s="578" customFormat="1">
      <c r="A23" s="580"/>
      <c r="B23" s="579"/>
      <c r="C23" s="579"/>
      <c r="D23" s="579"/>
      <c r="E23" s="579"/>
      <c r="F23" s="579"/>
      <c r="G23" s="579"/>
      <c r="H23" s="579"/>
      <c r="I23" s="579"/>
      <c r="J23" s="579"/>
      <c r="K23" s="579"/>
      <c r="L23" s="579"/>
      <c r="M23" s="579"/>
      <c r="N23" s="579"/>
      <c r="O23" s="579"/>
      <c r="P23" s="579"/>
      <c r="Q23" s="579"/>
      <c r="R23" s="579"/>
      <c r="S23" s="548"/>
    </row>
    <row r="24" spans="1:26" s="578" customFormat="1">
      <c r="A24" s="580"/>
      <c r="B24" s="579"/>
      <c r="C24" s="579"/>
      <c r="D24" s="593"/>
      <c r="E24" s="593"/>
      <c r="F24" s="593"/>
      <c r="G24" s="579"/>
      <c r="H24" s="579"/>
      <c r="I24" s="579"/>
      <c r="J24" s="579"/>
      <c r="K24" s="579"/>
      <c r="L24" s="579"/>
      <c r="M24" s="579"/>
      <c r="N24" s="579"/>
      <c r="O24" s="579"/>
      <c r="P24" s="579"/>
      <c r="Q24" s="579"/>
      <c r="R24" s="579"/>
    </row>
    <row r="25" spans="1:26" s="578" customFormat="1">
      <c r="A25" s="580"/>
      <c r="B25" s="579"/>
      <c r="C25" s="579"/>
      <c r="D25" s="593"/>
      <c r="E25" s="593"/>
      <c r="F25" s="593"/>
      <c r="G25" s="579"/>
      <c r="H25" s="579"/>
      <c r="I25" s="579"/>
      <c r="J25" s="579"/>
      <c r="K25" s="579"/>
      <c r="L25" s="579"/>
      <c r="M25" s="579"/>
      <c r="N25" s="579"/>
      <c r="O25" s="579"/>
      <c r="P25" s="579"/>
      <c r="Q25" s="579"/>
      <c r="R25" s="579"/>
    </row>
    <row r="26" spans="1:26" s="548" customFormat="1" ht="15.75" thickBot="1">
      <c r="B26" s="593"/>
      <c r="C26" s="593"/>
      <c r="D26" s="593"/>
      <c r="E26" s="593"/>
      <c r="F26" s="593"/>
      <c r="G26" s="593"/>
      <c r="H26" s="593"/>
      <c r="I26" s="593"/>
      <c r="J26" s="593"/>
      <c r="K26" s="593"/>
      <c r="L26" s="593"/>
      <c r="M26" s="593"/>
      <c r="N26" s="593"/>
      <c r="O26" s="593"/>
      <c r="P26" s="593"/>
      <c r="Q26" s="594"/>
      <c r="R26" s="594"/>
    </row>
    <row r="27" spans="1:26" s="548" customFormat="1" ht="45">
      <c r="A27" s="595" t="s">
        <v>279</v>
      </c>
      <c r="B27" s="640" t="s">
        <v>90</v>
      </c>
      <c r="C27" s="640" t="s">
        <v>91</v>
      </c>
      <c r="D27" s="640" t="s">
        <v>92</v>
      </c>
      <c r="E27" s="640" t="s">
        <v>93</v>
      </c>
      <c r="F27" s="640" t="s">
        <v>94</v>
      </c>
      <c r="G27" s="640" t="s">
        <v>95</v>
      </c>
      <c r="H27" s="640" t="s">
        <v>96</v>
      </c>
      <c r="I27" s="640" t="s">
        <v>97</v>
      </c>
      <c r="J27" s="640" t="s">
        <v>98</v>
      </c>
      <c r="K27" s="640" t="s">
        <v>99</v>
      </c>
      <c r="L27" s="640" t="s">
        <v>100</v>
      </c>
      <c r="M27" s="641" t="s">
        <v>298</v>
      </c>
      <c r="N27" s="641" t="s">
        <v>101</v>
      </c>
      <c r="O27" s="641" t="s">
        <v>102</v>
      </c>
      <c r="P27" s="641" t="s">
        <v>547</v>
      </c>
      <c r="Q27" s="641" t="s">
        <v>103</v>
      </c>
      <c r="R27" s="641" t="s">
        <v>104</v>
      </c>
      <c r="S27" s="641" t="s">
        <v>105</v>
      </c>
      <c r="T27" s="641" t="s">
        <v>106</v>
      </c>
      <c r="U27" s="641" t="s">
        <v>107</v>
      </c>
      <c r="V27" s="641" t="s">
        <v>108</v>
      </c>
      <c r="W27" s="640" t="s">
        <v>109</v>
      </c>
      <c r="X27" s="640" t="s">
        <v>299</v>
      </c>
      <c r="Y27" s="640" t="s">
        <v>110</v>
      </c>
      <c r="Z27" s="642" t="s">
        <v>300</v>
      </c>
    </row>
    <row r="28" spans="1:26" s="597" customFormat="1" ht="12.75">
      <c r="A28" s="596"/>
      <c r="B28" s="791"/>
      <c r="C28" s="791"/>
      <c r="D28" s="644"/>
      <c r="E28" s="643"/>
      <c r="F28" s="643"/>
      <c r="G28" s="643"/>
      <c r="H28" s="643"/>
      <c r="I28" s="643"/>
      <c r="J28" s="790"/>
      <c r="K28" s="790"/>
      <c r="L28" s="643"/>
      <c r="M28" s="643"/>
      <c r="N28" s="643"/>
      <c r="O28" s="643"/>
      <c r="P28" s="643"/>
      <c r="Q28" s="643"/>
      <c r="R28" s="643"/>
      <c r="S28" s="643"/>
      <c r="T28" s="643"/>
      <c r="U28" s="643"/>
      <c r="V28" s="643"/>
      <c r="W28" s="643"/>
      <c r="X28" s="643"/>
      <c r="Y28" s="643"/>
      <c r="Z28" s="645"/>
    </row>
    <row r="29" spans="1:26" s="597" customFormat="1" ht="12.75">
      <c r="A29" s="596"/>
      <c r="B29" s="791"/>
      <c r="C29" s="791"/>
      <c r="D29" s="644"/>
      <c r="E29" s="643"/>
      <c r="F29" s="643"/>
      <c r="G29" s="643"/>
      <c r="H29" s="643"/>
      <c r="I29" s="643"/>
      <c r="J29" s="790"/>
      <c r="K29" s="790"/>
      <c r="L29" s="643"/>
      <c r="M29" s="643"/>
      <c r="N29" s="643"/>
      <c r="O29" s="643"/>
      <c r="P29" s="643"/>
      <c r="Q29" s="643"/>
      <c r="R29" s="643"/>
      <c r="S29" s="643"/>
      <c r="T29" s="643"/>
      <c r="U29" s="643"/>
      <c r="V29" s="643"/>
      <c r="W29" s="643"/>
      <c r="X29" s="643"/>
      <c r="Y29" s="643"/>
      <c r="Z29" s="645"/>
    </row>
    <row r="30" spans="1:26" s="597" customFormat="1" ht="12.75">
      <c r="A30" s="596"/>
      <c r="B30" s="791"/>
      <c r="C30" s="791"/>
      <c r="D30" s="644"/>
      <c r="E30" s="643"/>
      <c r="F30" s="643"/>
      <c r="G30" s="643"/>
      <c r="H30" s="643"/>
      <c r="I30" s="643"/>
      <c r="J30" s="790"/>
      <c r="K30" s="790"/>
      <c r="L30" s="643"/>
      <c r="M30" s="643"/>
      <c r="N30" s="643"/>
      <c r="O30" s="643"/>
      <c r="P30" s="643"/>
      <c r="Q30" s="643"/>
      <c r="R30" s="643"/>
      <c r="S30" s="643"/>
      <c r="T30" s="643"/>
      <c r="U30" s="643"/>
      <c r="V30" s="643"/>
      <c r="W30" s="643"/>
      <c r="X30" s="643"/>
      <c r="Y30" s="643"/>
      <c r="Z30" s="645"/>
    </row>
    <row r="31" spans="1:26" s="597" customFormat="1" ht="12.75">
      <c r="A31" s="596"/>
      <c r="B31" s="791"/>
      <c r="C31" s="791"/>
      <c r="D31" s="644"/>
      <c r="E31" s="643"/>
      <c r="F31" s="643"/>
      <c r="G31" s="643"/>
      <c r="H31" s="643"/>
      <c r="I31" s="643"/>
      <c r="J31" s="790"/>
      <c r="K31" s="790"/>
      <c r="L31" s="643"/>
      <c r="M31" s="643"/>
      <c r="N31" s="643"/>
      <c r="O31" s="643"/>
      <c r="P31" s="643"/>
      <c r="Q31" s="643"/>
      <c r="R31" s="643"/>
      <c r="S31" s="643"/>
      <c r="T31" s="643"/>
      <c r="U31" s="643"/>
      <c r="V31" s="643"/>
      <c r="W31" s="643"/>
      <c r="X31" s="643"/>
      <c r="Y31" s="643"/>
      <c r="Z31" s="645"/>
    </row>
    <row r="32" spans="1:26" s="597" customFormat="1" ht="12.75">
      <c r="A32" s="596"/>
      <c r="B32" s="791"/>
      <c r="C32" s="791"/>
      <c r="D32" s="644"/>
      <c r="E32" s="643"/>
      <c r="F32" s="643"/>
      <c r="G32" s="643"/>
      <c r="H32" s="643"/>
      <c r="I32" s="643"/>
      <c r="J32" s="790"/>
      <c r="K32" s="790"/>
      <c r="L32" s="643"/>
      <c r="M32" s="643"/>
      <c r="N32" s="643"/>
      <c r="O32" s="643"/>
      <c r="P32" s="643"/>
      <c r="Q32" s="643"/>
      <c r="R32" s="643"/>
      <c r="S32" s="643"/>
      <c r="T32" s="643"/>
      <c r="U32" s="643"/>
      <c r="V32" s="643"/>
      <c r="W32" s="643"/>
      <c r="X32" s="643"/>
      <c r="Y32" s="643"/>
      <c r="Z32" s="645"/>
    </row>
    <row r="33" spans="1:26" s="597" customFormat="1" ht="12.75">
      <c r="A33" s="596"/>
      <c r="B33" s="791"/>
      <c r="C33" s="791"/>
      <c r="D33" s="644"/>
      <c r="E33" s="643"/>
      <c r="F33" s="643"/>
      <c r="G33" s="643"/>
      <c r="H33" s="643"/>
      <c r="I33" s="643"/>
      <c r="J33" s="790"/>
      <c r="K33" s="790"/>
      <c r="L33" s="643"/>
      <c r="M33" s="643"/>
      <c r="N33" s="643"/>
      <c r="O33" s="643"/>
      <c r="P33" s="643"/>
      <c r="Q33" s="643"/>
      <c r="R33" s="643"/>
      <c r="S33" s="643"/>
      <c r="T33" s="643"/>
      <c r="U33" s="643"/>
      <c r="V33" s="643"/>
      <c r="W33" s="643"/>
      <c r="X33" s="643"/>
      <c r="Y33" s="643"/>
      <c r="Z33" s="645"/>
    </row>
    <row r="34" spans="1:26" s="597" customFormat="1" ht="12.75">
      <c r="A34" s="596"/>
      <c r="B34" s="791"/>
      <c r="C34" s="791"/>
      <c r="D34" s="644"/>
      <c r="E34" s="643"/>
      <c r="F34" s="643"/>
      <c r="G34" s="643"/>
      <c r="H34" s="643"/>
      <c r="I34" s="643"/>
      <c r="J34" s="790"/>
      <c r="K34" s="790"/>
      <c r="L34" s="643"/>
      <c r="M34" s="643"/>
      <c r="N34" s="643"/>
      <c r="O34" s="643"/>
      <c r="P34" s="643"/>
      <c r="Q34" s="643"/>
      <c r="R34" s="643"/>
      <c r="S34" s="643"/>
      <c r="T34" s="643"/>
      <c r="U34" s="643"/>
      <c r="V34" s="643"/>
      <c r="W34" s="643"/>
      <c r="X34" s="643"/>
      <c r="Y34" s="643"/>
      <c r="Z34" s="645"/>
    </row>
    <row r="35" spans="1:26" s="597" customFormat="1" ht="12.75">
      <c r="A35" s="596"/>
      <c r="B35" s="791"/>
      <c r="C35" s="791"/>
      <c r="D35" s="644"/>
      <c r="E35" s="643"/>
      <c r="F35" s="643"/>
      <c r="G35" s="643"/>
      <c r="H35" s="643"/>
      <c r="I35" s="643"/>
      <c r="J35" s="790"/>
      <c r="K35" s="790"/>
      <c r="L35" s="643"/>
      <c r="M35" s="643"/>
      <c r="N35" s="643"/>
      <c r="O35" s="643"/>
      <c r="P35" s="643"/>
      <c r="Q35" s="643"/>
      <c r="R35" s="643"/>
      <c r="S35" s="643"/>
      <c r="T35" s="643"/>
      <c r="U35" s="643"/>
      <c r="V35" s="643"/>
      <c r="W35" s="643"/>
      <c r="X35" s="643"/>
      <c r="Y35" s="643"/>
      <c r="Z35" s="645"/>
    </row>
    <row r="36" spans="1:26" s="597" customFormat="1" ht="12.75">
      <c r="A36" s="596"/>
      <c r="B36" s="791"/>
      <c r="C36" s="791"/>
      <c r="D36" s="644"/>
      <c r="E36" s="643"/>
      <c r="F36" s="643"/>
      <c r="G36" s="643"/>
      <c r="H36" s="643"/>
      <c r="I36" s="643"/>
      <c r="J36" s="790"/>
      <c r="K36" s="790"/>
      <c r="L36" s="643"/>
      <c r="M36" s="643"/>
      <c r="N36" s="643"/>
      <c r="O36" s="643"/>
      <c r="P36" s="643"/>
      <c r="Q36" s="643"/>
      <c r="R36" s="643"/>
      <c r="S36" s="643"/>
      <c r="T36" s="643"/>
      <c r="U36" s="643"/>
      <c r="V36" s="643"/>
      <c r="W36" s="643"/>
      <c r="X36" s="643"/>
      <c r="Y36" s="643"/>
      <c r="Z36" s="645"/>
    </row>
    <row r="37" spans="1:26" s="597" customFormat="1" ht="12.75">
      <c r="A37" s="596"/>
      <c r="B37" s="791"/>
      <c r="C37" s="791"/>
      <c r="D37" s="644"/>
      <c r="E37" s="643"/>
      <c r="F37" s="643"/>
      <c r="G37" s="643"/>
      <c r="H37" s="643"/>
      <c r="I37" s="643"/>
      <c r="J37" s="790"/>
      <c r="K37" s="790"/>
      <c r="L37" s="643"/>
      <c r="M37" s="643"/>
      <c r="N37" s="643"/>
      <c r="O37" s="643"/>
      <c r="P37" s="643"/>
      <c r="Q37" s="643"/>
      <c r="R37" s="643"/>
      <c r="S37" s="643"/>
      <c r="T37" s="643"/>
      <c r="U37" s="643"/>
      <c r="V37" s="643"/>
      <c r="W37" s="643"/>
      <c r="X37" s="643"/>
      <c r="Y37" s="643"/>
      <c r="Z37" s="645"/>
    </row>
    <row r="38" spans="1:26" s="597" customFormat="1" ht="12.75">
      <c r="A38" s="596"/>
      <c r="B38" s="791"/>
      <c r="C38" s="791"/>
      <c r="D38" s="644"/>
      <c r="E38" s="643"/>
      <c r="F38" s="643"/>
      <c r="G38" s="643"/>
      <c r="H38" s="643"/>
      <c r="I38" s="643"/>
      <c r="J38" s="790"/>
      <c r="K38" s="790"/>
      <c r="L38" s="643"/>
      <c r="M38" s="643"/>
      <c r="N38" s="643"/>
      <c r="O38" s="643"/>
      <c r="P38" s="643"/>
      <c r="Q38" s="643"/>
      <c r="R38" s="643"/>
      <c r="S38" s="643"/>
      <c r="T38" s="643"/>
      <c r="U38" s="643"/>
      <c r="V38" s="643"/>
      <c r="W38" s="643"/>
      <c r="X38" s="643"/>
      <c r="Y38" s="643"/>
      <c r="Z38" s="645"/>
    </row>
    <row r="39" spans="1:26" s="597" customFormat="1" ht="12.75">
      <c r="A39" s="596"/>
      <c r="B39" s="791"/>
      <c r="C39" s="791"/>
      <c r="D39" s="644"/>
      <c r="E39" s="643"/>
      <c r="F39" s="643"/>
      <c r="G39" s="643"/>
      <c r="H39" s="643"/>
      <c r="I39" s="643"/>
      <c r="J39" s="790"/>
      <c r="K39" s="790"/>
      <c r="L39" s="643"/>
      <c r="M39" s="643"/>
      <c r="N39" s="643"/>
      <c r="O39" s="643"/>
      <c r="P39" s="643"/>
      <c r="Q39" s="643"/>
      <c r="R39" s="643"/>
      <c r="S39" s="643"/>
      <c r="T39" s="643"/>
      <c r="U39" s="643"/>
      <c r="V39" s="643"/>
      <c r="W39" s="643"/>
      <c r="X39" s="643"/>
      <c r="Y39" s="643"/>
      <c r="Z39" s="645"/>
    </row>
    <row r="40" spans="1:26" s="597" customFormat="1" ht="12.75">
      <c r="A40" s="596"/>
      <c r="B40" s="791"/>
      <c r="C40" s="791"/>
      <c r="D40" s="644"/>
      <c r="E40" s="643"/>
      <c r="F40" s="643"/>
      <c r="G40" s="643"/>
      <c r="H40" s="643"/>
      <c r="I40" s="643"/>
      <c r="J40" s="790"/>
      <c r="K40" s="790"/>
      <c r="L40" s="643"/>
      <c r="M40" s="643"/>
      <c r="N40" s="643"/>
      <c r="O40" s="643"/>
      <c r="P40" s="643"/>
      <c r="Q40" s="643"/>
      <c r="R40" s="643"/>
      <c r="S40" s="643"/>
      <c r="T40" s="643"/>
      <c r="U40" s="643"/>
      <c r="V40" s="643"/>
      <c r="W40" s="643"/>
      <c r="X40" s="643"/>
      <c r="Y40" s="643"/>
      <c r="Z40" s="645"/>
    </row>
    <row r="41" spans="1:26" s="597" customFormat="1" ht="12.75">
      <c r="A41" s="596"/>
      <c r="B41" s="791"/>
      <c r="C41" s="791"/>
      <c r="D41" s="644"/>
      <c r="E41" s="643"/>
      <c r="F41" s="643"/>
      <c r="G41" s="643"/>
      <c r="H41" s="643"/>
      <c r="I41" s="643"/>
      <c r="J41" s="790"/>
      <c r="K41" s="790"/>
      <c r="L41" s="643"/>
      <c r="M41" s="643"/>
      <c r="N41" s="643"/>
      <c r="O41" s="643"/>
      <c r="P41" s="643"/>
      <c r="Q41" s="643"/>
      <c r="R41" s="643"/>
      <c r="S41" s="643"/>
      <c r="T41" s="643"/>
      <c r="U41" s="643"/>
      <c r="V41" s="643"/>
      <c r="W41" s="643"/>
      <c r="X41" s="643"/>
      <c r="Y41" s="643"/>
      <c r="Z41" s="645"/>
    </row>
    <row r="42" spans="1:26" s="597" customFormat="1" ht="12.75">
      <c r="A42" s="596"/>
      <c r="B42" s="791"/>
      <c r="C42" s="791"/>
      <c r="D42" s="644"/>
      <c r="E42" s="643"/>
      <c r="F42" s="643"/>
      <c r="G42" s="643"/>
      <c r="H42" s="643"/>
      <c r="I42" s="643"/>
      <c r="J42" s="790"/>
      <c r="K42" s="790"/>
      <c r="L42" s="643"/>
      <c r="M42" s="643"/>
      <c r="N42" s="643"/>
      <c r="O42" s="643"/>
      <c r="P42" s="643"/>
      <c r="Q42" s="643"/>
      <c r="R42" s="643"/>
      <c r="S42" s="643"/>
      <c r="T42" s="643"/>
      <c r="U42" s="643"/>
      <c r="V42" s="643"/>
      <c r="W42" s="643"/>
      <c r="X42" s="643"/>
      <c r="Y42" s="643"/>
      <c r="Z42" s="645"/>
    </row>
    <row r="43" spans="1:26" s="597" customFormat="1" ht="12.75">
      <c r="A43" s="596"/>
      <c r="B43" s="791"/>
      <c r="C43" s="791"/>
      <c r="D43" s="644"/>
      <c r="E43" s="643"/>
      <c r="F43" s="643"/>
      <c r="G43" s="643"/>
      <c r="H43" s="643"/>
      <c r="I43" s="643"/>
      <c r="J43" s="790"/>
      <c r="K43" s="790"/>
      <c r="L43" s="643"/>
      <c r="M43" s="643"/>
      <c r="N43" s="643"/>
      <c r="O43" s="643"/>
      <c r="P43" s="643"/>
      <c r="Q43" s="643"/>
      <c r="R43" s="643"/>
      <c r="S43" s="643"/>
      <c r="T43" s="643"/>
      <c r="U43" s="643"/>
      <c r="V43" s="643"/>
      <c r="W43" s="643"/>
      <c r="X43" s="643"/>
      <c r="Y43" s="643"/>
      <c r="Z43" s="645"/>
    </row>
    <row r="44" spans="1:26" s="597" customFormat="1" ht="12.75">
      <c r="A44" s="596"/>
      <c r="B44" s="791"/>
      <c r="C44" s="791"/>
      <c r="D44" s="644"/>
      <c r="E44" s="643"/>
      <c r="F44" s="643"/>
      <c r="G44" s="643"/>
      <c r="H44" s="643"/>
      <c r="I44" s="643"/>
      <c r="J44" s="790"/>
      <c r="K44" s="790"/>
      <c r="L44" s="643"/>
      <c r="M44" s="643"/>
      <c r="N44" s="643"/>
      <c r="O44" s="643"/>
      <c r="P44" s="643"/>
      <c r="Q44" s="643"/>
      <c r="R44" s="643"/>
      <c r="S44" s="643"/>
      <c r="T44" s="643"/>
      <c r="U44" s="643"/>
      <c r="V44" s="643"/>
      <c r="W44" s="643"/>
      <c r="X44" s="643"/>
      <c r="Y44" s="643"/>
      <c r="Z44" s="645"/>
    </row>
    <row r="45" spans="1:26" s="597" customFormat="1" ht="12.75">
      <c r="A45" s="596"/>
      <c r="B45" s="791"/>
      <c r="C45" s="791"/>
      <c r="D45" s="644"/>
      <c r="E45" s="643"/>
      <c r="F45" s="643"/>
      <c r="G45" s="643"/>
      <c r="H45" s="643"/>
      <c r="I45" s="643"/>
      <c r="J45" s="790"/>
      <c r="K45" s="790"/>
      <c r="L45" s="643"/>
      <c r="M45" s="643"/>
      <c r="N45" s="643"/>
      <c r="O45" s="643"/>
      <c r="P45" s="643"/>
      <c r="Q45" s="643"/>
      <c r="R45" s="643"/>
      <c r="S45" s="643"/>
      <c r="T45" s="643"/>
      <c r="U45" s="643"/>
      <c r="V45" s="643"/>
      <c r="W45" s="643"/>
      <c r="X45" s="643"/>
      <c r="Y45" s="643"/>
      <c r="Z45" s="645"/>
    </row>
    <row r="46" spans="1:26" s="597" customFormat="1" ht="12.75">
      <c r="A46" s="596"/>
      <c r="B46" s="791"/>
      <c r="C46" s="791"/>
      <c r="D46" s="644"/>
      <c r="E46" s="643"/>
      <c r="F46" s="643"/>
      <c r="G46" s="643"/>
      <c r="H46" s="643"/>
      <c r="I46" s="643"/>
      <c r="J46" s="790"/>
      <c r="K46" s="790"/>
      <c r="L46" s="643"/>
      <c r="M46" s="643"/>
      <c r="N46" s="643"/>
      <c r="O46" s="643"/>
      <c r="P46" s="643"/>
      <c r="Q46" s="643"/>
      <c r="R46" s="643"/>
      <c r="S46" s="643"/>
      <c r="T46" s="643"/>
      <c r="U46" s="643"/>
      <c r="V46" s="643"/>
      <c r="W46" s="643"/>
      <c r="X46" s="643"/>
      <c r="Y46" s="643"/>
      <c r="Z46" s="645"/>
    </row>
    <row r="47" spans="1:26" s="597" customFormat="1" ht="12.75">
      <c r="A47" s="596"/>
      <c r="B47" s="791"/>
      <c r="C47" s="791"/>
      <c r="D47" s="644"/>
      <c r="E47" s="643"/>
      <c r="F47" s="643"/>
      <c r="G47" s="643"/>
      <c r="H47" s="643"/>
      <c r="I47" s="643"/>
      <c r="J47" s="790"/>
      <c r="K47" s="790"/>
      <c r="L47" s="643"/>
      <c r="M47" s="643"/>
      <c r="N47" s="643"/>
      <c r="O47" s="643"/>
      <c r="P47" s="643"/>
      <c r="Q47" s="643"/>
      <c r="R47" s="643"/>
      <c r="S47" s="643"/>
      <c r="T47" s="643"/>
      <c r="U47" s="643"/>
      <c r="V47" s="643"/>
      <c r="W47" s="643"/>
      <c r="X47" s="643"/>
      <c r="Y47" s="643"/>
      <c r="Z47" s="645"/>
    </row>
    <row r="48" spans="1:26" s="597" customFormat="1" ht="12.75">
      <c r="A48" s="596"/>
      <c r="B48" s="791"/>
      <c r="C48" s="791"/>
      <c r="D48" s="644"/>
      <c r="E48" s="643"/>
      <c r="F48" s="643"/>
      <c r="G48" s="643"/>
      <c r="H48" s="643"/>
      <c r="I48" s="643"/>
      <c r="J48" s="790"/>
      <c r="K48" s="790"/>
      <c r="L48" s="643"/>
      <c r="M48" s="643"/>
      <c r="N48" s="643"/>
      <c r="O48" s="643"/>
      <c r="P48" s="643"/>
      <c r="Q48" s="643"/>
      <c r="R48" s="643"/>
      <c r="S48" s="643"/>
      <c r="T48" s="643"/>
      <c r="U48" s="643"/>
      <c r="V48" s="643"/>
      <c r="W48" s="643"/>
      <c r="X48" s="643"/>
      <c r="Y48" s="643"/>
      <c r="Z48" s="645"/>
    </row>
    <row r="49" spans="1:26" s="597" customFormat="1" ht="12.75">
      <c r="A49" s="596"/>
      <c r="B49" s="791"/>
      <c r="C49" s="791"/>
      <c r="D49" s="644"/>
      <c r="E49" s="643"/>
      <c r="F49" s="643"/>
      <c r="G49" s="643"/>
      <c r="H49" s="643"/>
      <c r="I49" s="643"/>
      <c r="J49" s="790"/>
      <c r="K49" s="790"/>
      <c r="L49" s="643"/>
      <c r="M49" s="643"/>
      <c r="N49" s="643"/>
      <c r="O49" s="643"/>
      <c r="P49" s="643"/>
      <c r="Q49" s="643"/>
      <c r="R49" s="643"/>
      <c r="S49" s="643"/>
      <c r="T49" s="643"/>
      <c r="U49" s="643"/>
      <c r="V49" s="643"/>
      <c r="W49" s="643"/>
      <c r="X49" s="643"/>
      <c r="Y49" s="643"/>
      <c r="Z49" s="645"/>
    </row>
    <row r="50" spans="1:26" s="597" customFormat="1" ht="12.75">
      <c r="A50" s="596"/>
      <c r="B50" s="791"/>
      <c r="C50" s="791"/>
      <c r="D50" s="644"/>
      <c r="E50" s="643"/>
      <c r="F50" s="643"/>
      <c r="G50" s="643"/>
      <c r="H50" s="643"/>
      <c r="I50" s="643"/>
      <c r="J50" s="790"/>
      <c r="K50" s="790"/>
      <c r="L50" s="643"/>
      <c r="M50" s="643"/>
      <c r="N50" s="643"/>
      <c r="O50" s="643"/>
      <c r="P50" s="643"/>
      <c r="Q50" s="643"/>
      <c r="R50" s="643"/>
      <c r="S50" s="643"/>
      <c r="T50" s="643"/>
      <c r="U50" s="643"/>
      <c r="V50" s="643"/>
      <c r="W50" s="643"/>
      <c r="X50" s="643"/>
      <c r="Y50" s="643"/>
      <c r="Z50" s="645"/>
    </row>
    <row r="51" spans="1:26" s="597" customFormat="1" ht="12.75">
      <c r="A51" s="598"/>
      <c r="B51" s="791"/>
      <c r="C51" s="791"/>
      <c r="D51" s="644"/>
      <c r="E51" s="643"/>
      <c r="F51" s="643"/>
      <c r="G51" s="643"/>
      <c r="H51" s="643"/>
      <c r="I51" s="643"/>
      <c r="J51" s="790"/>
      <c r="K51" s="790"/>
      <c r="L51" s="643"/>
      <c r="M51" s="643"/>
      <c r="N51" s="643"/>
      <c r="O51" s="643"/>
      <c r="P51" s="643"/>
      <c r="Q51" s="643"/>
      <c r="R51" s="643"/>
      <c r="S51" s="643"/>
      <c r="T51" s="643"/>
      <c r="U51" s="643"/>
      <c r="V51" s="643"/>
      <c r="W51" s="643"/>
      <c r="X51" s="643"/>
      <c r="Y51" s="643"/>
      <c r="Z51" s="645"/>
    </row>
    <row r="52" spans="1:26" s="597" customFormat="1" ht="12.75">
      <c r="A52" s="598"/>
      <c r="B52" s="791"/>
      <c r="C52" s="791"/>
      <c r="D52" s="643"/>
      <c r="E52" s="643"/>
      <c r="F52" s="643"/>
      <c r="G52" s="643"/>
      <c r="H52" s="643"/>
      <c r="I52" s="643"/>
      <c r="J52" s="790"/>
      <c r="K52" s="790"/>
      <c r="L52" s="643"/>
      <c r="M52" s="643"/>
      <c r="N52" s="643"/>
      <c r="O52" s="643"/>
      <c r="P52" s="643"/>
      <c r="Q52" s="643"/>
      <c r="R52" s="643"/>
      <c r="S52" s="643"/>
      <c r="T52" s="643"/>
      <c r="U52" s="643"/>
      <c r="V52" s="643"/>
      <c r="W52" s="643"/>
      <c r="X52" s="643"/>
      <c r="Y52" s="643"/>
      <c r="Z52" s="645"/>
    </row>
    <row r="53" spans="1:26" s="597" customFormat="1" ht="12.75">
      <c r="A53" s="598"/>
      <c r="B53" s="791"/>
      <c r="C53" s="791"/>
      <c r="D53" s="643"/>
      <c r="E53" s="643"/>
      <c r="F53" s="643"/>
      <c r="G53" s="643"/>
      <c r="H53" s="643"/>
      <c r="I53" s="643"/>
      <c r="J53" s="790"/>
      <c r="K53" s="790"/>
      <c r="L53" s="643"/>
      <c r="M53" s="643"/>
      <c r="N53" s="643"/>
      <c r="O53" s="643"/>
      <c r="P53" s="643"/>
      <c r="Q53" s="643"/>
      <c r="R53" s="643"/>
      <c r="S53" s="643"/>
      <c r="T53" s="643"/>
      <c r="U53" s="643"/>
      <c r="V53" s="643"/>
      <c r="W53" s="643"/>
      <c r="X53" s="643"/>
      <c r="Y53" s="643"/>
      <c r="Z53" s="645"/>
    </row>
    <row r="54" spans="1:26" s="597" customFormat="1" ht="12.75">
      <c r="A54" s="598"/>
      <c r="B54" s="791"/>
      <c r="C54" s="791"/>
      <c r="D54" s="643"/>
      <c r="E54" s="643"/>
      <c r="F54" s="643"/>
      <c r="G54" s="643"/>
      <c r="H54" s="643"/>
      <c r="I54" s="643"/>
      <c r="J54" s="790"/>
      <c r="K54" s="790"/>
      <c r="L54" s="643"/>
      <c r="M54" s="643"/>
      <c r="N54" s="643"/>
      <c r="O54" s="643"/>
      <c r="P54" s="643"/>
      <c r="Q54" s="643"/>
      <c r="R54" s="643"/>
      <c r="S54" s="643"/>
      <c r="T54" s="643"/>
      <c r="U54" s="643"/>
      <c r="V54" s="643"/>
      <c r="W54" s="643"/>
      <c r="X54" s="643"/>
      <c r="Y54" s="643"/>
      <c r="Z54" s="645"/>
    </row>
    <row r="55" spans="1:26" s="597" customFormat="1" ht="12.75">
      <c r="A55" s="598"/>
      <c r="B55" s="791"/>
      <c r="C55" s="791"/>
      <c r="D55" s="643"/>
      <c r="E55" s="643"/>
      <c r="F55" s="643"/>
      <c r="G55" s="643"/>
      <c r="H55" s="643"/>
      <c r="I55" s="643"/>
      <c r="J55" s="790"/>
      <c r="K55" s="790"/>
      <c r="L55" s="643"/>
      <c r="M55" s="643"/>
      <c r="N55" s="643"/>
      <c r="O55" s="643"/>
      <c r="P55" s="643"/>
      <c r="Q55" s="643"/>
      <c r="R55" s="643"/>
      <c r="S55" s="643"/>
      <c r="T55" s="643"/>
      <c r="U55" s="643"/>
      <c r="V55" s="643"/>
      <c r="W55" s="643"/>
      <c r="X55" s="643"/>
      <c r="Y55" s="643"/>
      <c r="Z55" s="645"/>
    </row>
    <row r="56" spans="1:26" s="597" customFormat="1" ht="12.75">
      <c r="A56" s="598"/>
      <c r="B56" s="791"/>
      <c r="C56" s="791"/>
      <c r="D56" s="643"/>
      <c r="E56" s="643"/>
      <c r="F56" s="643"/>
      <c r="G56" s="643"/>
      <c r="H56" s="643"/>
      <c r="I56" s="643"/>
      <c r="J56" s="790"/>
      <c r="K56" s="790"/>
      <c r="L56" s="643"/>
      <c r="M56" s="643"/>
      <c r="N56" s="643"/>
      <c r="O56" s="643"/>
      <c r="P56" s="643"/>
      <c r="Q56" s="643"/>
      <c r="R56" s="643"/>
      <c r="S56" s="643"/>
      <c r="T56" s="643"/>
      <c r="U56" s="643"/>
      <c r="V56" s="643"/>
      <c r="W56" s="643"/>
      <c r="X56" s="643"/>
      <c r="Y56" s="643"/>
      <c r="Z56" s="645"/>
    </row>
    <row r="57" spans="1:26" s="597" customFormat="1" ht="12.75">
      <c r="A57" s="598"/>
      <c r="B57" s="791"/>
      <c r="C57" s="791"/>
      <c r="D57" s="643"/>
      <c r="E57" s="643"/>
      <c r="F57" s="643"/>
      <c r="G57" s="643"/>
      <c r="H57" s="643"/>
      <c r="I57" s="643"/>
      <c r="J57" s="790"/>
      <c r="K57" s="790"/>
      <c r="L57" s="643"/>
      <c r="M57" s="643"/>
      <c r="N57" s="643"/>
      <c r="O57" s="643"/>
      <c r="P57" s="643"/>
      <c r="Q57" s="643"/>
      <c r="R57" s="643"/>
      <c r="S57" s="643"/>
      <c r="T57" s="643"/>
      <c r="U57" s="643"/>
      <c r="V57" s="643"/>
      <c r="W57" s="643"/>
      <c r="X57" s="643"/>
      <c r="Y57" s="643"/>
      <c r="Z57" s="645"/>
    </row>
    <row r="58" spans="1:26" s="580" customFormat="1">
      <c r="A58" s="599" t="s">
        <v>280</v>
      </c>
      <c r="B58" s="600"/>
      <c r="C58" s="600"/>
      <c r="D58" s="600"/>
      <c r="E58" s="600"/>
      <c r="F58" s="600"/>
      <c r="G58" s="600"/>
      <c r="H58" s="600"/>
      <c r="I58" s="600"/>
      <c r="J58" s="600"/>
      <c r="K58" s="600"/>
      <c r="L58" s="601"/>
      <c r="M58" s="601">
        <f>SUM(M28:M57)</f>
        <v>0</v>
      </c>
      <c r="N58" s="601">
        <f>SUM(N28:N57)</f>
        <v>0</v>
      </c>
      <c r="O58" s="601">
        <f t="shared" ref="O58:W58" si="2">SUM(O28:O57)</f>
        <v>0</v>
      </c>
      <c r="P58" s="601">
        <f t="shared" si="2"/>
        <v>0</v>
      </c>
      <c r="Q58" s="601">
        <f t="shared" si="2"/>
        <v>0</v>
      </c>
      <c r="R58" s="601">
        <f t="shared" si="2"/>
        <v>0</v>
      </c>
      <c r="S58" s="601">
        <f t="shared" si="2"/>
        <v>0</v>
      </c>
      <c r="T58" s="601">
        <f t="shared" si="2"/>
        <v>0</v>
      </c>
      <c r="U58" s="601">
        <f t="shared" si="2"/>
        <v>0</v>
      </c>
      <c r="V58" s="601">
        <f t="shared" si="2"/>
        <v>0</v>
      </c>
      <c r="W58" s="601">
        <f t="shared" si="2"/>
        <v>0</v>
      </c>
      <c r="X58" s="602"/>
      <c r="Y58" s="602"/>
      <c r="Z58" s="603"/>
    </row>
    <row r="59" spans="1:26" s="580" customFormat="1">
      <c r="A59" s="599" t="s">
        <v>287</v>
      </c>
      <c r="B59" s="600"/>
      <c r="C59" s="600"/>
      <c r="D59" s="600"/>
      <c r="E59" s="600"/>
      <c r="F59" s="600"/>
      <c r="G59" s="600"/>
      <c r="H59" s="600"/>
      <c r="I59" s="600"/>
      <c r="J59" s="600"/>
      <c r="K59" s="600"/>
      <c r="L59" s="601"/>
      <c r="M59" s="601">
        <f t="shared" ref="M59:W59" si="3">SUMIF($Z$28:$Z$57,"industrie",M28:M57)</f>
        <v>0</v>
      </c>
      <c r="N59" s="601">
        <f t="shared" si="3"/>
        <v>0</v>
      </c>
      <c r="O59" s="601">
        <f t="shared" si="3"/>
        <v>0</v>
      </c>
      <c r="P59" s="601">
        <f t="shared" si="3"/>
        <v>0</v>
      </c>
      <c r="Q59" s="601">
        <f t="shared" si="3"/>
        <v>0</v>
      </c>
      <c r="R59" s="601">
        <f t="shared" si="3"/>
        <v>0</v>
      </c>
      <c r="S59" s="601">
        <f t="shared" si="3"/>
        <v>0</v>
      </c>
      <c r="T59" s="601">
        <f t="shared" si="3"/>
        <v>0</v>
      </c>
      <c r="U59" s="601">
        <f t="shared" si="3"/>
        <v>0</v>
      </c>
      <c r="V59" s="601">
        <f t="shared" si="3"/>
        <v>0</v>
      </c>
      <c r="W59" s="601">
        <f t="shared" si="3"/>
        <v>0</v>
      </c>
      <c r="X59" s="602"/>
      <c r="Y59" s="602"/>
      <c r="Z59" s="603"/>
    </row>
    <row r="60" spans="1:26" s="580" customFormat="1">
      <c r="A60" s="599" t="s">
        <v>288</v>
      </c>
      <c r="B60" s="600"/>
      <c r="C60" s="600"/>
      <c r="D60" s="600"/>
      <c r="E60" s="600"/>
      <c r="F60" s="600"/>
      <c r="G60" s="600"/>
      <c r="H60" s="600"/>
      <c r="I60" s="600"/>
      <c r="J60" s="600"/>
      <c r="K60" s="600"/>
      <c r="L60" s="601"/>
      <c r="M60" s="601">
        <f ca="1">SUMIF($Z$28:AC57,"tertiair",M28:M57)</f>
        <v>0</v>
      </c>
      <c r="N60" s="601">
        <f ca="1">SUMIF($Z$28:AD57,"tertiair",N28:N57)</f>
        <v>0</v>
      </c>
      <c r="O60" s="601">
        <f ca="1">SUMIF($Z$28:AE57,"tertiair",O28:O57)</f>
        <v>0</v>
      </c>
      <c r="P60" s="601">
        <f ca="1">SUMIF($Z$28:AF57,"tertiair",P28:P57)</f>
        <v>0</v>
      </c>
      <c r="Q60" s="601">
        <f ca="1">SUMIF($Z$28:AG57,"tertiair",Q28:Q57)</f>
        <v>0</v>
      </c>
      <c r="R60" s="601">
        <f ca="1">SUMIF($Z$28:AH57,"tertiair",R28:R57)</f>
        <v>0</v>
      </c>
      <c r="S60" s="601">
        <f ca="1">SUMIF($Z$28:AI57,"tertiair",S28:S57)</f>
        <v>0</v>
      </c>
      <c r="T60" s="601">
        <f ca="1">SUMIF($Z$28:AJ57,"tertiair",T28:T57)</f>
        <v>0</v>
      </c>
      <c r="U60" s="601">
        <f ca="1">SUMIF($Z$28:AK57,"tertiair",U28:U57)</f>
        <v>0</v>
      </c>
      <c r="V60" s="601">
        <f ca="1">SUMIF($Z$28:AL57,"tertiair",V28:V57)</f>
        <v>0</v>
      </c>
      <c r="W60" s="601">
        <f ca="1">SUMIF($Z$28:AM57,"tertiair",W28:W57)</f>
        <v>0</v>
      </c>
      <c r="X60" s="602"/>
      <c r="Y60" s="602"/>
      <c r="Z60" s="603"/>
    </row>
    <row r="61" spans="1:26" s="580" customFormat="1" ht="15.75" thickBot="1">
      <c r="A61" s="604" t="s">
        <v>289</v>
      </c>
      <c r="B61" s="605"/>
      <c r="C61" s="605"/>
      <c r="D61" s="605"/>
      <c r="E61" s="605"/>
      <c r="F61" s="605"/>
      <c r="G61" s="605"/>
      <c r="H61" s="605"/>
      <c r="I61" s="605"/>
      <c r="J61" s="605"/>
      <c r="K61" s="605"/>
      <c r="L61" s="606"/>
      <c r="M61" s="606">
        <f t="shared" ref="M61:W61" si="4">SUMIF($Z$28:$Z$57,"landbouw",M28:M57)</f>
        <v>0</v>
      </c>
      <c r="N61" s="606">
        <f t="shared" si="4"/>
        <v>0</v>
      </c>
      <c r="O61" s="606">
        <f t="shared" si="4"/>
        <v>0</v>
      </c>
      <c r="P61" s="606">
        <f t="shared" si="4"/>
        <v>0</v>
      </c>
      <c r="Q61" s="606">
        <f t="shared" si="4"/>
        <v>0</v>
      </c>
      <c r="R61" s="606">
        <f t="shared" si="4"/>
        <v>0</v>
      </c>
      <c r="S61" s="606">
        <f t="shared" si="4"/>
        <v>0</v>
      </c>
      <c r="T61" s="606">
        <f t="shared" si="4"/>
        <v>0</v>
      </c>
      <c r="U61" s="606">
        <f t="shared" si="4"/>
        <v>0</v>
      </c>
      <c r="V61" s="606">
        <f t="shared" si="4"/>
        <v>0</v>
      </c>
      <c r="W61" s="606">
        <f t="shared" si="4"/>
        <v>0</v>
      </c>
      <c r="X61" s="607"/>
      <c r="Y61" s="607"/>
      <c r="Z61" s="608"/>
    </row>
    <row r="62" spans="1:26" s="548" customFormat="1" ht="15.75" thickBot="1">
      <c r="A62" s="609"/>
      <c r="B62" s="610"/>
      <c r="C62" s="610"/>
      <c r="D62" s="610"/>
      <c r="E62" s="610"/>
      <c r="F62" s="610"/>
      <c r="G62" s="610"/>
      <c r="H62" s="610"/>
      <c r="I62" s="610"/>
      <c r="J62" s="610"/>
      <c r="K62" s="610"/>
      <c r="L62" s="593"/>
      <c r="M62" s="593"/>
      <c r="N62" s="593"/>
      <c r="O62" s="594"/>
      <c r="P62" s="594"/>
    </row>
    <row r="63" spans="1:26" s="548" customFormat="1" ht="45">
      <c r="A63" s="611" t="s">
        <v>281</v>
      </c>
      <c r="B63" s="640" t="s">
        <v>90</v>
      </c>
      <c r="C63" s="640" t="s">
        <v>91</v>
      </c>
      <c r="D63" s="640" t="s">
        <v>92</v>
      </c>
      <c r="E63" s="640" t="s">
        <v>93</v>
      </c>
      <c r="F63" s="640" t="s">
        <v>94</v>
      </c>
      <c r="G63" s="640" t="s">
        <v>95</v>
      </c>
      <c r="H63" s="640" t="s">
        <v>96</v>
      </c>
      <c r="I63" s="640" t="s">
        <v>97</v>
      </c>
      <c r="J63" s="640" t="s">
        <v>98</v>
      </c>
      <c r="K63" s="640" t="s">
        <v>99</v>
      </c>
      <c r="L63" s="640" t="s">
        <v>100</v>
      </c>
      <c r="M63" s="641" t="s">
        <v>298</v>
      </c>
      <c r="N63" s="641" t="s">
        <v>101</v>
      </c>
      <c r="O63" s="641" t="s">
        <v>102</v>
      </c>
      <c r="P63" s="641" t="s">
        <v>547</v>
      </c>
      <c r="Q63" s="641" t="s">
        <v>103</v>
      </c>
      <c r="R63" s="641" t="s">
        <v>104</v>
      </c>
      <c r="S63" s="641" t="s">
        <v>105</v>
      </c>
      <c r="T63" s="641" t="s">
        <v>106</v>
      </c>
      <c r="U63" s="641" t="s">
        <v>107</v>
      </c>
      <c r="V63" s="641" t="s">
        <v>108</v>
      </c>
      <c r="W63" s="640" t="s">
        <v>109</v>
      </c>
      <c r="X63" s="640" t="s">
        <v>299</v>
      </c>
      <c r="Y63" s="640" t="s">
        <v>110</v>
      </c>
      <c r="Z63" s="642" t="s">
        <v>300</v>
      </c>
    </row>
    <row r="64" spans="1:26" s="612" customFormat="1" ht="12.75">
      <c r="A64" s="598"/>
      <c r="B64" s="791"/>
      <c r="C64" s="791"/>
      <c r="D64" s="646"/>
      <c r="E64" s="646"/>
      <c r="F64" s="646"/>
      <c r="G64" s="646"/>
      <c r="H64" s="646"/>
      <c r="I64" s="646"/>
      <c r="J64" s="790"/>
      <c r="K64" s="790"/>
      <c r="L64" s="646"/>
      <c r="M64" s="646"/>
      <c r="N64" s="646"/>
      <c r="O64" s="646"/>
      <c r="P64" s="646"/>
      <c r="Q64" s="646"/>
      <c r="R64" s="646"/>
      <c r="S64" s="646"/>
      <c r="T64" s="646"/>
      <c r="U64" s="646"/>
      <c r="V64" s="646"/>
      <c r="W64" s="646"/>
      <c r="X64" s="646"/>
      <c r="Y64" s="646"/>
      <c r="Z64" s="647"/>
    </row>
    <row r="65" spans="1:26" s="612" customFormat="1" ht="12.75">
      <c r="A65" s="598"/>
      <c r="B65" s="791"/>
      <c r="C65" s="791"/>
      <c r="D65" s="646"/>
      <c r="E65" s="646"/>
      <c r="F65" s="646"/>
      <c r="G65" s="646"/>
      <c r="H65" s="646"/>
      <c r="I65" s="646"/>
      <c r="J65" s="790"/>
      <c r="K65" s="790"/>
      <c r="L65" s="646"/>
      <c r="M65" s="646"/>
      <c r="N65" s="646"/>
      <c r="O65" s="646"/>
      <c r="P65" s="646"/>
      <c r="Q65" s="646"/>
      <c r="R65" s="646"/>
      <c r="S65" s="646"/>
      <c r="T65" s="646"/>
      <c r="U65" s="646"/>
      <c r="V65" s="646"/>
      <c r="W65" s="646"/>
      <c r="X65" s="646"/>
      <c r="Y65" s="646"/>
      <c r="Z65" s="647"/>
    </row>
    <row r="66" spans="1:26" s="612" customFormat="1" ht="12.75">
      <c r="A66" s="598"/>
      <c r="B66" s="791"/>
      <c r="C66" s="791"/>
      <c r="D66" s="646"/>
      <c r="E66" s="646"/>
      <c r="F66" s="646"/>
      <c r="G66" s="646"/>
      <c r="H66" s="646"/>
      <c r="I66" s="646"/>
      <c r="J66" s="790"/>
      <c r="K66" s="790"/>
      <c r="L66" s="646"/>
      <c r="M66" s="646"/>
      <c r="N66" s="646"/>
      <c r="O66" s="646"/>
      <c r="P66" s="646"/>
      <c r="Q66" s="646"/>
      <c r="R66" s="646"/>
      <c r="S66" s="646"/>
      <c r="T66" s="646"/>
      <c r="U66" s="646"/>
      <c r="V66" s="646"/>
      <c r="W66" s="646"/>
      <c r="X66" s="646"/>
      <c r="Y66" s="646"/>
      <c r="Z66" s="647"/>
    </row>
    <row r="67" spans="1:26" s="612" customFormat="1" ht="12.75">
      <c r="A67" s="598"/>
      <c r="B67" s="791"/>
      <c r="C67" s="791"/>
      <c r="D67" s="646"/>
      <c r="E67" s="646"/>
      <c r="F67" s="646"/>
      <c r="G67" s="646"/>
      <c r="H67" s="646"/>
      <c r="I67" s="646"/>
      <c r="J67" s="790"/>
      <c r="K67" s="790"/>
      <c r="L67" s="646"/>
      <c r="M67" s="646"/>
      <c r="N67" s="646"/>
      <c r="O67" s="646"/>
      <c r="P67" s="646"/>
      <c r="Q67" s="646"/>
      <c r="R67" s="646"/>
      <c r="S67" s="646"/>
      <c r="T67" s="646"/>
      <c r="U67" s="646"/>
      <c r="V67" s="646"/>
      <c r="W67" s="646"/>
      <c r="X67" s="646"/>
      <c r="Y67" s="646"/>
      <c r="Z67" s="647"/>
    </row>
    <row r="68" spans="1:26" s="612" customFormat="1" ht="12.75">
      <c r="A68" s="598"/>
      <c r="B68" s="791"/>
      <c r="C68" s="791"/>
      <c r="D68" s="646"/>
      <c r="E68" s="646"/>
      <c r="F68" s="646"/>
      <c r="G68" s="646"/>
      <c r="H68" s="646"/>
      <c r="I68" s="646"/>
      <c r="J68" s="790"/>
      <c r="K68" s="790"/>
      <c r="L68" s="646"/>
      <c r="M68" s="646"/>
      <c r="N68" s="646"/>
      <c r="O68" s="646"/>
      <c r="P68" s="646"/>
      <c r="Q68" s="646"/>
      <c r="R68" s="646"/>
      <c r="S68" s="646"/>
      <c r="T68" s="646"/>
      <c r="U68" s="646"/>
      <c r="V68" s="646"/>
      <c r="W68" s="646"/>
      <c r="X68" s="646"/>
      <c r="Y68" s="646"/>
      <c r="Z68" s="647"/>
    </row>
    <row r="69" spans="1:26" s="612" customFormat="1" ht="12.75">
      <c r="A69" s="598"/>
      <c r="B69" s="791"/>
      <c r="C69" s="791"/>
      <c r="D69" s="646"/>
      <c r="E69" s="646"/>
      <c r="F69" s="646"/>
      <c r="G69" s="646"/>
      <c r="H69" s="646"/>
      <c r="I69" s="646"/>
      <c r="J69" s="790"/>
      <c r="K69" s="790"/>
      <c r="L69" s="646"/>
      <c r="M69" s="646"/>
      <c r="N69" s="646"/>
      <c r="O69" s="646"/>
      <c r="P69" s="646"/>
      <c r="Q69" s="646"/>
      <c r="R69" s="646"/>
      <c r="S69" s="646"/>
      <c r="T69" s="646"/>
      <c r="U69" s="646"/>
      <c r="V69" s="646"/>
      <c r="W69" s="646"/>
      <c r="X69" s="646"/>
      <c r="Y69" s="646"/>
      <c r="Z69" s="647"/>
    </row>
    <row r="70" spans="1:26" s="612" customFormat="1" ht="12.75">
      <c r="A70" s="598"/>
      <c r="B70" s="791"/>
      <c r="C70" s="791"/>
      <c r="D70" s="646"/>
      <c r="E70" s="646"/>
      <c r="F70" s="646"/>
      <c r="G70" s="646"/>
      <c r="H70" s="646"/>
      <c r="I70" s="646"/>
      <c r="J70" s="790"/>
      <c r="K70" s="790"/>
      <c r="L70" s="646"/>
      <c r="M70" s="646"/>
      <c r="N70" s="646"/>
      <c r="O70" s="646"/>
      <c r="P70" s="646"/>
      <c r="Q70" s="646"/>
      <c r="R70" s="646"/>
      <c r="S70" s="646"/>
      <c r="T70" s="646"/>
      <c r="U70" s="646"/>
      <c r="V70" s="646"/>
      <c r="W70" s="646"/>
      <c r="X70" s="646"/>
      <c r="Y70" s="646"/>
      <c r="Z70" s="647"/>
    </row>
    <row r="71" spans="1:26" s="612" customFormat="1" ht="12.75">
      <c r="A71" s="598"/>
      <c r="B71" s="791"/>
      <c r="C71" s="791"/>
      <c r="D71" s="646"/>
      <c r="E71" s="646"/>
      <c r="F71" s="646"/>
      <c r="G71" s="646"/>
      <c r="H71" s="646"/>
      <c r="I71" s="646"/>
      <c r="J71" s="790"/>
      <c r="K71" s="790"/>
      <c r="L71" s="646"/>
      <c r="M71" s="646"/>
      <c r="N71" s="646"/>
      <c r="O71" s="646"/>
      <c r="P71" s="646"/>
      <c r="Q71" s="646"/>
      <c r="R71" s="646"/>
      <c r="S71" s="646"/>
      <c r="T71" s="646"/>
      <c r="U71" s="646"/>
      <c r="V71" s="646"/>
      <c r="W71" s="646"/>
      <c r="X71" s="646"/>
      <c r="Y71" s="646"/>
      <c r="Z71" s="647"/>
    </row>
    <row r="72" spans="1:26" s="612" customFormat="1" ht="12.75">
      <c r="A72" s="598"/>
      <c r="B72" s="791"/>
      <c r="C72" s="791"/>
      <c r="D72" s="646"/>
      <c r="E72" s="646"/>
      <c r="F72" s="646"/>
      <c r="G72" s="646"/>
      <c r="H72" s="646"/>
      <c r="I72" s="646"/>
      <c r="J72" s="790"/>
      <c r="K72" s="790"/>
      <c r="L72" s="646"/>
      <c r="M72" s="646"/>
      <c r="N72" s="646"/>
      <c r="O72" s="646"/>
      <c r="P72" s="646"/>
      <c r="Q72" s="646"/>
      <c r="R72" s="646"/>
      <c r="S72" s="646"/>
      <c r="T72" s="646"/>
      <c r="U72" s="646"/>
      <c r="V72" s="646"/>
      <c r="W72" s="646"/>
      <c r="X72" s="646"/>
      <c r="Y72" s="646"/>
      <c r="Z72" s="647"/>
    </row>
    <row r="73" spans="1:26" s="612" customFormat="1" ht="12.75">
      <c r="A73" s="598"/>
      <c r="B73" s="791"/>
      <c r="C73" s="791"/>
      <c r="D73" s="646"/>
      <c r="E73" s="646"/>
      <c r="F73" s="646"/>
      <c r="G73" s="646"/>
      <c r="H73" s="646"/>
      <c r="I73" s="646"/>
      <c r="J73" s="790"/>
      <c r="K73" s="790"/>
      <c r="L73" s="646"/>
      <c r="M73" s="646"/>
      <c r="N73" s="646"/>
      <c r="O73" s="646"/>
      <c r="P73" s="646"/>
      <c r="Q73" s="646"/>
      <c r="R73" s="646"/>
      <c r="S73" s="646"/>
      <c r="T73" s="646"/>
      <c r="U73" s="646"/>
      <c r="V73" s="646"/>
      <c r="W73" s="646"/>
      <c r="X73" s="646"/>
      <c r="Y73" s="646"/>
      <c r="Z73" s="647"/>
    </row>
    <row r="74" spans="1:26" s="612" customFormat="1" ht="12.75">
      <c r="A74" s="598"/>
      <c r="B74" s="791"/>
      <c r="C74" s="791"/>
      <c r="D74" s="646"/>
      <c r="E74" s="646"/>
      <c r="F74" s="646"/>
      <c r="G74" s="646"/>
      <c r="H74" s="646"/>
      <c r="I74" s="646"/>
      <c r="J74" s="790"/>
      <c r="K74" s="790"/>
      <c r="L74" s="646"/>
      <c r="M74" s="646"/>
      <c r="N74" s="646"/>
      <c r="O74" s="646"/>
      <c r="P74" s="646"/>
      <c r="Q74" s="646"/>
      <c r="R74" s="646"/>
      <c r="S74" s="646"/>
      <c r="T74" s="646"/>
      <c r="U74" s="646"/>
      <c r="V74" s="646"/>
      <c r="W74" s="646"/>
      <c r="X74" s="646"/>
      <c r="Y74" s="646"/>
      <c r="Z74" s="647"/>
    </row>
    <row r="75" spans="1:26" s="612" customFormat="1" ht="12.75">
      <c r="A75" s="598"/>
      <c r="B75" s="791"/>
      <c r="C75" s="791"/>
      <c r="D75" s="646"/>
      <c r="E75" s="646"/>
      <c r="F75" s="646"/>
      <c r="G75" s="646"/>
      <c r="H75" s="646"/>
      <c r="I75" s="646"/>
      <c r="J75" s="790"/>
      <c r="K75" s="790"/>
      <c r="L75" s="646"/>
      <c r="M75" s="646"/>
      <c r="N75" s="646"/>
      <c r="O75" s="646"/>
      <c r="P75" s="646"/>
      <c r="Q75" s="646"/>
      <c r="R75" s="646"/>
      <c r="S75" s="646"/>
      <c r="T75" s="646"/>
      <c r="U75" s="646"/>
      <c r="V75" s="646"/>
      <c r="W75" s="646"/>
      <c r="X75" s="646"/>
      <c r="Y75" s="646"/>
      <c r="Z75" s="647"/>
    </row>
    <row r="76" spans="1:26" s="612" customFormat="1" ht="12.75">
      <c r="A76" s="598"/>
      <c r="B76" s="791"/>
      <c r="C76" s="791"/>
      <c r="D76" s="646"/>
      <c r="E76" s="646"/>
      <c r="F76" s="646"/>
      <c r="G76" s="646"/>
      <c r="H76" s="646"/>
      <c r="I76" s="646"/>
      <c r="J76" s="790"/>
      <c r="K76" s="790"/>
      <c r="L76" s="646"/>
      <c r="M76" s="646"/>
      <c r="N76" s="646"/>
      <c r="O76" s="646"/>
      <c r="P76" s="646"/>
      <c r="Q76" s="646"/>
      <c r="R76" s="646"/>
      <c r="S76" s="646"/>
      <c r="T76" s="646"/>
      <c r="U76" s="646"/>
      <c r="V76" s="646"/>
      <c r="W76" s="646"/>
      <c r="X76" s="646"/>
      <c r="Y76" s="646"/>
      <c r="Z76" s="647"/>
    </row>
    <row r="77" spans="1:26" s="612" customFormat="1" ht="12.75">
      <c r="A77" s="598"/>
      <c r="B77" s="791"/>
      <c r="C77" s="791"/>
      <c r="D77" s="646"/>
      <c r="E77" s="646"/>
      <c r="F77" s="646"/>
      <c r="G77" s="646"/>
      <c r="H77" s="646"/>
      <c r="I77" s="646"/>
      <c r="J77" s="790"/>
      <c r="K77" s="790"/>
      <c r="L77" s="646"/>
      <c r="M77" s="646"/>
      <c r="N77" s="646"/>
      <c r="O77" s="646"/>
      <c r="P77" s="646"/>
      <c r="Q77" s="646"/>
      <c r="R77" s="646"/>
      <c r="S77" s="646"/>
      <c r="T77" s="646"/>
      <c r="U77" s="646"/>
      <c r="V77" s="646"/>
      <c r="W77" s="646"/>
      <c r="X77" s="646"/>
      <c r="Y77" s="646"/>
      <c r="Z77" s="647"/>
    </row>
    <row r="78" spans="1:26" s="612" customFormat="1" ht="12.75">
      <c r="A78" s="598"/>
      <c r="B78" s="791"/>
      <c r="C78" s="791"/>
      <c r="D78" s="646"/>
      <c r="E78" s="646"/>
      <c r="F78" s="646"/>
      <c r="G78" s="646"/>
      <c r="H78" s="646"/>
      <c r="I78" s="646"/>
      <c r="J78" s="790"/>
      <c r="K78" s="790"/>
      <c r="L78" s="646"/>
      <c r="M78" s="646"/>
      <c r="N78" s="646"/>
      <c r="O78" s="646"/>
      <c r="P78" s="646"/>
      <c r="Q78" s="646"/>
      <c r="R78" s="646"/>
      <c r="S78" s="646"/>
      <c r="T78" s="646"/>
      <c r="U78" s="646"/>
      <c r="V78" s="646"/>
      <c r="W78" s="646"/>
      <c r="X78" s="646"/>
      <c r="Y78" s="646"/>
      <c r="Z78" s="647"/>
    </row>
    <row r="79" spans="1:26" s="612" customFormat="1" ht="12.75">
      <c r="A79" s="598"/>
      <c r="B79" s="791"/>
      <c r="C79" s="791"/>
      <c r="D79" s="646"/>
      <c r="E79" s="646"/>
      <c r="F79" s="646"/>
      <c r="G79" s="646"/>
      <c r="H79" s="646"/>
      <c r="I79" s="646"/>
      <c r="J79" s="790"/>
      <c r="K79" s="790"/>
      <c r="L79" s="646"/>
      <c r="M79" s="646"/>
      <c r="N79" s="646"/>
      <c r="O79" s="646"/>
      <c r="P79" s="646"/>
      <c r="Q79" s="646"/>
      <c r="R79" s="646"/>
      <c r="S79" s="646"/>
      <c r="T79" s="646"/>
      <c r="U79" s="646"/>
      <c r="V79" s="646"/>
      <c r="W79" s="646"/>
      <c r="X79" s="646"/>
      <c r="Y79" s="646"/>
      <c r="Z79" s="647"/>
    </row>
    <row r="80" spans="1:26" s="612" customFormat="1" ht="12.75">
      <c r="A80" s="598"/>
      <c r="B80" s="791"/>
      <c r="C80" s="791"/>
      <c r="D80" s="646"/>
      <c r="E80" s="646"/>
      <c r="F80" s="646"/>
      <c r="G80" s="646"/>
      <c r="H80" s="646"/>
      <c r="I80" s="646"/>
      <c r="J80" s="790"/>
      <c r="K80" s="790"/>
      <c r="L80" s="646"/>
      <c r="M80" s="646"/>
      <c r="N80" s="646"/>
      <c r="O80" s="646"/>
      <c r="P80" s="646"/>
      <c r="Q80" s="646"/>
      <c r="R80" s="646"/>
      <c r="S80" s="646"/>
      <c r="T80" s="646"/>
      <c r="U80" s="646"/>
      <c r="V80" s="646"/>
      <c r="W80" s="646"/>
      <c r="X80" s="646"/>
      <c r="Y80" s="646"/>
      <c r="Z80" s="647"/>
    </row>
    <row r="81" spans="1:27" s="612" customFormat="1" ht="12.75">
      <c r="A81" s="598"/>
      <c r="B81" s="791"/>
      <c r="C81" s="791"/>
      <c r="D81" s="646"/>
      <c r="E81" s="646"/>
      <c r="F81" s="646"/>
      <c r="G81" s="646"/>
      <c r="H81" s="646"/>
      <c r="I81" s="646"/>
      <c r="J81" s="790"/>
      <c r="K81" s="790"/>
      <c r="L81" s="646"/>
      <c r="M81" s="646"/>
      <c r="N81" s="646"/>
      <c r="O81" s="646"/>
      <c r="P81" s="646"/>
      <c r="Q81" s="646"/>
      <c r="R81" s="646"/>
      <c r="S81" s="646"/>
      <c r="T81" s="646"/>
      <c r="U81" s="646"/>
      <c r="V81" s="646"/>
      <c r="W81" s="646"/>
      <c r="X81" s="646"/>
      <c r="Y81" s="646"/>
      <c r="Z81" s="647"/>
    </row>
    <row r="82" spans="1:27" s="612" customFormat="1" ht="12.75">
      <c r="A82" s="598"/>
      <c r="B82" s="791"/>
      <c r="C82" s="791"/>
      <c r="D82" s="646"/>
      <c r="E82" s="646"/>
      <c r="F82" s="646"/>
      <c r="G82" s="646"/>
      <c r="H82" s="646"/>
      <c r="I82" s="646"/>
      <c r="J82" s="790"/>
      <c r="K82" s="790"/>
      <c r="L82" s="646"/>
      <c r="M82" s="646"/>
      <c r="N82" s="646"/>
      <c r="O82" s="646"/>
      <c r="P82" s="646"/>
      <c r="Q82" s="646"/>
      <c r="R82" s="646"/>
      <c r="S82" s="646"/>
      <c r="T82" s="646"/>
      <c r="U82" s="646"/>
      <c r="V82" s="646"/>
      <c r="W82" s="646"/>
      <c r="X82" s="646"/>
      <c r="Y82" s="646"/>
      <c r="Z82" s="647"/>
    </row>
    <row r="83" spans="1:27" s="612" customFormat="1" ht="12.75">
      <c r="A83" s="598"/>
      <c r="B83" s="791"/>
      <c r="C83" s="791"/>
      <c r="D83" s="646"/>
      <c r="E83" s="646"/>
      <c r="F83" s="646"/>
      <c r="G83" s="646"/>
      <c r="H83" s="646"/>
      <c r="I83" s="646"/>
      <c r="J83" s="790"/>
      <c r="K83" s="790"/>
      <c r="L83" s="646"/>
      <c r="M83" s="646"/>
      <c r="N83" s="646"/>
      <c r="O83" s="646"/>
      <c r="P83" s="646"/>
      <c r="Q83" s="646"/>
      <c r="R83" s="646"/>
      <c r="S83" s="646"/>
      <c r="T83" s="646"/>
      <c r="U83" s="646"/>
      <c r="V83" s="646"/>
      <c r="W83" s="646"/>
      <c r="X83" s="646"/>
      <c r="Y83" s="646"/>
      <c r="Z83" s="647"/>
    </row>
    <row r="84" spans="1:27" s="612" customFormat="1" ht="12.75">
      <c r="A84" s="598"/>
      <c r="B84" s="791"/>
      <c r="C84" s="791"/>
      <c r="D84" s="646"/>
      <c r="E84" s="646"/>
      <c r="F84" s="646"/>
      <c r="G84" s="646"/>
      <c r="H84" s="646"/>
      <c r="I84" s="646"/>
      <c r="J84" s="790"/>
      <c r="K84" s="790"/>
      <c r="L84" s="646"/>
      <c r="M84" s="646"/>
      <c r="N84" s="646"/>
      <c r="O84" s="646"/>
      <c r="P84" s="646"/>
      <c r="Q84" s="646"/>
      <c r="R84" s="646"/>
      <c r="S84" s="646"/>
      <c r="T84" s="646"/>
      <c r="U84" s="646"/>
      <c r="V84" s="646"/>
      <c r="W84" s="646"/>
      <c r="X84" s="646"/>
      <c r="Y84" s="646"/>
      <c r="Z84" s="647"/>
    </row>
    <row r="85" spans="1:27" s="612" customFormat="1" ht="12.75">
      <c r="A85" s="598"/>
      <c r="B85" s="791"/>
      <c r="C85" s="791"/>
      <c r="D85" s="646"/>
      <c r="E85" s="646"/>
      <c r="F85" s="646"/>
      <c r="G85" s="646"/>
      <c r="H85" s="646"/>
      <c r="I85" s="646"/>
      <c r="J85" s="790"/>
      <c r="K85" s="790"/>
      <c r="L85" s="646"/>
      <c r="M85" s="646"/>
      <c r="N85" s="646"/>
      <c r="O85" s="646"/>
      <c r="P85" s="646"/>
      <c r="Q85" s="646"/>
      <c r="R85" s="646"/>
      <c r="S85" s="646"/>
      <c r="T85" s="646"/>
      <c r="U85" s="646"/>
      <c r="V85" s="646"/>
      <c r="W85" s="646"/>
      <c r="X85" s="646"/>
      <c r="Y85" s="646"/>
      <c r="Z85" s="647"/>
    </row>
    <row r="86" spans="1:27" s="612" customFormat="1" ht="12.75">
      <c r="A86" s="598"/>
      <c r="B86" s="791"/>
      <c r="C86" s="791"/>
      <c r="D86" s="646"/>
      <c r="E86" s="646"/>
      <c r="F86" s="646"/>
      <c r="G86" s="646"/>
      <c r="H86" s="646"/>
      <c r="I86" s="646"/>
      <c r="J86" s="790"/>
      <c r="K86" s="790"/>
      <c r="L86" s="646"/>
      <c r="M86" s="646"/>
      <c r="N86" s="646"/>
      <c r="O86" s="646"/>
      <c r="P86" s="646"/>
      <c r="Q86" s="646"/>
      <c r="R86" s="646"/>
      <c r="S86" s="646"/>
      <c r="T86" s="646"/>
      <c r="U86" s="646"/>
      <c r="V86" s="646"/>
      <c r="W86" s="646"/>
      <c r="X86" s="646"/>
      <c r="Y86" s="646"/>
      <c r="Z86" s="647"/>
    </row>
    <row r="87" spans="1:27" s="612" customFormat="1" ht="12.75">
      <c r="A87" s="598"/>
      <c r="B87" s="791"/>
      <c r="C87" s="791"/>
      <c r="D87" s="646"/>
      <c r="E87" s="646"/>
      <c r="F87" s="646"/>
      <c r="G87" s="646"/>
      <c r="H87" s="646"/>
      <c r="I87" s="646"/>
      <c r="J87" s="790"/>
      <c r="K87" s="790"/>
      <c r="L87" s="646"/>
      <c r="M87" s="646"/>
      <c r="N87" s="646"/>
      <c r="O87" s="646"/>
      <c r="P87" s="646"/>
      <c r="Q87" s="646"/>
      <c r="R87" s="646"/>
      <c r="S87" s="646"/>
      <c r="T87" s="646"/>
      <c r="U87" s="646"/>
      <c r="V87" s="646"/>
      <c r="W87" s="646"/>
      <c r="X87" s="646"/>
      <c r="Y87" s="646"/>
      <c r="Z87" s="647"/>
    </row>
    <row r="88" spans="1:27" s="612" customFormat="1" ht="12.75">
      <c r="A88" s="598"/>
      <c r="B88" s="791"/>
      <c r="C88" s="791"/>
      <c r="D88" s="646"/>
      <c r="E88" s="646"/>
      <c r="F88" s="646"/>
      <c r="G88" s="646"/>
      <c r="H88" s="646"/>
      <c r="I88" s="646"/>
      <c r="J88" s="790"/>
      <c r="K88" s="790"/>
      <c r="L88" s="646"/>
      <c r="M88" s="646"/>
      <c r="N88" s="646"/>
      <c r="O88" s="646"/>
      <c r="P88" s="646"/>
      <c r="Q88" s="646"/>
      <c r="R88" s="646"/>
      <c r="S88" s="646"/>
      <c r="T88" s="646"/>
      <c r="U88" s="646"/>
      <c r="V88" s="646"/>
      <c r="W88" s="646"/>
      <c r="X88" s="646"/>
      <c r="Y88" s="646"/>
      <c r="Z88" s="647"/>
    </row>
    <row r="89" spans="1:27" s="580" customFormat="1">
      <c r="A89" s="599" t="s">
        <v>280</v>
      </c>
      <c r="B89" s="600"/>
      <c r="C89" s="600"/>
      <c r="D89" s="600"/>
      <c r="E89" s="600"/>
      <c r="F89" s="600"/>
      <c r="G89" s="600"/>
      <c r="H89" s="600"/>
      <c r="I89" s="600"/>
      <c r="J89" s="600"/>
      <c r="K89" s="600"/>
      <c r="L89" s="601"/>
      <c r="M89" s="601">
        <f>SUM(M64:M88)</f>
        <v>0</v>
      </c>
      <c r="N89" s="601">
        <f t="shared" ref="N89:W89" si="5">SUM(N64:N88)</f>
        <v>0</v>
      </c>
      <c r="O89" s="601">
        <f t="shared" si="5"/>
        <v>0</v>
      </c>
      <c r="P89" s="601">
        <f t="shared" si="5"/>
        <v>0</v>
      </c>
      <c r="Q89" s="601">
        <f t="shared" si="5"/>
        <v>0</v>
      </c>
      <c r="R89" s="601">
        <f t="shared" si="5"/>
        <v>0</v>
      </c>
      <c r="S89" s="601">
        <f t="shared" si="5"/>
        <v>0</v>
      </c>
      <c r="T89" s="601">
        <f t="shared" si="5"/>
        <v>0</v>
      </c>
      <c r="U89" s="601">
        <f t="shared" si="5"/>
        <v>0</v>
      </c>
      <c r="V89" s="601">
        <f t="shared" si="5"/>
        <v>0</v>
      </c>
      <c r="W89" s="601">
        <f t="shared" si="5"/>
        <v>0</v>
      </c>
      <c r="X89" s="602"/>
      <c r="Y89" s="602"/>
      <c r="Z89" s="603"/>
    </row>
    <row r="90" spans="1:27" s="580" customFormat="1">
      <c r="A90" s="599" t="s">
        <v>287</v>
      </c>
      <c r="B90" s="600"/>
      <c r="C90" s="600"/>
      <c r="D90" s="600"/>
      <c r="E90" s="600"/>
      <c r="F90" s="600"/>
      <c r="G90" s="600"/>
      <c r="H90" s="600"/>
      <c r="I90" s="600"/>
      <c r="J90" s="600"/>
      <c r="K90" s="600"/>
      <c r="L90" s="601"/>
      <c r="M90" s="601">
        <f t="shared" ref="M90:W90" si="6">SUMIF($Z$64:$Z$88,"industrie",M64:M88)</f>
        <v>0</v>
      </c>
      <c r="N90" s="601">
        <f t="shared" si="6"/>
        <v>0</v>
      </c>
      <c r="O90" s="601">
        <f t="shared" si="6"/>
        <v>0</v>
      </c>
      <c r="P90" s="601">
        <f t="shared" si="6"/>
        <v>0</v>
      </c>
      <c r="Q90" s="601">
        <f t="shared" si="6"/>
        <v>0</v>
      </c>
      <c r="R90" s="601">
        <f t="shared" si="6"/>
        <v>0</v>
      </c>
      <c r="S90" s="601">
        <f t="shared" si="6"/>
        <v>0</v>
      </c>
      <c r="T90" s="601">
        <f t="shared" si="6"/>
        <v>0</v>
      </c>
      <c r="U90" s="601">
        <f t="shared" si="6"/>
        <v>0</v>
      </c>
      <c r="V90" s="601">
        <f t="shared" si="6"/>
        <v>0</v>
      </c>
      <c r="W90" s="601">
        <f t="shared" si="6"/>
        <v>0</v>
      </c>
      <c r="X90" s="602"/>
      <c r="Y90" s="602"/>
      <c r="Z90" s="603"/>
    </row>
    <row r="91" spans="1:27" s="580" customFormat="1">
      <c r="A91" s="599" t="s">
        <v>288</v>
      </c>
      <c r="B91" s="600"/>
      <c r="C91" s="600"/>
      <c r="D91" s="600"/>
      <c r="E91" s="600"/>
      <c r="F91" s="600"/>
      <c r="G91" s="600"/>
      <c r="H91" s="600"/>
      <c r="I91" s="600"/>
      <c r="J91" s="600"/>
      <c r="K91" s="600"/>
      <c r="L91" s="601"/>
      <c r="M91" s="601">
        <f t="shared" ref="M91:W91" si="7">SUMIF($Z$64:$Z$89,"tertiair",M64:M89)</f>
        <v>0</v>
      </c>
      <c r="N91" s="601">
        <f t="shared" si="7"/>
        <v>0</v>
      </c>
      <c r="O91" s="601">
        <f t="shared" si="7"/>
        <v>0</v>
      </c>
      <c r="P91" s="601">
        <f t="shared" si="7"/>
        <v>0</v>
      </c>
      <c r="Q91" s="601">
        <f t="shared" si="7"/>
        <v>0</v>
      </c>
      <c r="R91" s="601">
        <f t="shared" si="7"/>
        <v>0</v>
      </c>
      <c r="S91" s="601">
        <f t="shared" si="7"/>
        <v>0</v>
      </c>
      <c r="T91" s="601">
        <f t="shared" si="7"/>
        <v>0</v>
      </c>
      <c r="U91" s="601">
        <f t="shared" si="7"/>
        <v>0</v>
      </c>
      <c r="V91" s="601">
        <f t="shared" si="7"/>
        <v>0</v>
      </c>
      <c r="W91" s="601">
        <f t="shared" si="7"/>
        <v>0</v>
      </c>
      <c r="X91" s="602"/>
      <c r="Y91" s="602"/>
      <c r="Z91" s="603"/>
    </row>
    <row r="92" spans="1:27" s="580" customFormat="1" ht="15.75" thickBot="1">
      <c r="A92" s="604" t="s">
        <v>289</v>
      </c>
      <c r="B92" s="605"/>
      <c r="C92" s="605"/>
      <c r="D92" s="605"/>
      <c r="E92" s="605"/>
      <c r="F92" s="605"/>
      <c r="G92" s="605"/>
      <c r="H92" s="605"/>
      <c r="I92" s="605"/>
      <c r="J92" s="605"/>
      <c r="K92" s="605"/>
      <c r="L92" s="606"/>
      <c r="M92" s="606">
        <f t="shared" ref="M92:W92" si="8">SUMIF($Z$64:$Z$90,"landbouw",M64:M90)</f>
        <v>0</v>
      </c>
      <c r="N92" s="606">
        <f t="shared" si="8"/>
        <v>0</v>
      </c>
      <c r="O92" s="606">
        <f t="shared" si="8"/>
        <v>0</v>
      </c>
      <c r="P92" s="606">
        <f t="shared" si="8"/>
        <v>0</v>
      </c>
      <c r="Q92" s="606">
        <f t="shared" si="8"/>
        <v>0</v>
      </c>
      <c r="R92" s="606">
        <f t="shared" si="8"/>
        <v>0</v>
      </c>
      <c r="S92" s="606">
        <f t="shared" si="8"/>
        <v>0</v>
      </c>
      <c r="T92" s="606">
        <f t="shared" si="8"/>
        <v>0</v>
      </c>
      <c r="U92" s="606">
        <f t="shared" si="8"/>
        <v>0</v>
      </c>
      <c r="V92" s="606">
        <f t="shared" si="8"/>
        <v>0</v>
      </c>
      <c r="W92" s="606">
        <f t="shared" si="8"/>
        <v>0</v>
      </c>
      <c r="X92" s="607"/>
      <c r="Y92" s="607"/>
      <c r="Z92" s="608"/>
    </row>
    <row r="93" spans="1:27" s="613" customFormat="1">
      <c r="A93" s="609"/>
      <c r="B93" s="593"/>
      <c r="C93" s="593"/>
      <c r="D93" s="593"/>
      <c r="E93" s="593"/>
      <c r="F93" s="593"/>
      <c r="G93" s="593"/>
      <c r="H93" s="593"/>
      <c r="I93" s="593"/>
      <c r="J93" s="593"/>
      <c r="K93" s="593"/>
      <c r="L93" s="593"/>
      <c r="M93" s="593"/>
      <c r="N93" s="593"/>
      <c r="O93" s="593"/>
      <c r="P93" s="593"/>
      <c r="Q93" s="593"/>
      <c r="R93" s="593"/>
      <c r="S93" s="593"/>
      <c r="T93" s="593"/>
      <c r="U93" s="593"/>
      <c r="V93" s="593"/>
      <c r="W93" s="593"/>
      <c r="X93" s="593"/>
      <c r="Y93" s="593"/>
    </row>
    <row r="94" spans="1:27" s="613" customFormat="1" ht="15.75" thickBot="1">
      <c r="A94" s="609"/>
      <c r="B94" s="593"/>
      <c r="C94" s="593"/>
      <c r="D94" s="593"/>
      <c r="E94" s="593"/>
      <c r="F94" s="593"/>
      <c r="G94" s="593"/>
      <c r="H94" s="593"/>
      <c r="I94" s="593"/>
      <c r="J94" s="593"/>
      <c r="K94" s="593"/>
      <c r="L94" s="593"/>
      <c r="M94" s="593"/>
      <c r="N94" s="593"/>
      <c r="O94" s="593"/>
      <c r="P94" s="593"/>
      <c r="Q94" s="593"/>
      <c r="R94" s="593"/>
      <c r="S94" s="593"/>
      <c r="T94" s="593"/>
      <c r="U94" s="593"/>
      <c r="V94" s="593"/>
      <c r="W94" s="593"/>
      <c r="X94" s="593"/>
      <c r="Y94" s="593"/>
      <c r="Z94" s="593"/>
      <c r="AA94" s="593"/>
    </row>
    <row r="95" spans="1:27">
      <c r="A95" s="614" t="s">
        <v>282</v>
      </c>
      <c r="B95" s="615"/>
      <c r="C95" s="615"/>
      <c r="D95" s="615"/>
      <c r="E95" s="615"/>
      <c r="F95" s="615"/>
      <c r="G95" s="615"/>
      <c r="H95" s="615"/>
      <c r="I95" s="616"/>
      <c r="J95" s="617"/>
      <c r="K95" s="617"/>
      <c r="L95" s="618"/>
      <c r="M95" s="618"/>
      <c r="N95" s="618"/>
      <c r="O95" s="618"/>
      <c r="P95" s="618"/>
    </row>
    <row r="96" spans="1:27">
      <c r="A96" s="620"/>
      <c r="B96" s="610"/>
      <c r="C96" s="610"/>
      <c r="D96" s="610"/>
      <c r="E96" s="610"/>
      <c r="F96" s="610"/>
      <c r="G96" s="610"/>
      <c r="H96" s="610"/>
      <c r="I96" s="621"/>
      <c r="J96" s="610"/>
      <c r="K96" s="610"/>
      <c r="L96" s="618"/>
      <c r="M96" s="618"/>
      <c r="N96" s="618"/>
      <c r="O96" s="618"/>
      <c r="P96" s="618"/>
    </row>
    <row r="97" spans="1:16">
      <c r="A97" s="622"/>
      <c r="B97" s="623" t="s">
        <v>283</v>
      </c>
      <c r="C97" s="623" t="s">
        <v>284</v>
      </c>
      <c r="D97" s="623"/>
      <c r="E97" s="623"/>
      <c r="F97" s="623"/>
      <c r="G97" s="623"/>
      <c r="H97" s="623"/>
      <c r="I97" s="624"/>
      <c r="J97" s="623"/>
      <c r="K97" s="623"/>
      <c r="L97" s="623"/>
      <c r="M97" s="623"/>
      <c r="N97" s="623"/>
      <c r="O97" s="623"/>
      <c r="P97" s="618"/>
    </row>
    <row r="98" spans="1:16">
      <c r="A98" s="620" t="s">
        <v>280</v>
      </c>
      <c r="B98" s="625">
        <f>IF(ISERROR(O58/(O58+N58)),0,O58/(O58+N58))</f>
        <v>0</v>
      </c>
      <c r="C98" s="626">
        <f>IF(ISERROR(N58/(O58+N58)),0,N58/(N58+O58))</f>
        <v>0</v>
      </c>
      <c r="D98" s="593"/>
      <c r="E98" s="593"/>
      <c r="F98" s="593"/>
      <c r="G98" s="593"/>
      <c r="H98" s="593"/>
      <c r="I98" s="627"/>
      <c r="J98" s="593"/>
      <c r="K98" s="593"/>
      <c r="L98" s="628"/>
      <c r="M98" s="628"/>
      <c r="N98" s="628"/>
      <c r="O98" s="628"/>
      <c r="P98" s="618"/>
    </row>
    <row r="99" spans="1:16">
      <c r="A99" s="620"/>
      <c r="B99" s="629"/>
      <c r="C99" s="629"/>
      <c r="D99" s="629"/>
      <c r="E99" s="629"/>
      <c r="F99" s="629"/>
      <c r="G99" s="629"/>
      <c r="H99" s="629"/>
      <c r="I99" s="630"/>
      <c r="J99" s="629"/>
      <c r="K99" s="629"/>
      <c r="L99" s="631"/>
      <c r="M99" s="631"/>
      <c r="N99" s="631"/>
      <c r="O99" s="631"/>
      <c r="P99" s="618"/>
    </row>
    <row r="100" spans="1:16" ht="30">
      <c r="A100" s="632"/>
      <c r="B100" s="633" t="s">
        <v>547</v>
      </c>
      <c r="C100" s="633" t="s">
        <v>103</v>
      </c>
      <c r="D100" s="633" t="s">
        <v>104</v>
      </c>
      <c r="E100" s="633" t="s">
        <v>105</v>
      </c>
      <c r="F100" s="633" t="s">
        <v>106</v>
      </c>
      <c r="G100" s="633" t="s">
        <v>107</v>
      </c>
      <c r="H100" s="633" t="s">
        <v>108</v>
      </c>
      <c r="I100" s="634" t="s">
        <v>109</v>
      </c>
      <c r="J100" s="623"/>
      <c r="K100" s="623"/>
      <c r="L100" s="631"/>
      <c r="M100" s="631"/>
      <c r="N100" s="631"/>
      <c r="O100" s="618"/>
      <c r="P100" s="618"/>
    </row>
    <row r="101" spans="1:16">
      <c r="A101" s="622" t="s">
        <v>285</v>
      </c>
      <c r="B101" s="635">
        <f t="shared" ref="B101:I101" si="9">$C$98*P58</f>
        <v>0</v>
      </c>
      <c r="C101" s="635">
        <f t="shared" si="9"/>
        <v>0</v>
      </c>
      <c r="D101" s="635">
        <f t="shared" si="9"/>
        <v>0</v>
      </c>
      <c r="E101" s="635">
        <f t="shared" si="9"/>
        <v>0</v>
      </c>
      <c r="F101" s="635">
        <f t="shared" si="9"/>
        <v>0</v>
      </c>
      <c r="G101" s="635">
        <f t="shared" si="9"/>
        <v>0</v>
      </c>
      <c r="H101" s="635">
        <f t="shared" si="9"/>
        <v>0</v>
      </c>
      <c r="I101" s="636">
        <f t="shared" si="9"/>
        <v>0</v>
      </c>
      <c r="J101" s="593"/>
      <c r="K101" s="593"/>
      <c r="L101" s="631"/>
      <c r="M101" s="631"/>
      <c r="N101" s="631"/>
      <c r="O101" s="618"/>
      <c r="P101" s="618"/>
    </row>
    <row r="102" spans="1:16" ht="15.75" thickBot="1">
      <c r="A102" s="637" t="s">
        <v>286</v>
      </c>
      <c r="B102" s="638">
        <f t="shared" ref="B102:I102" si="10">$B$98*P58</f>
        <v>0</v>
      </c>
      <c r="C102" s="638">
        <f t="shared" si="10"/>
        <v>0</v>
      </c>
      <c r="D102" s="638">
        <f t="shared" si="10"/>
        <v>0</v>
      </c>
      <c r="E102" s="638">
        <f t="shared" si="10"/>
        <v>0</v>
      </c>
      <c r="F102" s="638">
        <f t="shared" si="10"/>
        <v>0</v>
      </c>
      <c r="G102" s="638">
        <f t="shared" si="10"/>
        <v>0</v>
      </c>
      <c r="H102" s="638">
        <f t="shared" si="10"/>
        <v>0</v>
      </c>
      <c r="I102" s="639">
        <f t="shared" si="10"/>
        <v>0</v>
      </c>
      <c r="J102" s="593"/>
      <c r="K102" s="593"/>
      <c r="L102" s="631"/>
      <c r="M102" s="631"/>
      <c r="N102" s="631"/>
      <c r="O102" s="618"/>
      <c r="P102" s="618"/>
    </row>
    <row r="103" spans="1:16">
      <c r="J103" s="578"/>
      <c r="K103" s="578"/>
      <c r="L103" s="578"/>
      <c r="M103" s="578"/>
      <c r="N103" s="578"/>
    </row>
    <row r="104" spans="1:16">
      <c r="J104" s="578"/>
      <c r="K104" s="578"/>
      <c r="L104" s="578"/>
      <c r="M104" s="578"/>
      <c r="N104" s="57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27" t="s">
        <v>757</v>
      </c>
      <c r="B2" s="931" t="s">
        <v>758</v>
      </c>
      <c r="C2" s="927" t="s">
        <v>193</v>
      </c>
      <c r="D2" s="927" t="s">
        <v>759</v>
      </c>
      <c r="E2" s="930"/>
      <c r="F2" s="932" t="s">
        <v>760</v>
      </c>
      <c r="G2" s="932" t="s">
        <v>761</v>
      </c>
      <c r="H2" s="932" t="s">
        <v>762</v>
      </c>
    </row>
    <row r="3" spans="1:9" s="11" customFormat="1">
      <c r="A3" s="355" t="s">
        <v>766</v>
      </c>
      <c r="B3" s="940" t="s">
        <v>790</v>
      </c>
      <c r="C3" s="355" t="s">
        <v>193</v>
      </c>
      <c r="D3" s="355" t="s">
        <v>777</v>
      </c>
      <c r="E3" s="356"/>
      <c r="F3" s="935" t="s">
        <v>785</v>
      </c>
      <c r="G3" s="935" t="s">
        <v>786</v>
      </c>
      <c r="H3" s="354" t="s">
        <v>787</v>
      </c>
      <c r="I3" s="884"/>
    </row>
    <row r="4" spans="1:9" s="11" customFormat="1">
      <c r="A4" s="927" t="s">
        <v>753</v>
      </c>
      <c r="B4" s="928" t="s">
        <v>758</v>
      </c>
      <c r="C4" s="927" t="s">
        <v>193</v>
      </c>
      <c r="D4" s="929" t="s">
        <v>791</v>
      </c>
      <c r="E4" s="930"/>
      <c r="F4" s="895" t="s">
        <v>760</v>
      </c>
      <c r="G4" s="895" t="s">
        <v>761</v>
      </c>
      <c r="H4" s="895" t="s">
        <v>762</v>
      </c>
    </row>
    <row r="5" spans="1:9" s="884" customFormat="1">
      <c r="A5" s="927" t="s">
        <v>412</v>
      </c>
      <c r="B5" s="937">
        <v>2014</v>
      </c>
      <c r="C5" s="927" t="s">
        <v>412</v>
      </c>
      <c r="D5" s="927" t="s">
        <v>783</v>
      </c>
      <c r="E5" s="930"/>
      <c r="F5" s="932" t="s">
        <v>763</v>
      </c>
      <c r="G5" s="932" t="s">
        <v>764</v>
      </c>
      <c r="H5" s="932"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939">
        <v>2013</v>
      </c>
      <c r="C9" s="355" t="s">
        <v>412</v>
      </c>
      <c r="D9" s="355" t="s">
        <v>782</v>
      </c>
      <c r="E9" s="930" t="s">
        <v>784</v>
      </c>
      <c r="F9" s="895"/>
      <c r="G9" s="895"/>
      <c r="H9" s="895"/>
    </row>
    <row r="10" spans="1:9" s="11" customFormat="1">
      <c r="A10" s="355" t="s">
        <v>806</v>
      </c>
      <c r="B10" s="795" t="s">
        <v>807</v>
      </c>
      <c r="C10" s="355" t="s">
        <v>808</v>
      </c>
      <c r="D10" s="355" t="s">
        <v>804</v>
      </c>
      <c r="E10" s="358" t="s">
        <v>803</v>
      </c>
      <c r="F10" s="895"/>
      <c r="G10" s="895"/>
      <c r="H10" s="895"/>
    </row>
    <row r="11" spans="1:9">
      <c r="A11" s="355" t="s">
        <v>640</v>
      </c>
      <c r="B11" s="891" t="s">
        <v>687</v>
      </c>
      <c r="C11" s="355" t="s">
        <v>645</v>
      </c>
      <c r="D11" s="355" t="s">
        <v>646</v>
      </c>
      <c r="E11" s="352"/>
      <c r="F11" s="353" t="s">
        <v>642</v>
      </c>
      <c r="G11" s="353" t="s">
        <v>643</v>
      </c>
      <c r="H11" s="354" t="s">
        <v>644</v>
      </c>
    </row>
    <row r="12" spans="1:9" s="884" customFormat="1">
      <c r="A12" s="933" t="s">
        <v>770</v>
      </c>
      <c r="B12" s="934" t="s">
        <v>771</v>
      </c>
      <c r="C12" s="933" t="s">
        <v>772</v>
      </c>
      <c r="D12" s="933" t="s">
        <v>773</v>
      </c>
      <c r="E12" s="689"/>
      <c r="F12" s="935" t="s">
        <v>774</v>
      </c>
      <c r="G12" s="935" t="s">
        <v>775</v>
      </c>
      <c r="H12" s="354" t="s">
        <v>776</v>
      </c>
    </row>
    <row r="13" spans="1:9" s="884" customFormat="1">
      <c r="A13" s="927" t="s">
        <v>788</v>
      </c>
      <c r="B13" s="937">
        <v>2017</v>
      </c>
      <c r="C13" s="927" t="s">
        <v>431</v>
      </c>
      <c r="D13" s="927" t="s">
        <v>789</v>
      </c>
      <c r="E13" s="938"/>
      <c r="F13" s="935" t="s">
        <v>785</v>
      </c>
      <c r="G13" s="935"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892" customFormat="1">
      <c r="A17" s="896" t="s">
        <v>519</v>
      </c>
      <c r="B17" s="897" t="s">
        <v>381</v>
      </c>
      <c r="C17" s="896" t="s">
        <v>379</v>
      </c>
      <c r="D17" s="898" t="s">
        <v>380</v>
      </c>
      <c r="E17" s="899" t="s">
        <v>382</v>
      </c>
      <c r="F17" s="936" t="s">
        <v>778</v>
      </c>
      <c r="G17" s="936" t="s">
        <v>779</v>
      </c>
      <c r="H17" s="354" t="s">
        <v>780</v>
      </c>
    </row>
    <row r="18" spans="1:8" s="892" customFormat="1">
      <c r="A18" s="896" t="s">
        <v>519</v>
      </c>
      <c r="B18" s="897" t="s">
        <v>812</v>
      </c>
      <c r="C18" s="896" t="s">
        <v>814</v>
      </c>
      <c r="D18" s="898" t="s">
        <v>815</v>
      </c>
      <c r="E18" s="899"/>
      <c r="F18" s="936" t="s">
        <v>778</v>
      </c>
      <c r="G18" s="936" t="s">
        <v>779</v>
      </c>
      <c r="H18" s="354" t="s">
        <v>780</v>
      </c>
    </row>
    <row r="19" spans="1:8" s="11" customFormat="1">
      <c r="A19" s="355" t="s">
        <v>518</v>
      </c>
      <c r="B19" s="359" t="s">
        <v>678</v>
      </c>
      <c r="C19" s="355" t="s">
        <v>431</v>
      </c>
      <c r="D19" s="355" t="s">
        <v>690</v>
      </c>
      <c r="E19" s="356"/>
      <c r="F19" s="932" t="s">
        <v>778</v>
      </c>
      <c r="G19" s="936" t="s">
        <v>779</v>
      </c>
      <c r="H19" s="354" t="s">
        <v>780</v>
      </c>
    </row>
    <row r="20" spans="1:8" s="10" customFormat="1">
      <c r="A20" s="355" t="s">
        <v>517</v>
      </c>
      <c r="B20" s="359" t="s">
        <v>516</v>
      </c>
      <c r="C20" s="355" t="s">
        <v>515</v>
      </c>
      <c r="D20" s="355" t="s">
        <v>514</v>
      </c>
      <c r="E20" s="348"/>
      <c r="F20" s="349"/>
      <c r="G20" s="349"/>
      <c r="H20" s="357"/>
    </row>
    <row r="21" spans="1:8">
      <c r="A21" s="355" t="s">
        <v>193</v>
      </c>
      <c r="B21" s="795" t="s">
        <v>701</v>
      </c>
      <c r="C21" s="355" t="s">
        <v>432</v>
      </c>
      <c r="D21" s="355" t="s">
        <v>433</v>
      </c>
      <c r="E21" s="352"/>
      <c r="F21" s="353" t="s">
        <v>434</v>
      </c>
      <c r="G21" s="353" t="s">
        <v>435</v>
      </c>
      <c r="H21" s="354" t="s">
        <v>436</v>
      </c>
    </row>
    <row r="22" spans="1:8" s="884" customFormat="1">
      <c r="A22" s="355" t="s">
        <v>413</v>
      </c>
      <c r="B22" s="795" t="s">
        <v>812</v>
      </c>
      <c r="C22" s="355" t="s">
        <v>413</v>
      </c>
      <c r="D22" s="355" t="s">
        <v>816</v>
      </c>
      <c r="E22" s="352"/>
      <c r="F22" s="353" t="s">
        <v>821</v>
      </c>
      <c r="G22" s="353" t="s">
        <v>822</v>
      </c>
      <c r="H22" s="354" t="s">
        <v>823</v>
      </c>
    </row>
    <row r="23" spans="1:8" s="884" customFormat="1">
      <c r="A23" s="355" t="s">
        <v>413</v>
      </c>
      <c r="B23" s="795"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891"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34"/>
  <sheetViews>
    <sheetView topLeftCell="A6" workbookViewId="0">
      <selection activeCell="C29" sqref="C29:D29"/>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0" t="s">
        <v>630</v>
      </c>
      <c r="B1" s="900" t="s">
        <v>631</v>
      </c>
      <c r="C1" s="900" t="s">
        <v>633</v>
      </c>
      <c r="D1" s="900" t="s">
        <v>632</v>
      </c>
    </row>
    <row r="2" spans="1:4" s="884" customFormat="1">
      <c r="A2" s="884" t="s">
        <v>681</v>
      </c>
      <c r="B2" s="772">
        <v>42283</v>
      </c>
      <c r="C2" s="884" t="s">
        <v>713</v>
      </c>
      <c r="D2" s="889" t="s">
        <v>707</v>
      </c>
    </row>
    <row r="3" spans="1:4" s="884" customFormat="1">
      <c r="A3" s="884" t="s">
        <v>681</v>
      </c>
      <c r="B3" s="772">
        <v>42282</v>
      </c>
      <c r="C3" s="884" t="s">
        <v>712</v>
      </c>
      <c r="D3" s="889" t="s">
        <v>703</v>
      </c>
    </row>
    <row r="4" spans="1:4" s="884" customFormat="1">
      <c r="A4" s="884" t="s">
        <v>681</v>
      </c>
      <c r="B4" s="772">
        <v>42282</v>
      </c>
      <c r="C4" s="884" t="s">
        <v>711</v>
      </c>
      <c r="D4" s="889" t="s">
        <v>704</v>
      </c>
    </row>
    <row r="5" spans="1:4" s="884" customFormat="1">
      <c r="A5" s="884" t="s">
        <v>681</v>
      </c>
      <c r="B5" s="772">
        <v>42282</v>
      </c>
      <c r="C5" s="884" t="s">
        <v>710</v>
      </c>
      <c r="D5" s="889" t="s">
        <v>705</v>
      </c>
    </row>
    <row r="6" spans="1:4" s="884" customFormat="1">
      <c r="A6" s="884" t="s">
        <v>681</v>
      </c>
      <c r="B6" s="772">
        <v>42282</v>
      </c>
      <c r="C6" s="884" t="s">
        <v>709</v>
      </c>
      <c r="D6" s="889" t="s">
        <v>706</v>
      </c>
    </row>
    <row r="7" spans="1:4">
      <c r="A7" t="s">
        <v>681</v>
      </c>
      <c r="B7" s="772">
        <v>42275</v>
      </c>
      <c r="C7" t="s">
        <v>702</v>
      </c>
      <c r="D7" s="773" t="s">
        <v>649</v>
      </c>
    </row>
    <row r="8" spans="1:4">
      <c r="A8" t="s">
        <v>681</v>
      </c>
      <c r="B8" s="772">
        <v>42234</v>
      </c>
      <c r="C8" t="s">
        <v>682</v>
      </c>
      <c r="D8" s="773" t="s">
        <v>650</v>
      </c>
    </row>
    <row r="9" spans="1:4" s="892" customFormat="1">
      <c r="A9" s="892" t="s">
        <v>681</v>
      </c>
      <c r="B9" s="893">
        <v>42234</v>
      </c>
      <c r="C9" s="892" t="s">
        <v>697</v>
      </c>
      <c r="D9" s="889" t="s">
        <v>667</v>
      </c>
    </row>
    <row r="10" spans="1:4" s="892" customFormat="1">
      <c r="A10" s="892" t="s">
        <v>681</v>
      </c>
      <c r="B10" s="893">
        <v>42234</v>
      </c>
      <c r="C10" s="892" t="s">
        <v>698</v>
      </c>
      <c r="D10" s="889" t="s">
        <v>668</v>
      </c>
    </row>
    <row r="11" spans="1:4" s="892" customFormat="1">
      <c r="A11" s="892" t="s">
        <v>714</v>
      </c>
      <c r="B11" s="893">
        <v>42430</v>
      </c>
      <c r="C11" s="892" t="s">
        <v>715</v>
      </c>
      <c r="D11" s="889" t="s">
        <v>705</v>
      </c>
    </row>
    <row r="12" spans="1:4" s="7" customFormat="1">
      <c r="A12" s="892" t="s">
        <v>714</v>
      </c>
      <c r="B12" s="893">
        <v>42468</v>
      </c>
      <c r="C12" s="892" t="s">
        <v>716</v>
      </c>
      <c r="D12" s="909" t="s">
        <v>667</v>
      </c>
    </row>
    <row r="13" spans="1:4" s="7" customFormat="1">
      <c r="A13" s="892" t="s">
        <v>714</v>
      </c>
      <c r="B13" s="911">
        <v>42538</v>
      </c>
      <c r="C13" s="911" t="s">
        <v>717</v>
      </c>
      <c r="D13" s="911"/>
    </row>
    <row r="14" spans="1:4" s="7" customFormat="1">
      <c r="A14" s="892" t="s">
        <v>714</v>
      </c>
      <c r="B14" s="911">
        <v>42538</v>
      </c>
      <c r="C14" s="911" t="s">
        <v>718</v>
      </c>
      <c r="D14" s="912" t="s">
        <v>719</v>
      </c>
    </row>
    <row r="15" spans="1:4" s="7" customFormat="1">
      <c r="A15" s="892" t="s">
        <v>714</v>
      </c>
      <c r="B15" s="911">
        <v>42538</v>
      </c>
      <c r="C15" s="911" t="s">
        <v>720</v>
      </c>
      <c r="D15" s="913" t="s">
        <v>721</v>
      </c>
    </row>
    <row r="16" spans="1:4" s="7" customFormat="1">
      <c r="A16" s="892" t="s">
        <v>714</v>
      </c>
      <c r="B16" s="911">
        <v>42538</v>
      </c>
      <c r="C16" s="911" t="s">
        <v>722</v>
      </c>
      <c r="D16" s="912" t="s">
        <v>723</v>
      </c>
    </row>
    <row r="17" spans="1:4" s="7" customFormat="1">
      <c r="A17" s="892" t="s">
        <v>747</v>
      </c>
      <c r="B17" s="911">
        <v>42583</v>
      </c>
      <c r="C17" s="911" t="s">
        <v>748</v>
      </c>
      <c r="D17" s="889" t="s">
        <v>667</v>
      </c>
    </row>
    <row r="18" spans="1:4" s="7" customFormat="1">
      <c r="A18" s="892" t="s">
        <v>754</v>
      </c>
      <c r="B18" s="772">
        <v>42877</v>
      </c>
      <c r="C18" s="884" t="s">
        <v>809</v>
      </c>
      <c r="D18" s="889" t="s">
        <v>706</v>
      </c>
    </row>
    <row r="19" spans="1:4" s="7" customFormat="1">
      <c r="A19" s="892" t="s">
        <v>754</v>
      </c>
      <c r="B19" s="772">
        <v>42877</v>
      </c>
      <c r="C19" s="884" t="s">
        <v>810</v>
      </c>
      <c r="D19" s="926" t="s">
        <v>755</v>
      </c>
    </row>
    <row r="20" spans="1:4" s="7" customFormat="1">
      <c r="A20" s="892" t="s">
        <v>754</v>
      </c>
      <c r="B20" s="772">
        <v>42877</v>
      </c>
      <c r="C20" s="884" t="s">
        <v>811</v>
      </c>
      <c r="D20" s="889" t="s">
        <v>756</v>
      </c>
    </row>
    <row r="21" spans="1:4" s="7" customFormat="1">
      <c r="A21" s="892" t="s">
        <v>793</v>
      </c>
      <c r="B21" s="911">
        <v>43167</v>
      </c>
      <c r="C21" s="911" t="s">
        <v>794</v>
      </c>
      <c r="D21" s="926" t="s">
        <v>795</v>
      </c>
    </row>
    <row r="22" spans="1:4" s="7" customFormat="1">
      <c r="A22" s="892" t="s">
        <v>793</v>
      </c>
      <c r="B22" s="911">
        <v>43167</v>
      </c>
      <c r="C22" s="911" t="s">
        <v>796</v>
      </c>
      <c r="D22" s="889" t="s">
        <v>797</v>
      </c>
    </row>
    <row r="23" spans="1:4">
      <c r="A23" s="892" t="s">
        <v>793</v>
      </c>
      <c r="B23" s="911">
        <v>43167</v>
      </c>
      <c r="C23" s="911" t="s">
        <v>798</v>
      </c>
      <c r="D23" s="889" t="s">
        <v>799</v>
      </c>
    </row>
    <row r="24" spans="1:4">
      <c r="A24" s="892" t="s">
        <v>793</v>
      </c>
      <c r="B24" s="911">
        <v>43167</v>
      </c>
      <c r="C24" s="911" t="s">
        <v>800</v>
      </c>
      <c r="D24" s="889" t="s">
        <v>801</v>
      </c>
    </row>
    <row r="25" spans="1:4">
      <c r="A25" s="892" t="s">
        <v>793</v>
      </c>
      <c r="B25" s="911">
        <v>43278</v>
      </c>
      <c r="C25" s="911" t="s">
        <v>830</v>
      </c>
      <c r="D25" s="926"/>
    </row>
    <row r="26" spans="1:4">
      <c r="A26" s="892" t="s">
        <v>831</v>
      </c>
      <c r="B26" s="772">
        <v>43425</v>
      </c>
      <c r="C26" s="911" t="s">
        <v>832</v>
      </c>
    </row>
    <row r="27" spans="1:4">
      <c r="A27" s="892" t="s">
        <v>831</v>
      </c>
      <c r="B27" s="772">
        <v>43444</v>
      </c>
      <c r="C27" s="911" t="s">
        <v>868</v>
      </c>
      <c r="D27" s="926" t="s">
        <v>869</v>
      </c>
    </row>
    <row r="28" spans="1:4">
      <c r="A28" s="892" t="s">
        <v>879</v>
      </c>
      <c r="B28" s="772">
        <v>43573</v>
      </c>
      <c r="C28" s="911" t="s">
        <v>880</v>
      </c>
    </row>
    <row r="29" spans="1:4">
      <c r="A29" s="892" t="s">
        <v>903</v>
      </c>
      <c r="B29" s="772">
        <v>43678</v>
      </c>
      <c r="C29" s="911" t="s">
        <v>904</v>
      </c>
      <c r="D29" s="889" t="s">
        <v>905</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B14" sqref="B14"/>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60" t="s">
        <v>563</v>
      </c>
      <c r="B1" s="1161" t="s">
        <v>559</v>
      </c>
      <c r="C1" s="1161"/>
      <c r="D1" s="1161"/>
      <c r="E1" s="1161"/>
      <c r="F1" s="1161"/>
      <c r="G1" s="1161"/>
      <c r="H1" s="1161"/>
      <c r="I1" s="1161"/>
      <c r="J1" s="1161"/>
      <c r="K1" s="1161"/>
      <c r="L1" s="1161"/>
      <c r="M1" s="1161"/>
      <c r="N1" s="1161"/>
      <c r="O1" s="1161"/>
      <c r="P1" s="1162"/>
      <c r="Q1" s="1025"/>
    </row>
    <row r="2" spans="1:17">
      <c r="A2" s="1160"/>
      <c r="B2" s="1163" t="s">
        <v>21</v>
      </c>
      <c r="C2" s="1165" t="s">
        <v>196</v>
      </c>
      <c r="D2" s="1167" t="s">
        <v>197</v>
      </c>
      <c r="E2" s="1168"/>
      <c r="F2" s="1168"/>
      <c r="G2" s="1168"/>
      <c r="H2" s="1168"/>
      <c r="I2" s="1168"/>
      <c r="J2" s="1168"/>
      <c r="K2" s="1164"/>
      <c r="L2" s="1167" t="s">
        <v>198</v>
      </c>
      <c r="M2" s="1168"/>
      <c r="N2" s="1168"/>
      <c r="O2" s="1168"/>
      <c r="P2" s="1164"/>
      <c r="Q2" s="1025"/>
    </row>
    <row r="3" spans="1:17" ht="45">
      <c r="A3" s="1160"/>
      <c r="B3" s="1164"/>
      <c r="C3" s="1166"/>
      <c r="D3" s="1025" t="s">
        <v>199</v>
      </c>
      <c r="E3" s="1025" t="s">
        <v>200</v>
      </c>
      <c r="F3" s="1025" t="s">
        <v>201</v>
      </c>
      <c r="G3" s="1025" t="s">
        <v>202</v>
      </c>
      <c r="H3" s="1025" t="s">
        <v>120</v>
      </c>
      <c r="I3" s="1025" t="s">
        <v>203</v>
      </c>
      <c r="J3" s="1025" t="s">
        <v>204</v>
      </c>
      <c r="K3" s="1025" t="s">
        <v>205</v>
      </c>
      <c r="L3" s="1025" t="s">
        <v>206</v>
      </c>
      <c r="M3" s="1025" t="s">
        <v>207</v>
      </c>
      <c r="N3" s="1025" t="s">
        <v>208</v>
      </c>
      <c r="O3" s="1025" t="s">
        <v>209</v>
      </c>
      <c r="P3" s="1025" t="s">
        <v>210</v>
      </c>
      <c r="Q3" s="1025" t="s">
        <v>116</v>
      </c>
    </row>
    <row r="4" spans="1:17">
      <c r="A4" s="461" t="s">
        <v>155</v>
      </c>
      <c r="B4" s="462">
        <f>huishoudens!B8</f>
        <v>29430.348957367903</v>
      </c>
      <c r="C4" s="462">
        <f>huishoudens!C8</f>
        <v>0</v>
      </c>
      <c r="D4" s="462">
        <f>huishoudens!D8</f>
        <v>26572.811112821226</v>
      </c>
      <c r="E4" s="462">
        <f>huishoudens!E8</f>
        <v>5269.4424582662805</v>
      </c>
      <c r="F4" s="462">
        <f>huishoudens!F8</f>
        <v>59060.035321664065</v>
      </c>
      <c r="G4" s="462">
        <f>huishoudens!G8</f>
        <v>0</v>
      </c>
      <c r="H4" s="462">
        <f>huishoudens!H8</f>
        <v>0</v>
      </c>
      <c r="I4" s="462">
        <f>huishoudens!I8</f>
        <v>0</v>
      </c>
      <c r="J4" s="462">
        <f>huishoudens!J8</f>
        <v>12668.709414554656</v>
      </c>
      <c r="K4" s="462">
        <f>huishoudens!K8</f>
        <v>0</v>
      </c>
      <c r="L4" s="462">
        <f>huishoudens!L8</f>
        <v>0</v>
      </c>
      <c r="M4" s="462">
        <f>huishoudens!M8</f>
        <v>0</v>
      </c>
      <c r="N4" s="462">
        <f>huishoudens!N8</f>
        <v>23240.890673666861</v>
      </c>
      <c r="O4" s="462">
        <f>huishoudens!O8</f>
        <v>168.84</v>
      </c>
      <c r="P4" s="463">
        <f>huishoudens!P8</f>
        <v>991.4666666666667</v>
      </c>
      <c r="Q4" s="464">
        <f>SUM(B4:P4)</f>
        <v>157402.54460500766</v>
      </c>
    </row>
    <row r="5" spans="1:17">
      <c r="A5" s="461" t="s">
        <v>156</v>
      </c>
      <c r="B5" s="462">
        <f ca="1">tertiair!B16</f>
        <v>12109.381670942421</v>
      </c>
      <c r="C5" s="462">
        <f ca="1">tertiair!C16</f>
        <v>0</v>
      </c>
      <c r="D5" s="462">
        <f ca="1">tertiair!D16</f>
        <v>8934.3606523303552</v>
      </c>
      <c r="E5" s="462">
        <f>tertiair!E16</f>
        <v>173.63274767983248</v>
      </c>
      <c r="F5" s="462">
        <f ca="1">tertiair!F16</f>
        <v>2688.6879241698985</v>
      </c>
      <c r="G5" s="462">
        <f>tertiair!G16</f>
        <v>0</v>
      </c>
      <c r="H5" s="462">
        <f>tertiair!H16</f>
        <v>0</v>
      </c>
      <c r="I5" s="462">
        <f>tertiair!I16</f>
        <v>0</v>
      </c>
      <c r="J5" s="462">
        <f>tertiair!J16</f>
        <v>0</v>
      </c>
      <c r="K5" s="462">
        <f>tertiair!K16</f>
        <v>0</v>
      </c>
      <c r="L5" s="462">
        <f ca="1">tertiair!L16</f>
        <v>0</v>
      </c>
      <c r="M5" s="462">
        <f>tertiair!M16</f>
        <v>0</v>
      </c>
      <c r="N5" s="462">
        <f ca="1">tertiair!N16</f>
        <v>2180.6365494746938</v>
      </c>
      <c r="O5" s="462">
        <f>tertiair!O16</f>
        <v>1.5633333333333335</v>
      </c>
      <c r="P5" s="463">
        <f>tertiair!P16</f>
        <v>19.066666666666666</v>
      </c>
      <c r="Q5" s="461">
        <f t="shared" ref="Q5:Q14" ca="1" si="0">SUM(B5:P5)</f>
        <v>26107.329544597196</v>
      </c>
    </row>
    <row r="6" spans="1:17">
      <c r="A6" s="461" t="s">
        <v>194</v>
      </c>
      <c r="B6" s="462">
        <f>'openbare verlichting'!B8</f>
        <v>1049.2760000000001</v>
      </c>
      <c r="C6" s="462"/>
      <c r="D6" s="462"/>
      <c r="E6" s="462"/>
      <c r="F6" s="462"/>
      <c r="G6" s="462"/>
      <c r="H6" s="462"/>
      <c r="I6" s="462"/>
      <c r="J6" s="462"/>
      <c r="K6" s="462"/>
      <c r="L6" s="462"/>
      <c r="M6" s="462"/>
      <c r="N6" s="462"/>
      <c r="O6" s="462"/>
      <c r="P6" s="463"/>
      <c r="Q6" s="461">
        <f t="shared" si="0"/>
        <v>1049.2760000000001</v>
      </c>
    </row>
    <row r="7" spans="1:17">
      <c r="A7" s="461" t="s">
        <v>112</v>
      </c>
      <c r="B7" s="462">
        <f>landbouw!B8</f>
        <v>1183.2322558032008</v>
      </c>
      <c r="C7" s="462">
        <f>landbouw!C8</f>
        <v>0</v>
      </c>
      <c r="D7" s="462">
        <f>landbouw!D8</f>
        <v>104.69586733024977</v>
      </c>
      <c r="E7" s="462">
        <f>landbouw!E8</f>
        <v>14.910250736190019</v>
      </c>
      <c r="F7" s="462">
        <f>landbouw!F8</f>
        <v>4082.4476999127878</v>
      </c>
      <c r="G7" s="462">
        <f>landbouw!G8</f>
        <v>0</v>
      </c>
      <c r="H7" s="462">
        <f>landbouw!H8</f>
        <v>0</v>
      </c>
      <c r="I7" s="462">
        <f>landbouw!I8</f>
        <v>0</v>
      </c>
      <c r="J7" s="462">
        <f>landbouw!J8</f>
        <v>177.94468076323014</v>
      </c>
      <c r="K7" s="462">
        <f>landbouw!K8</f>
        <v>0</v>
      </c>
      <c r="L7" s="462">
        <f>landbouw!L8</f>
        <v>0</v>
      </c>
      <c r="M7" s="462">
        <f>landbouw!M8</f>
        <v>0</v>
      </c>
      <c r="N7" s="462">
        <f>landbouw!N8</f>
        <v>0</v>
      </c>
      <c r="O7" s="462">
        <f>landbouw!O8</f>
        <v>0</v>
      </c>
      <c r="P7" s="463">
        <f>landbouw!P8</f>
        <v>0</v>
      </c>
      <c r="Q7" s="461">
        <f t="shared" si="0"/>
        <v>5563.2307545456588</v>
      </c>
    </row>
    <row r="8" spans="1:17">
      <c r="A8" s="461" t="s">
        <v>657</v>
      </c>
      <c r="B8" s="462">
        <f>industrie!B18</f>
        <v>7349.6852702451897</v>
      </c>
      <c r="C8" s="462">
        <f>industrie!C18</f>
        <v>0</v>
      </c>
      <c r="D8" s="462">
        <f>industrie!D18</f>
        <v>1512.7127487152381</v>
      </c>
      <c r="E8" s="462">
        <f>industrie!E18</f>
        <v>562.44236205079596</v>
      </c>
      <c r="F8" s="462">
        <f>industrie!F18</f>
        <v>2236.8012946723029</v>
      </c>
      <c r="G8" s="462">
        <f>industrie!G18</f>
        <v>0</v>
      </c>
      <c r="H8" s="462">
        <f>industrie!H18</f>
        <v>0</v>
      </c>
      <c r="I8" s="462">
        <f>industrie!I18</f>
        <v>0</v>
      </c>
      <c r="J8" s="462">
        <f>industrie!J18</f>
        <v>16.560890846595086</v>
      </c>
      <c r="K8" s="462">
        <f>industrie!K18</f>
        <v>0</v>
      </c>
      <c r="L8" s="462">
        <f>industrie!L18</f>
        <v>0</v>
      </c>
      <c r="M8" s="462">
        <f>industrie!M18</f>
        <v>0</v>
      </c>
      <c r="N8" s="462">
        <f>industrie!N18</f>
        <v>1567.8560585310788</v>
      </c>
      <c r="O8" s="462">
        <f>industrie!O18</f>
        <v>0</v>
      </c>
      <c r="P8" s="463">
        <f>industrie!P18</f>
        <v>0</v>
      </c>
      <c r="Q8" s="461">
        <f t="shared" si="0"/>
        <v>13246.058625061201</v>
      </c>
    </row>
    <row r="9" spans="1:17" s="467" customFormat="1">
      <c r="A9" s="465" t="s">
        <v>574</v>
      </c>
      <c r="B9" s="466">
        <f>transport!B14</f>
        <v>3.3961222894285186</v>
      </c>
      <c r="C9" s="466">
        <f>transport!C14</f>
        <v>0</v>
      </c>
      <c r="D9" s="466">
        <f>transport!D14</f>
        <v>5.6577306380208059</v>
      </c>
      <c r="E9" s="466">
        <f>transport!E14</f>
        <v>172.89781091854209</v>
      </c>
      <c r="F9" s="466">
        <f>transport!F14</f>
        <v>0</v>
      </c>
      <c r="G9" s="466">
        <f>transport!G14</f>
        <v>46727.59504585684</v>
      </c>
      <c r="H9" s="466">
        <f>transport!H14</f>
        <v>8460.571273269632</v>
      </c>
      <c r="I9" s="466">
        <f>transport!I14</f>
        <v>0</v>
      </c>
      <c r="J9" s="466">
        <f>transport!J14</f>
        <v>0</v>
      </c>
      <c r="K9" s="466">
        <f>transport!K14</f>
        <v>0</v>
      </c>
      <c r="L9" s="466">
        <f>transport!L14</f>
        <v>0</v>
      </c>
      <c r="M9" s="466">
        <f>transport!M14</f>
        <v>2494.8794940956882</v>
      </c>
      <c r="N9" s="466">
        <f>transport!N14</f>
        <v>0</v>
      </c>
      <c r="O9" s="466">
        <f>transport!O14</f>
        <v>0</v>
      </c>
      <c r="P9" s="466">
        <f>transport!P14</f>
        <v>0</v>
      </c>
      <c r="Q9" s="465">
        <f>SUM(B9:P9)</f>
        <v>57864.997477068151</v>
      </c>
    </row>
    <row r="10" spans="1:17">
      <c r="A10" s="461" t="s">
        <v>564</v>
      </c>
      <c r="B10" s="462">
        <f>transport!B54</f>
        <v>0</v>
      </c>
      <c r="C10" s="462">
        <f>transport!C54</f>
        <v>0</v>
      </c>
      <c r="D10" s="462">
        <f>transport!D54</f>
        <v>0</v>
      </c>
      <c r="E10" s="462">
        <f>transport!E54</f>
        <v>0</v>
      </c>
      <c r="F10" s="462">
        <f>transport!F54</f>
        <v>0</v>
      </c>
      <c r="G10" s="462">
        <f>transport!G54</f>
        <v>1544.5479497900249</v>
      </c>
      <c r="H10" s="462">
        <f>transport!H54</f>
        <v>0</v>
      </c>
      <c r="I10" s="462">
        <f>transport!I54</f>
        <v>0</v>
      </c>
      <c r="J10" s="462">
        <f>transport!J54</f>
        <v>0</v>
      </c>
      <c r="K10" s="462">
        <f>transport!K54</f>
        <v>0</v>
      </c>
      <c r="L10" s="462">
        <f>transport!L54</f>
        <v>0</v>
      </c>
      <c r="M10" s="462">
        <f>transport!M54</f>
        <v>68.689825162289992</v>
      </c>
      <c r="N10" s="462">
        <f>transport!N54</f>
        <v>0</v>
      </c>
      <c r="O10" s="462">
        <f>transport!O54</f>
        <v>0</v>
      </c>
      <c r="P10" s="463">
        <f>transport!P54</f>
        <v>0</v>
      </c>
      <c r="Q10" s="461">
        <f t="shared" si="0"/>
        <v>1613.2377749523148</v>
      </c>
    </row>
    <row r="11" spans="1:17">
      <c r="A11" s="461" t="s">
        <v>565</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566</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1" t="s">
        <v>567</v>
      </c>
      <c r="B13" s="462">
        <f>'Eigen vloot'!B27</f>
        <v>0</v>
      </c>
      <c r="C13" s="462">
        <f>'Eigen vloot'!C27</f>
        <v>0</v>
      </c>
      <c r="D13" s="462">
        <f>'Eigen vloot'!D27</f>
        <v>0</v>
      </c>
      <c r="E13" s="462">
        <f>'Eigen vloot'!E27</f>
        <v>0</v>
      </c>
      <c r="F13" s="462">
        <f>'Eigen vloot'!F27</f>
        <v>0</v>
      </c>
      <c r="G13" s="462">
        <f>'Eigen vloot'!G27</f>
        <v>0</v>
      </c>
      <c r="H13" s="462">
        <f>'Eigen vloot'!H27</f>
        <v>0</v>
      </c>
      <c r="I13" s="462">
        <f>'Eigen vloot'!I27</f>
        <v>0</v>
      </c>
      <c r="J13" s="462">
        <f>'Eigen vloot'!J27</f>
        <v>0</v>
      </c>
      <c r="K13" s="462">
        <f>'Eigen vloot'!K27</f>
        <v>0</v>
      </c>
      <c r="L13" s="462">
        <f>'Eigen vloot'!L27</f>
        <v>0</v>
      </c>
      <c r="M13" s="462">
        <f>'Eigen vloot'!M27</f>
        <v>0</v>
      </c>
      <c r="N13" s="462">
        <f>'Eigen vloot'!N27</f>
        <v>0</v>
      </c>
      <c r="O13" s="462">
        <f>'Eigen vloot'!O27</f>
        <v>0</v>
      </c>
      <c r="P13" s="463">
        <f>'Eigen vloot'!P27</f>
        <v>0</v>
      </c>
      <c r="Q13" s="461">
        <f t="shared" si="0"/>
        <v>0</v>
      </c>
    </row>
    <row r="14" spans="1:17">
      <c r="A14" s="468" t="s">
        <v>878</v>
      </c>
      <c r="B14" s="469">
        <f>'SEAP template'!C25</f>
        <v>932.41021622526489</v>
      </c>
      <c r="C14" s="469"/>
      <c r="D14" s="469">
        <f>'SEAP template'!E25</f>
        <v>1217.9087650776</v>
      </c>
      <c r="E14" s="469"/>
      <c r="F14" s="469"/>
      <c r="G14" s="469"/>
      <c r="H14" s="469"/>
      <c r="I14" s="469"/>
      <c r="J14" s="469"/>
      <c r="K14" s="469"/>
      <c r="L14" s="469"/>
      <c r="M14" s="469"/>
      <c r="N14" s="469"/>
      <c r="O14" s="469"/>
      <c r="P14" s="470"/>
      <c r="Q14" s="461">
        <f t="shared" si="0"/>
        <v>2150.3189813028648</v>
      </c>
    </row>
    <row r="15" spans="1:17" s="474" customFormat="1">
      <c r="A15" s="471" t="s">
        <v>568</v>
      </c>
      <c r="B15" s="472">
        <f ca="1">SUM(B4:B14)</f>
        <v>52057.730492873408</v>
      </c>
      <c r="C15" s="472">
        <f t="shared" ref="C15:Q15" ca="1" si="1">SUM(C4:C14)</f>
        <v>0</v>
      </c>
      <c r="D15" s="472">
        <f t="shared" ca="1" si="1"/>
        <v>38348.146876912688</v>
      </c>
      <c r="E15" s="472">
        <f t="shared" si="1"/>
        <v>6193.3256296516411</v>
      </c>
      <c r="F15" s="472">
        <f t="shared" ca="1" si="1"/>
        <v>68067.972240419054</v>
      </c>
      <c r="G15" s="472">
        <f t="shared" si="1"/>
        <v>48272.142995646864</v>
      </c>
      <c r="H15" s="472">
        <f t="shared" si="1"/>
        <v>8460.571273269632</v>
      </c>
      <c r="I15" s="472">
        <f t="shared" si="1"/>
        <v>0</v>
      </c>
      <c r="J15" s="472">
        <f t="shared" si="1"/>
        <v>12863.214986164481</v>
      </c>
      <c r="K15" s="472">
        <f t="shared" si="1"/>
        <v>0</v>
      </c>
      <c r="L15" s="472">
        <f t="shared" ca="1" si="1"/>
        <v>0</v>
      </c>
      <c r="M15" s="472">
        <f t="shared" si="1"/>
        <v>2563.5693192579783</v>
      </c>
      <c r="N15" s="472">
        <f t="shared" ca="1" si="1"/>
        <v>26989.383281672635</v>
      </c>
      <c r="O15" s="472">
        <f t="shared" si="1"/>
        <v>170.40333333333334</v>
      </c>
      <c r="P15" s="472">
        <f t="shared" si="1"/>
        <v>1010.5333333333334</v>
      </c>
      <c r="Q15" s="472">
        <f t="shared" ca="1" si="1"/>
        <v>264996.99376253504</v>
      </c>
    </row>
    <row r="17" spans="1:17">
      <c r="A17" s="475" t="s">
        <v>569</v>
      </c>
      <c r="B17" s="781">
        <f ca="1">huishoudens!B10</f>
        <v>0.20697583617672413</v>
      </c>
      <c r="C17" s="781">
        <f ca="1">huishoudens!C10</f>
        <v>0</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8" spans="1:17" ht="15.75" customHeight="1"/>
    <row r="19" spans="1:17" ht="15" customHeight="1">
      <c r="A19" s="1160" t="s">
        <v>571</v>
      </c>
      <c r="B19" s="1161" t="s">
        <v>570</v>
      </c>
      <c r="C19" s="1161"/>
      <c r="D19" s="1161"/>
      <c r="E19" s="1161"/>
      <c r="F19" s="1161"/>
      <c r="G19" s="1161"/>
      <c r="H19" s="1161"/>
      <c r="I19" s="1161"/>
      <c r="J19" s="1161"/>
      <c r="K19" s="1161"/>
      <c r="L19" s="1161"/>
      <c r="M19" s="1161"/>
      <c r="N19" s="1161"/>
      <c r="O19" s="1161"/>
      <c r="P19" s="1162"/>
      <c r="Q19" s="1025"/>
    </row>
    <row r="20" spans="1:17" ht="15" customHeight="1">
      <c r="A20" s="1160"/>
      <c r="B20" s="1163" t="s">
        <v>21</v>
      </c>
      <c r="C20" s="1165" t="s">
        <v>196</v>
      </c>
      <c r="D20" s="1167" t="s">
        <v>197</v>
      </c>
      <c r="E20" s="1168"/>
      <c r="F20" s="1168"/>
      <c r="G20" s="1168"/>
      <c r="H20" s="1168"/>
      <c r="I20" s="1168"/>
      <c r="J20" s="1168"/>
      <c r="K20" s="1164"/>
      <c r="L20" s="1167" t="s">
        <v>198</v>
      </c>
      <c r="M20" s="1168"/>
      <c r="N20" s="1168"/>
      <c r="O20" s="1168"/>
      <c r="P20" s="1164"/>
      <c r="Q20" s="1025"/>
    </row>
    <row r="21" spans="1:17" ht="45">
      <c r="A21" s="1160"/>
      <c r="B21" s="1164"/>
      <c r="C21" s="1166"/>
      <c r="D21" s="1025" t="s">
        <v>199</v>
      </c>
      <c r="E21" s="1025" t="s">
        <v>200</v>
      </c>
      <c r="F21" s="1025" t="s">
        <v>201</v>
      </c>
      <c r="G21" s="1025" t="s">
        <v>202</v>
      </c>
      <c r="H21" s="1025" t="s">
        <v>120</v>
      </c>
      <c r="I21" s="1025" t="s">
        <v>203</v>
      </c>
      <c r="J21" s="1025" t="s">
        <v>204</v>
      </c>
      <c r="K21" s="1025" t="s">
        <v>205</v>
      </c>
      <c r="L21" s="1025" t="s">
        <v>206</v>
      </c>
      <c r="M21" s="1025" t="s">
        <v>207</v>
      </c>
      <c r="N21" s="1025" t="s">
        <v>208</v>
      </c>
      <c r="O21" s="1025" t="s">
        <v>209</v>
      </c>
      <c r="P21" s="1025" t="s">
        <v>210</v>
      </c>
      <c r="Q21" s="1025" t="s">
        <v>116</v>
      </c>
    </row>
    <row r="22" spans="1:17">
      <c r="A22" s="461" t="s">
        <v>155</v>
      </c>
      <c r="B22" s="462">
        <f t="shared" ref="B22:B32" ca="1" si="2">B4*$B$17</f>
        <v>6091.3710844240031</v>
      </c>
      <c r="C22" s="462">
        <f t="shared" ref="C22:C32" ca="1" si="3">C4*$C$17</f>
        <v>0</v>
      </c>
      <c r="D22" s="462">
        <f t="shared" ref="D22:D32" si="4">D4*$D$17</f>
        <v>5367.7078447898875</v>
      </c>
      <c r="E22" s="462">
        <f t="shared" ref="E22:E32" si="5">E4*$E$17</f>
        <v>1196.1634380264456</v>
      </c>
      <c r="F22" s="462">
        <f t="shared" ref="F22:F32" si="6">F4*$F$17</f>
        <v>15769.029430884306</v>
      </c>
      <c r="G22" s="462">
        <f t="shared" ref="G22:G32" si="7">G4*$G$17</f>
        <v>0</v>
      </c>
      <c r="H22" s="462">
        <f t="shared" ref="H22:H32" si="8">H4*$H$17</f>
        <v>0</v>
      </c>
      <c r="I22" s="462">
        <f t="shared" ref="I22:I32" si="9">I4*$I$17</f>
        <v>0</v>
      </c>
      <c r="J22" s="462">
        <f t="shared" ref="J22:J32" si="10">J4*$J$17</f>
        <v>4484.7231327523477</v>
      </c>
      <c r="K22" s="462">
        <f t="shared" ref="K22:K32" si="11">K4*$K$17</f>
        <v>0</v>
      </c>
      <c r="L22" s="462">
        <f t="shared" ref="L22:L32" si="12">L4*$L$17</f>
        <v>0</v>
      </c>
      <c r="M22" s="462">
        <f t="shared" ref="M22:M32" si="13">M4*$M$17</f>
        <v>0</v>
      </c>
      <c r="N22" s="462">
        <f t="shared" ref="N22:N32" si="14">N4*$N$17</f>
        <v>0</v>
      </c>
      <c r="O22" s="462">
        <f t="shared" ref="O22:O32" si="15">O4*$O$17</f>
        <v>0</v>
      </c>
      <c r="P22" s="476">
        <f t="shared" ref="P22:P32" si="16">P4*$P$17</f>
        <v>0</v>
      </c>
      <c r="Q22" s="464">
        <f ca="1">SUM(B22:P22)</f>
        <v>32908.994930876986</v>
      </c>
    </row>
    <row r="23" spans="1:17">
      <c r="A23" s="461" t="s">
        <v>156</v>
      </c>
      <c r="B23" s="462">
        <f t="shared" ca="1" si="2"/>
        <v>2506.3493969264046</v>
      </c>
      <c r="C23" s="462">
        <f t="shared" ca="1" si="3"/>
        <v>0</v>
      </c>
      <c r="D23" s="462">
        <f t="shared" ca="1" si="4"/>
        <v>1804.7408517707318</v>
      </c>
      <c r="E23" s="462">
        <f t="shared" si="5"/>
        <v>39.414633723321977</v>
      </c>
      <c r="F23" s="462">
        <f t="shared" ca="1" si="6"/>
        <v>717.8796757533629</v>
      </c>
      <c r="G23" s="462">
        <f t="shared" si="7"/>
        <v>0</v>
      </c>
      <c r="H23" s="462">
        <f t="shared" si="8"/>
        <v>0</v>
      </c>
      <c r="I23" s="462">
        <f t="shared" si="9"/>
        <v>0</v>
      </c>
      <c r="J23" s="462">
        <f t="shared" si="10"/>
        <v>0</v>
      </c>
      <c r="K23" s="462">
        <f t="shared" si="11"/>
        <v>0</v>
      </c>
      <c r="L23" s="462">
        <f t="shared" ca="1" si="12"/>
        <v>0</v>
      </c>
      <c r="M23" s="462">
        <f t="shared" si="13"/>
        <v>0</v>
      </c>
      <c r="N23" s="462">
        <f t="shared" ca="1" si="14"/>
        <v>0</v>
      </c>
      <c r="O23" s="462">
        <f t="shared" si="15"/>
        <v>0</v>
      </c>
      <c r="P23" s="463">
        <f t="shared" si="16"/>
        <v>0</v>
      </c>
      <c r="Q23" s="461">
        <f t="shared" ref="Q23:Q32" ca="1" si="17">SUM(B23:P23)</f>
        <v>5068.3845581738215</v>
      </c>
    </row>
    <row r="24" spans="1:17">
      <c r="A24" s="461" t="s">
        <v>194</v>
      </c>
      <c r="B24" s="462">
        <f t="shared" ca="1" si="2"/>
        <v>217.17477748016842</v>
      </c>
      <c r="C24" s="462">
        <f t="shared" ca="1" si="3"/>
        <v>0</v>
      </c>
      <c r="D24" s="462">
        <f t="shared" si="4"/>
        <v>0</v>
      </c>
      <c r="E24" s="462">
        <f t="shared" si="5"/>
        <v>0</v>
      </c>
      <c r="F24" s="462">
        <f t="shared" si="6"/>
        <v>0</v>
      </c>
      <c r="G24" s="462">
        <f t="shared" si="7"/>
        <v>0</v>
      </c>
      <c r="H24" s="462">
        <f t="shared" si="8"/>
        <v>0</v>
      </c>
      <c r="I24" s="462">
        <f t="shared" si="9"/>
        <v>0</v>
      </c>
      <c r="J24" s="462">
        <f t="shared" si="10"/>
        <v>0</v>
      </c>
      <c r="K24" s="462">
        <f t="shared" si="11"/>
        <v>0</v>
      </c>
      <c r="L24" s="462">
        <f t="shared" si="12"/>
        <v>0</v>
      </c>
      <c r="M24" s="462">
        <f t="shared" si="13"/>
        <v>0</v>
      </c>
      <c r="N24" s="462">
        <f t="shared" si="14"/>
        <v>0</v>
      </c>
      <c r="O24" s="462">
        <f t="shared" si="15"/>
        <v>0</v>
      </c>
      <c r="P24" s="463">
        <f t="shared" si="16"/>
        <v>0</v>
      </c>
      <c r="Q24" s="461">
        <f t="shared" ca="1" si="17"/>
        <v>217.17477748016842</v>
      </c>
    </row>
    <row r="25" spans="1:17">
      <c r="A25" s="461" t="s">
        <v>112</v>
      </c>
      <c r="B25" s="462">
        <f t="shared" ca="1" si="2"/>
        <v>244.90048553613903</v>
      </c>
      <c r="C25" s="462">
        <f t="shared" ca="1" si="3"/>
        <v>0</v>
      </c>
      <c r="D25" s="462">
        <f t="shared" si="4"/>
        <v>21.148565200710454</v>
      </c>
      <c r="E25" s="462">
        <f t="shared" si="5"/>
        <v>3.3846269171151344</v>
      </c>
      <c r="F25" s="462">
        <f t="shared" si="6"/>
        <v>1090.0135358767145</v>
      </c>
      <c r="G25" s="462">
        <f t="shared" si="7"/>
        <v>0</v>
      </c>
      <c r="H25" s="462">
        <f t="shared" si="8"/>
        <v>0</v>
      </c>
      <c r="I25" s="462">
        <f t="shared" si="9"/>
        <v>0</v>
      </c>
      <c r="J25" s="462">
        <f t="shared" si="10"/>
        <v>62.992416990183465</v>
      </c>
      <c r="K25" s="462">
        <f t="shared" si="11"/>
        <v>0</v>
      </c>
      <c r="L25" s="462">
        <f t="shared" si="12"/>
        <v>0</v>
      </c>
      <c r="M25" s="462">
        <f t="shared" si="13"/>
        <v>0</v>
      </c>
      <c r="N25" s="462">
        <f t="shared" si="14"/>
        <v>0</v>
      </c>
      <c r="O25" s="462">
        <f t="shared" si="15"/>
        <v>0</v>
      </c>
      <c r="P25" s="463">
        <f t="shared" si="16"/>
        <v>0</v>
      </c>
      <c r="Q25" s="461">
        <f t="shared" ca="1" si="17"/>
        <v>1422.4396305208627</v>
      </c>
    </row>
    <row r="26" spans="1:17">
      <c r="A26" s="461" t="s">
        <v>657</v>
      </c>
      <c r="B26" s="462">
        <f t="shared" ca="1" si="2"/>
        <v>1521.2072544447508</v>
      </c>
      <c r="C26" s="462">
        <f t="shared" ca="1" si="3"/>
        <v>0</v>
      </c>
      <c r="D26" s="462">
        <f t="shared" si="4"/>
        <v>305.56797524047812</v>
      </c>
      <c r="E26" s="462">
        <f t="shared" si="5"/>
        <v>127.67441618553069</v>
      </c>
      <c r="F26" s="462">
        <f t="shared" si="6"/>
        <v>597.22594567750491</v>
      </c>
      <c r="G26" s="462">
        <f t="shared" si="7"/>
        <v>0</v>
      </c>
      <c r="H26" s="462">
        <f t="shared" si="8"/>
        <v>0</v>
      </c>
      <c r="I26" s="462">
        <f t="shared" si="9"/>
        <v>0</v>
      </c>
      <c r="J26" s="462">
        <f t="shared" si="10"/>
        <v>5.8625553596946602</v>
      </c>
      <c r="K26" s="462">
        <f t="shared" si="11"/>
        <v>0</v>
      </c>
      <c r="L26" s="462">
        <f t="shared" si="12"/>
        <v>0</v>
      </c>
      <c r="M26" s="462">
        <f t="shared" si="13"/>
        <v>0</v>
      </c>
      <c r="N26" s="462">
        <f t="shared" si="14"/>
        <v>0</v>
      </c>
      <c r="O26" s="462">
        <f t="shared" si="15"/>
        <v>0</v>
      </c>
      <c r="P26" s="463">
        <f t="shared" si="16"/>
        <v>0</v>
      </c>
      <c r="Q26" s="461">
        <f t="shared" ca="1" si="17"/>
        <v>2557.5381469079593</v>
      </c>
    </row>
    <row r="27" spans="1:17" s="467" customFormat="1">
      <c r="A27" s="465" t="s">
        <v>574</v>
      </c>
      <c r="B27" s="775">
        <f t="shared" ca="1" si="2"/>
        <v>0.70291525061287841</v>
      </c>
      <c r="C27" s="466">
        <f t="shared" ca="1" si="3"/>
        <v>0</v>
      </c>
      <c r="D27" s="466">
        <f t="shared" si="4"/>
        <v>1.1428615888802029</v>
      </c>
      <c r="E27" s="466">
        <f t="shared" si="5"/>
        <v>39.247803078509058</v>
      </c>
      <c r="F27" s="466">
        <f t="shared" si="6"/>
        <v>0</v>
      </c>
      <c r="G27" s="466">
        <f t="shared" si="7"/>
        <v>12476.267877243778</v>
      </c>
      <c r="H27" s="466">
        <f t="shared" si="8"/>
        <v>2106.6822470441384</v>
      </c>
      <c r="I27" s="466">
        <f t="shared" si="9"/>
        <v>0</v>
      </c>
      <c r="J27" s="466">
        <f t="shared" si="10"/>
        <v>0</v>
      </c>
      <c r="K27" s="466">
        <f t="shared" si="11"/>
        <v>0</v>
      </c>
      <c r="L27" s="466">
        <f t="shared" si="12"/>
        <v>0</v>
      </c>
      <c r="M27" s="466">
        <f t="shared" si="13"/>
        <v>0</v>
      </c>
      <c r="N27" s="466">
        <f t="shared" si="14"/>
        <v>0</v>
      </c>
      <c r="O27" s="466">
        <f t="shared" si="15"/>
        <v>0</v>
      </c>
      <c r="P27" s="477">
        <f t="shared" si="16"/>
        <v>0</v>
      </c>
      <c r="Q27" s="465">
        <f t="shared" ca="1" si="17"/>
        <v>14624.043704205918</v>
      </c>
    </row>
    <row r="28" spans="1:17">
      <c r="A28" s="461" t="s">
        <v>564</v>
      </c>
      <c r="B28" s="462">
        <f t="shared" ca="1" si="2"/>
        <v>0</v>
      </c>
      <c r="C28" s="462">
        <f t="shared" ca="1" si="3"/>
        <v>0</v>
      </c>
      <c r="D28" s="462">
        <f t="shared" si="4"/>
        <v>0</v>
      </c>
      <c r="E28" s="462">
        <f t="shared" si="5"/>
        <v>0</v>
      </c>
      <c r="F28" s="462">
        <f t="shared" si="6"/>
        <v>0</v>
      </c>
      <c r="G28" s="462">
        <f t="shared" si="7"/>
        <v>412.39430259393669</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412.39430259393669</v>
      </c>
    </row>
    <row r="29" spans="1:17">
      <c r="A29" s="461" t="s">
        <v>565</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1" t="s">
        <v>566</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c r="A31" s="461" t="s">
        <v>567</v>
      </c>
      <c r="B31" s="462">
        <f t="shared" ca="1" si="2"/>
        <v>0</v>
      </c>
      <c r="C31" s="462">
        <f t="shared" ca="1" si="3"/>
        <v>0</v>
      </c>
      <c r="D31" s="462">
        <f t="shared" si="4"/>
        <v>0</v>
      </c>
      <c r="E31" s="462">
        <f t="shared" si="5"/>
        <v>0</v>
      </c>
      <c r="F31" s="462">
        <f t="shared" si="6"/>
        <v>0</v>
      </c>
      <c r="G31" s="462">
        <f t="shared" si="7"/>
        <v>0</v>
      </c>
      <c r="H31" s="462">
        <f t="shared" si="8"/>
        <v>0</v>
      </c>
      <c r="I31" s="462">
        <f t="shared" si="9"/>
        <v>0</v>
      </c>
      <c r="J31" s="462">
        <f t="shared" si="10"/>
        <v>0</v>
      </c>
      <c r="K31" s="462">
        <f t="shared" si="11"/>
        <v>0</v>
      </c>
      <c r="L31" s="462">
        <f t="shared" si="12"/>
        <v>0</v>
      </c>
      <c r="M31" s="462">
        <f t="shared" si="13"/>
        <v>0</v>
      </c>
      <c r="N31" s="462">
        <f t="shared" si="14"/>
        <v>0</v>
      </c>
      <c r="O31" s="462">
        <f t="shared" si="15"/>
        <v>0</v>
      </c>
      <c r="P31" s="463">
        <f t="shared" si="16"/>
        <v>0</v>
      </c>
      <c r="Q31" s="461">
        <f t="shared" ca="1" si="17"/>
        <v>0</v>
      </c>
    </row>
    <row r="32" spans="1:17">
      <c r="A32" s="461" t="s">
        <v>878</v>
      </c>
      <c r="B32" s="462">
        <f t="shared" ca="1" si="2"/>
        <v>192.98638416294435</v>
      </c>
      <c r="C32" s="462">
        <f t="shared" ca="1" si="3"/>
        <v>0</v>
      </c>
      <c r="D32" s="462">
        <f t="shared" si="4"/>
        <v>246.01757054567523</v>
      </c>
      <c r="E32" s="462">
        <f t="shared" si="5"/>
        <v>0</v>
      </c>
      <c r="F32" s="462">
        <f t="shared" si="6"/>
        <v>0</v>
      </c>
      <c r="G32" s="462">
        <f t="shared" si="7"/>
        <v>0</v>
      </c>
      <c r="H32" s="462">
        <f t="shared" si="8"/>
        <v>0</v>
      </c>
      <c r="I32" s="462">
        <f t="shared" si="9"/>
        <v>0</v>
      </c>
      <c r="J32" s="462">
        <f t="shared" si="10"/>
        <v>0</v>
      </c>
      <c r="K32" s="462">
        <f t="shared" si="11"/>
        <v>0</v>
      </c>
      <c r="L32" s="462">
        <f t="shared" si="12"/>
        <v>0</v>
      </c>
      <c r="M32" s="462">
        <f t="shared" si="13"/>
        <v>0</v>
      </c>
      <c r="N32" s="462">
        <f t="shared" si="14"/>
        <v>0</v>
      </c>
      <c r="O32" s="462">
        <f t="shared" si="15"/>
        <v>0</v>
      </c>
      <c r="P32" s="463">
        <f t="shared" si="16"/>
        <v>0</v>
      </c>
      <c r="Q32" s="461">
        <f t="shared" ca="1" si="17"/>
        <v>439.00395470861957</v>
      </c>
    </row>
    <row r="33" spans="1:17" s="474" customFormat="1">
      <c r="A33" s="471" t="s">
        <v>568</v>
      </c>
      <c r="B33" s="472">
        <f ca="1">SUM(B22:B32)</f>
        <v>10774.692298225022</v>
      </c>
      <c r="C33" s="472">
        <f t="shared" ref="C33:Q33" ca="1" si="18">SUM(C22:C32)</f>
        <v>0</v>
      </c>
      <c r="D33" s="472">
        <f t="shared" ca="1" si="18"/>
        <v>7746.3256691363631</v>
      </c>
      <c r="E33" s="472">
        <f t="shared" si="18"/>
        <v>1405.8849179309225</v>
      </c>
      <c r="F33" s="472">
        <f t="shared" ca="1" si="18"/>
        <v>18174.148588191889</v>
      </c>
      <c r="G33" s="472">
        <f t="shared" si="18"/>
        <v>12888.662179837715</v>
      </c>
      <c r="H33" s="472">
        <f t="shared" si="18"/>
        <v>2106.6822470441384</v>
      </c>
      <c r="I33" s="472">
        <f t="shared" si="18"/>
        <v>0</v>
      </c>
      <c r="J33" s="472">
        <f t="shared" si="18"/>
        <v>4553.5781051022259</v>
      </c>
      <c r="K33" s="472">
        <f t="shared" si="18"/>
        <v>0</v>
      </c>
      <c r="L33" s="472">
        <f t="shared" ca="1" si="18"/>
        <v>0</v>
      </c>
      <c r="M33" s="472">
        <f t="shared" si="18"/>
        <v>0</v>
      </c>
      <c r="N33" s="472">
        <f t="shared" ca="1" si="18"/>
        <v>0</v>
      </c>
      <c r="O33" s="472">
        <f t="shared" si="18"/>
        <v>0</v>
      </c>
      <c r="P33" s="472">
        <f t="shared" si="18"/>
        <v>0</v>
      </c>
      <c r="Q33" s="472">
        <f t="shared" ca="1" si="18"/>
        <v>57649.974005468277</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44" customFormat="1" ht="21">
      <c r="A1" s="1169" t="s">
        <v>563</v>
      </c>
      <c r="B1" s="1170" t="s">
        <v>833</v>
      </c>
      <c r="C1" s="1170"/>
      <c r="D1" s="1170"/>
      <c r="E1" s="1170"/>
      <c r="F1" s="1170"/>
      <c r="G1" s="1170"/>
      <c r="H1" s="1170"/>
      <c r="I1" s="1170"/>
      <c r="J1" s="1170"/>
      <c r="K1" s="1170"/>
      <c r="L1" s="1170"/>
      <c r="M1" s="1170"/>
      <c r="N1" s="1170"/>
      <c r="O1" s="1170"/>
      <c r="P1" s="1171"/>
      <c r="Q1" s="943"/>
    </row>
    <row r="2" spans="1:17" s="944" customFormat="1" ht="21">
      <c r="A2" s="1169"/>
      <c r="B2" s="1172" t="s">
        <v>21</v>
      </c>
      <c r="C2" s="1174" t="s">
        <v>196</v>
      </c>
      <c r="D2" s="1176" t="s">
        <v>197</v>
      </c>
      <c r="E2" s="1177"/>
      <c r="F2" s="1177"/>
      <c r="G2" s="1177"/>
      <c r="H2" s="1177"/>
      <c r="I2" s="1177"/>
      <c r="J2" s="1177"/>
      <c r="K2" s="1173"/>
      <c r="L2" s="1176" t="s">
        <v>198</v>
      </c>
      <c r="M2" s="1177"/>
      <c r="N2" s="1177"/>
      <c r="O2" s="1177"/>
      <c r="P2" s="1173"/>
      <c r="Q2" s="943"/>
    </row>
    <row r="3" spans="1:17" s="944" customFormat="1" ht="42">
      <c r="A3" s="1169"/>
      <c r="B3" s="1173"/>
      <c r="C3" s="1175"/>
      <c r="D3" s="945" t="s">
        <v>199</v>
      </c>
      <c r="E3" s="945" t="s">
        <v>200</v>
      </c>
      <c r="F3" s="945" t="s">
        <v>201</v>
      </c>
      <c r="G3" s="945" t="s">
        <v>202</v>
      </c>
      <c r="H3" s="945" t="s">
        <v>120</v>
      </c>
      <c r="I3" s="945" t="s">
        <v>203</v>
      </c>
      <c r="J3" s="945" t="s">
        <v>204</v>
      </c>
      <c r="K3" s="945" t="s">
        <v>205</v>
      </c>
      <c r="L3" s="945" t="s">
        <v>206</v>
      </c>
      <c r="M3" s="945" t="s">
        <v>207</v>
      </c>
      <c r="N3" s="945" t="s">
        <v>208</v>
      </c>
      <c r="O3" s="945" t="s">
        <v>209</v>
      </c>
      <c r="P3" s="945" t="s">
        <v>210</v>
      </c>
      <c r="Q3" s="943" t="s">
        <v>116</v>
      </c>
    </row>
    <row r="4" spans="1:17" ht="124.35" customHeight="1">
      <c r="A4" s="946" t="s">
        <v>155</v>
      </c>
      <c r="B4" s="947" t="s">
        <v>834</v>
      </c>
      <c r="C4" s="948" t="s">
        <v>835</v>
      </c>
      <c r="D4" s="949" t="s">
        <v>836</v>
      </c>
      <c r="E4" s="950" t="s">
        <v>837</v>
      </c>
      <c r="F4" s="950" t="s">
        <v>838</v>
      </c>
      <c r="G4" s="951" t="s">
        <v>841</v>
      </c>
      <c r="H4" s="951" t="s">
        <v>841</v>
      </c>
      <c r="I4" s="951" t="s">
        <v>841</v>
      </c>
      <c r="J4" s="950" t="s">
        <v>840</v>
      </c>
      <c r="K4" s="951" t="s">
        <v>841</v>
      </c>
      <c r="L4" s="951" t="s">
        <v>841</v>
      </c>
      <c r="M4" s="951" t="s">
        <v>841</v>
      </c>
      <c r="N4" s="950" t="s">
        <v>842</v>
      </c>
      <c r="O4" s="952" t="s">
        <v>843</v>
      </c>
      <c r="P4" s="953" t="s">
        <v>844</v>
      </c>
      <c r="Q4" s="954"/>
    </row>
    <row r="5" spans="1:17" ht="124.35" customHeight="1">
      <c r="A5" s="955" t="s">
        <v>156</v>
      </c>
      <c r="B5" s="956" t="s">
        <v>845</v>
      </c>
      <c r="C5" s="957" t="s">
        <v>846</v>
      </c>
      <c r="D5" s="957" t="s">
        <v>847</v>
      </c>
      <c r="E5" s="958" t="s">
        <v>848</v>
      </c>
      <c r="F5" s="958" t="s">
        <v>849</v>
      </c>
      <c r="G5" s="959" t="s">
        <v>841</v>
      </c>
      <c r="H5" s="959" t="s">
        <v>841</v>
      </c>
      <c r="I5" s="959" t="s">
        <v>841</v>
      </c>
      <c r="J5" s="958" t="s">
        <v>850</v>
      </c>
      <c r="K5" s="956" t="s">
        <v>851</v>
      </c>
      <c r="L5" s="959" t="s">
        <v>841</v>
      </c>
      <c r="M5" s="959" t="s">
        <v>841</v>
      </c>
      <c r="N5" s="958" t="s">
        <v>852</v>
      </c>
      <c r="O5" s="960" t="s">
        <v>843</v>
      </c>
      <c r="P5" s="961" t="s">
        <v>844</v>
      </c>
      <c r="Q5" s="962"/>
    </row>
    <row r="6" spans="1:17" ht="124.35" customHeight="1">
      <c r="A6" s="955" t="s">
        <v>194</v>
      </c>
      <c r="B6" s="963" t="s">
        <v>853</v>
      </c>
      <c r="C6" s="964" t="s">
        <v>839</v>
      </c>
      <c r="D6" s="959" t="s">
        <v>839</v>
      </c>
      <c r="E6" s="959" t="s">
        <v>839</v>
      </c>
      <c r="F6" s="959" t="s">
        <v>839</v>
      </c>
      <c r="G6" s="959" t="s">
        <v>839</v>
      </c>
      <c r="H6" s="959" t="s">
        <v>839</v>
      </c>
      <c r="I6" s="959" t="s">
        <v>839</v>
      </c>
      <c r="J6" s="959" t="s">
        <v>839</v>
      </c>
      <c r="K6" s="959" t="s">
        <v>839</v>
      </c>
      <c r="L6" s="959" t="s">
        <v>839</v>
      </c>
      <c r="M6" s="959" t="s">
        <v>839</v>
      </c>
      <c r="N6" s="959" t="s">
        <v>839</v>
      </c>
      <c r="O6" s="965" t="s">
        <v>839</v>
      </c>
      <c r="P6" s="966" t="s">
        <v>839</v>
      </c>
      <c r="Q6" s="967"/>
    </row>
    <row r="7" spans="1:17" ht="124.35" customHeight="1">
      <c r="A7" s="955" t="s">
        <v>112</v>
      </c>
      <c r="B7" s="963" t="s">
        <v>853</v>
      </c>
      <c r="C7" s="957" t="s">
        <v>846</v>
      </c>
      <c r="D7" s="957" t="s">
        <v>847</v>
      </c>
      <c r="E7" s="958" t="s">
        <v>848</v>
      </c>
      <c r="F7" s="958" t="s">
        <v>849</v>
      </c>
      <c r="G7" s="959" t="s">
        <v>841</v>
      </c>
      <c r="H7" s="959" t="s">
        <v>841</v>
      </c>
      <c r="I7" s="959" t="s">
        <v>841</v>
      </c>
      <c r="J7" s="958" t="s">
        <v>850</v>
      </c>
      <c r="K7" s="959" t="s">
        <v>841</v>
      </c>
      <c r="L7" s="959" t="s">
        <v>841</v>
      </c>
      <c r="M7" s="959" t="s">
        <v>841</v>
      </c>
      <c r="N7" s="968" t="s">
        <v>841</v>
      </c>
      <c r="O7" s="964" t="s">
        <v>841</v>
      </c>
      <c r="P7" s="969" t="s">
        <v>841</v>
      </c>
      <c r="Q7" s="962"/>
    </row>
    <row r="8" spans="1:17" ht="124.35" customHeight="1">
      <c r="A8" s="955" t="s">
        <v>657</v>
      </c>
      <c r="B8" s="956" t="s">
        <v>854</v>
      </c>
      <c r="C8" s="957" t="s">
        <v>846</v>
      </c>
      <c r="D8" s="957" t="s">
        <v>847</v>
      </c>
      <c r="E8" s="958" t="s">
        <v>848</v>
      </c>
      <c r="F8" s="958" t="s">
        <v>849</v>
      </c>
      <c r="G8" s="959" t="s">
        <v>841</v>
      </c>
      <c r="H8" s="959" t="s">
        <v>841</v>
      </c>
      <c r="I8" s="959" t="s">
        <v>841</v>
      </c>
      <c r="J8" s="958" t="s">
        <v>850</v>
      </c>
      <c r="K8" s="956" t="s">
        <v>851</v>
      </c>
      <c r="L8" s="959" t="s">
        <v>841</v>
      </c>
      <c r="M8" s="959" t="s">
        <v>841</v>
      </c>
      <c r="N8" s="958" t="s">
        <v>852</v>
      </c>
      <c r="O8" s="960" t="s">
        <v>843</v>
      </c>
      <c r="P8" s="961" t="s">
        <v>844</v>
      </c>
      <c r="Q8" s="962"/>
    </row>
    <row r="9" spans="1:17" s="467" customFormat="1" ht="124.35" customHeight="1">
      <c r="A9" s="970" t="s">
        <v>574</v>
      </c>
      <c r="B9" s="958" t="s">
        <v>855</v>
      </c>
      <c r="C9" s="965" t="s">
        <v>839</v>
      </c>
      <c r="D9" s="958" t="s">
        <v>856</v>
      </c>
      <c r="E9" s="958" t="s">
        <v>857</v>
      </c>
      <c r="F9" s="959" t="s">
        <v>839</v>
      </c>
      <c r="G9" s="958" t="s">
        <v>858</v>
      </c>
      <c r="H9" s="958" t="s">
        <v>859</v>
      </c>
      <c r="I9" s="959" t="s">
        <v>839</v>
      </c>
      <c r="J9" s="959" t="s">
        <v>839</v>
      </c>
      <c r="K9" s="959" t="s">
        <v>839</v>
      </c>
      <c r="L9" s="959" t="s">
        <v>839</v>
      </c>
      <c r="M9" s="958" t="s">
        <v>855</v>
      </c>
      <c r="N9" s="959" t="s">
        <v>839</v>
      </c>
      <c r="O9" s="959" t="s">
        <v>839</v>
      </c>
      <c r="P9" s="971" t="s">
        <v>839</v>
      </c>
      <c r="Q9" s="972"/>
    </row>
    <row r="10" spans="1:17" ht="124.35" customHeight="1">
      <c r="A10" s="955" t="s">
        <v>564</v>
      </c>
      <c r="B10" s="956" t="s">
        <v>867</v>
      </c>
      <c r="C10" s="965" t="s">
        <v>839</v>
      </c>
      <c r="D10" s="965" t="s">
        <v>839</v>
      </c>
      <c r="E10" s="965" t="s">
        <v>839</v>
      </c>
      <c r="F10" s="959" t="s">
        <v>839</v>
      </c>
      <c r="G10" s="956" t="s">
        <v>860</v>
      </c>
      <c r="H10" s="959" t="s">
        <v>839</v>
      </c>
      <c r="I10" s="959" t="s">
        <v>839</v>
      </c>
      <c r="J10" s="959" t="s">
        <v>839</v>
      </c>
      <c r="K10" s="959" t="s">
        <v>839</v>
      </c>
      <c r="L10" s="959" t="s">
        <v>839</v>
      </c>
      <c r="M10" s="956" t="s">
        <v>861</v>
      </c>
      <c r="N10" s="959" t="s">
        <v>839</v>
      </c>
      <c r="O10" s="959" t="s">
        <v>839</v>
      </c>
      <c r="P10" s="971" t="s">
        <v>839</v>
      </c>
      <c r="Q10" s="962"/>
    </row>
    <row r="11" spans="1:17" ht="21">
      <c r="A11" s="955" t="s">
        <v>565</v>
      </c>
      <c r="B11" s="973" t="s">
        <v>862</v>
      </c>
      <c r="C11" s="973" t="s">
        <v>862</v>
      </c>
      <c r="D11" s="973" t="s">
        <v>862</v>
      </c>
      <c r="E11" s="973" t="s">
        <v>862</v>
      </c>
      <c r="F11" s="973" t="s">
        <v>862</v>
      </c>
      <c r="G11" s="973" t="s">
        <v>862</v>
      </c>
      <c r="H11" s="973" t="s">
        <v>862</v>
      </c>
      <c r="I11" s="973" t="s">
        <v>862</v>
      </c>
      <c r="J11" s="973" t="s">
        <v>862</v>
      </c>
      <c r="K11" s="973" t="s">
        <v>862</v>
      </c>
      <c r="L11" s="973" t="s">
        <v>862</v>
      </c>
      <c r="M11" s="973" t="s">
        <v>862</v>
      </c>
      <c r="N11" s="973" t="s">
        <v>862</v>
      </c>
      <c r="O11" s="973" t="s">
        <v>862</v>
      </c>
      <c r="P11" s="987" t="s">
        <v>862</v>
      </c>
      <c r="Q11" s="988"/>
    </row>
    <row r="12" spans="1:17" ht="21">
      <c r="A12" s="955" t="s">
        <v>566</v>
      </c>
      <c r="B12" s="973" t="s">
        <v>862</v>
      </c>
      <c r="C12" s="973" t="s">
        <v>839</v>
      </c>
      <c r="D12" s="973" t="s">
        <v>839</v>
      </c>
      <c r="E12" s="973" t="s">
        <v>839</v>
      </c>
      <c r="F12" s="973" t="s">
        <v>839</v>
      </c>
      <c r="G12" s="973" t="s">
        <v>839</v>
      </c>
      <c r="H12" s="973" t="s">
        <v>839</v>
      </c>
      <c r="I12" s="973" t="s">
        <v>839</v>
      </c>
      <c r="J12" s="973" t="s">
        <v>839</v>
      </c>
      <c r="K12" s="973" t="s">
        <v>839</v>
      </c>
      <c r="L12" s="973" t="s">
        <v>839</v>
      </c>
      <c r="M12" s="973" t="s">
        <v>839</v>
      </c>
      <c r="N12" s="973" t="s">
        <v>839</v>
      </c>
      <c r="O12" s="973" t="s">
        <v>839</v>
      </c>
      <c r="P12" s="974" t="s">
        <v>839</v>
      </c>
      <c r="Q12" s="463"/>
    </row>
    <row r="13" spans="1:17" ht="21">
      <c r="A13" s="955" t="s">
        <v>567</v>
      </c>
      <c r="B13" s="973" t="s">
        <v>862</v>
      </c>
      <c r="C13" s="973" t="s">
        <v>839</v>
      </c>
      <c r="D13" s="973" t="s">
        <v>862</v>
      </c>
      <c r="E13" s="973" t="s">
        <v>862</v>
      </c>
      <c r="F13" s="973" t="s">
        <v>839</v>
      </c>
      <c r="G13" s="973" t="s">
        <v>862</v>
      </c>
      <c r="H13" s="973" t="s">
        <v>862</v>
      </c>
      <c r="I13" s="973" t="s">
        <v>839</v>
      </c>
      <c r="J13" s="973" t="s">
        <v>839</v>
      </c>
      <c r="K13" s="973" t="s">
        <v>839</v>
      </c>
      <c r="L13" s="973" t="s">
        <v>839</v>
      </c>
      <c r="M13" s="973" t="s">
        <v>862</v>
      </c>
      <c r="N13" s="973" t="s">
        <v>839</v>
      </c>
      <c r="O13" s="973" t="s">
        <v>839</v>
      </c>
      <c r="P13" s="974" t="s">
        <v>839</v>
      </c>
      <c r="Q13" s="463"/>
    </row>
    <row r="14" spans="1:17" ht="30">
      <c r="A14" s="975" t="s">
        <v>878</v>
      </c>
      <c r="B14" s="963" t="s">
        <v>853</v>
      </c>
      <c r="C14" s="973" t="s">
        <v>839</v>
      </c>
      <c r="D14" s="963" t="s">
        <v>853</v>
      </c>
      <c r="E14" s="973" t="s">
        <v>839</v>
      </c>
      <c r="F14" s="973" t="s">
        <v>839</v>
      </c>
      <c r="G14" s="973" t="s">
        <v>839</v>
      </c>
      <c r="H14" s="973" t="s">
        <v>839</v>
      </c>
      <c r="I14" s="973" t="s">
        <v>839</v>
      </c>
      <c r="J14" s="973" t="s">
        <v>839</v>
      </c>
      <c r="K14" s="973" t="s">
        <v>839</v>
      </c>
      <c r="L14" s="973" t="s">
        <v>839</v>
      </c>
      <c r="M14" s="973" t="s">
        <v>839</v>
      </c>
      <c r="N14" s="973" t="s">
        <v>839</v>
      </c>
      <c r="O14" s="973" t="s">
        <v>839</v>
      </c>
      <c r="P14" s="987" t="s">
        <v>839</v>
      </c>
      <c r="Q14" s="1044"/>
    </row>
    <row r="15" spans="1:17" s="474" customFormat="1" ht="21">
      <c r="A15" s="976" t="s">
        <v>568</v>
      </c>
      <c r="B15" s="472"/>
      <c r="C15" s="472"/>
      <c r="D15" s="472"/>
      <c r="E15" s="472"/>
      <c r="F15" s="472"/>
      <c r="G15" s="472"/>
      <c r="H15" s="472"/>
      <c r="I15" s="472"/>
      <c r="J15" s="472"/>
      <c r="K15" s="472"/>
      <c r="L15" s="472"/>
      <c r="M15" s="977"/>
      <c r="N15" s="472"/>
      <c r="O15" s="472"/>
      <c r="P15" s="473"/>
      <c r="Q15" s="978"/>
    </row>
    <row r="16" spans="1:17">
      <c r="M16" s="979"/>
    </row>
    <row r="17" spans="1:4">
      <c r="B17" s="980">
        <v>1</v>
      </c>
      <c r="C17" s="981">
        <v>2</v>
      </c>
      <c r="D17" s="982">
        <v>3</v>
      </c>
    </row>
    <row r="18" spans="1:4" ht="252">
      <c r="A18" s="983" t="s">
        <v>863</v>
      </c>
      <c r="B18" s="984" t="s">
        <v>864</v>
      </c>
      <c r="C18" s="985" t="s">
        <v>865</v>
      </c>
      <c r="D18" s="986" t="s">
        <v>866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B19" sqref="B19"/>
    </sheetView>
  </sheetViews>
  <sheetFormatPr defaultColWidth="9.140625" defaultRowHeight="15"/>
  <cols>
    <col min="1" max="1" width="51" style="884" bestFit="1" customWidth="1"/>
    <col min="2" max="2" width="27" style="884" customWidth="1"/>
    <col min="3" max="3" width="30.42578125" style="884" customWidth="1"/>
    <col min="4" max="4" width="9.140625" style="884"/>
    <col min="5" max="5" width="15" style="884" customWidth="1"/>
    <col min="6" max="6" width="17" style="884" customWidth="1"/>
    <col min="7" max="7" width="18.140625" style="884" customWidth="1"/>
    <col min="8" max="8" width="16.140625" style="884" customWidth="1"/>
    <col min="9" max="15" width="9.140625" style="884"/>
    <col min="16" max="16" width="26.4257812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60">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c r="A4" s="1046" t="s">
        <v>249</v>
      </c>
      <c r="B4" s="1047">
        <f>'SEAP template'!B72</f>
        <v>0</v>
      </c>
      <c r="C4" s="1047"/>
      <c r="D4" s="1047"/>
      <c r="E4" s="1047"/>
      <c r="F4" s="1047"/>
      <c r="G4" s="1047"/>
      <c r="H4" s="1047"/>
      <c r="I4" s="1047"/>
      <c r="J4" s="1047"/>
      <c r="K4" s="1047"/>
      <c r="L4" s="1047"/>
      <c r="M4" s="1047"/>
      <c r="N4" s="1047"/>
      <c r="O4" s="1047"/>
      <c r="P4" s="1048">
        <f>'SEAP template'!Q72</f>
        <v>0</v>
      </c>
    </row>
    <row r="5" spans="1:16">
      <c r="A5" s="1049" t="s">
        <v>250</v>
      </c>
      <c r="B5" s="1047">
        <f>'SEAP template'!B73</f>
        <v>0</v>
      </c>
      <c r="C5" s="1047"/>
      <c r="D5" s="1047"/>
      <c r="E5" s="1047"/>
      <c r="F5" s="1047"/>
      <c r="G5" s="1047"/>
      <c r="H5" s="1047"/>
      <c r="I5" s="1047"/>
      <c r="J5" s="1047"/>
      <c r="K5" s="1047"/>
      <c r="L5" s="1047"/>
      <c r="M5" s="1047"/>
      <c r="N5" s="1047"/>
      <c r="O5" s="1047"/>
      <c r="P5" s="1048">
        <f>'SEAP template'!Q73</f>
        <v>0</v>
      </c>
    </row>
    <row r="6" spans="1:16">
      <c r="A6" s="1049" t="s">
        <v>251</v>
      </c>
      <c r="B6" s="1047">
        <f>'SEAP template'!B74</f>
        <v>3303.4666999999999</v>
      </c>
      <c r="C6" s="1047"/>
      <c r="D6" s="1047"/>
      <c r="E6" s="1047"/>
      <c r="F6" s="1047"/>
      <c r="G6" s="1047"/>
      <c r="H6" s="1047"/>
      <c r="I6" s="1047"/>
      <c r="J6" s="1047"/>
      <c r="K6" s="1047"/>
      <c r="L6" s="1047"/>
      <c r="M6" s="1047"/>
      <c r="N6" s="1047"/>
      <c r="O6" s="1047"/>
      <c r="P6" s="1048">
        <f>'SEAP template'!Q74</f>
        <v>0</v>
      </c>
    </row>
    <row r="7" spans="1:16">
      <c r="A7" s="1049" t="s">
        <v>875</v>
      </c>
      <c r="B7" s="1047">
        <f>'SEAP template'!B75</f>
        <v>0</v>
      </c>
      <c r="C7" s="1047"/>
      <c r="D7" s="1047"/>
      <c r="E7" s="1047"/>
      <c r="F7" s="1047"/>
      <c r="G7" s="1047"/>
      <c r="H7" s="1047"/>
      <c r="I7" s="1047"/>
      <c r="J7" s="1047"/>
      <c r="K7" s="1047"/>
      <c r="L7" s="1047"/>
      <c r="M7" s="1047"/>
      <c r="N7" s="1047"/>
      <c r="O7" s="1047"/>
      <c r="P7" s="1048">
        <f>'SEAP template'!Q75</f>
        <v>0</v>
      </c>
    </row>
    <row r="8" spans="1:16">
      <c r="A8" s="1046" t="s">
        <v>252</v>
      </c>
      <c r="B8" s="1047">
        <f>'SEAP template'!B76</f>
        <v>0</v>
      </c>
      <c r="C8" s="1047">
        <f>'SEAP template'!C76</f>
        <v>0</v>
      </c>
      <c r="D8" s="1047">
        <f>'SEAP template'!D76</f>
        <v>0</v>
      </c>
      <c r="E8" s="1047">
        <f>'SEAP template'!E76</f>
        <v>0</v>
      </c>
      <c r="F8" s="1047">
        <f>'SEAP template'!F76</f>
        <v>0</v>
      </c>
      <c r="G8" s="1047">
        <f>'SEAP template'!G76</f>
        <v>0</v>
      </c>
      <c r="H8" s="1047">
        <f>'SEAP template'!H76</f>
        <v>0</v>
      </c>
      <c r="I8" s="1047">
        <f>'SEAP template'!I76</f>
        <v>0</v>
      </c>
      <c r="J8" s="1047">
        <f>'SEAP template'!J76</f>
        <v>0</v>
      </c>
      <c r="K8" s="1047">
        <f>'SEAP template'!K76</f>
        <v>0</v>
      </c>
      <c r="L8" s="1047">
        <f>'SEAP template'!L76</f>
        <v>0</v>
      </c>
      <c r="M8" s="1047">
        <f>'SEAP template'!M76</f>
        <v>0</v>
      </c>
      <c r="N8" s="1047">
        <f>'SEAP template'!N76</f>
        <v>0</v>
      </c>
      <c r="O8" s="1047">
        <f>'SEAP template'!O76</f>
        <v>0</v>
      </c>
      <c r="P8" s="1048">
        <f>'SEAP template'!Q76</f>
        <v>0</v>
      </c>
    </row>
    <row r="9" spans="1:16">
      <c r="A9" s="1050" t="s">
        <v>887</v>
      </c>
      <c r="B9" s="1047">
        <f>'SEAP template'!B77</f>
        <v>0</v>
      </c>
      <c r="C9" s="1047">
        <f>'SEAP template'!C77</f>
        <v>0</v>
      </c>
      <c r="D9" s="1047">
        <f>'SEAP template'!D77</f>
        <v>0</v>
      </c>
      <c r="E9" s="1047">
        <f>'SEAP template'!E77</f>
        <v>0</v>
      </c>
      <c r="F9" s="1047">
        <f>'SEAP template'!F77</f>
        <v>0</v>
      </c>
      <c r="G9" s="1047">
        <f>'SEAP template'!G77</f>
        <v>0</v>
      </c>
      <c r="H9" s="1047">
        <f>'SEAP template'!H77</f>
        <v>0</v>
      </c>
      <c r="I9" s="1047">
        <f>'SEAP template'!I77</f>
        <v>0</v>
      </c>
      <c r="J9" s="1047">
        <f>'SEAP template'!J77</f>
        <v>0</v>
      </c>
      <c r="K9" s="1047">
        <f>'SEAP template'!K77</f>
        <v>0</v>
      </c>
      <c r="L9" s="1047">
        <f>'SEAP template'!L77</f>
        <v>0</v>
      </c>
      <c r="M9" s="1047">
        <f>'SEAP template'!M77</f>
        <v>0</v>
      </c>
      <c r="N9" s="1047">
        <f>'SEAP template'!N77</f>
        <v>0</v>
      </c>
      <c r="O9" s="1047">
        <f>'SEAP template'!O77</f>
        <v>0</v>
      </c>
      <c r="P9" s="1048">
        <f>'SEAP template'!Q77</f>
        <v>0</v>
      </c>
    </row>
    <row r="10" spans="1:16">
      <c r="A10" s="1049" t="s">
        <v>116</v>
      </c>
      <c r="B10" s="1051">
        <f>SUM(B4:B9)</f>
        <v>3303.4666999999999</v>
      </c>
      <c r="C10" s="1051">
        <f>SUM(C4:C9)</f>
        <v>0</v>
      </c>
      <c r="D10" s="1051">
        <f t="shared" ref="D10:H10" si="0">SUM(D8:D9)</f>
        <v>0</v>
      </c>
      <c r="E10" s="1051">
        <f t="shared" si="0"/>
        <v>0</v>
      </c>
      <c r="F10" s="1051">
        <f t="shared" si="0"/>
        <v>0</v>
      </c>
      <c r="G10" s="1051">
        <f t="shared" si="0"/>
        <v>0</v>
      </c>
      <c r="H10" s="1051">
        <f t="shared" si="0"/>
        <v>0</v>
      </c>
      <c r="I10" s="1051">
        <f>SUM(I8:I9)</f>
        <v>0</v>
      </c>
      <c r="J10" s="1051">
        <f>SUM(J8:J9)</f>
        <v>0</v>
      </c>
      <c r="K10" s="1051">
        <f t="shared" ref="K10:L10" si="1">SUM(K8:K9)</f>
        <v>0</v>
      </c>
      <c r="L10" s="1051">
        <f t="shared" si="1"/>
        <v>0</v>
      </c>
      <c r="M10" s="1051">
        <f>SUM(M8:M9)</f>
        <v>0</v>
      </c>
      <c r="N10" s="1051">
        <f>SUM(N8:N9)</f>
        <v>0</v>
      </c>
      <c r="O10" s="1051">
        <f>SUM(O8:O9)</f>
        <v>0</v>
      </c>
      <c r="P10" s="1051">
        <f>SUM(P8:P9)</f>
        <v>0</v>
      </c>
    </row>
    <row r="11" spans="1:16">
      <c r="A11" s="892"/>
      <c r="B11" s="892"/>
      <c r="C11" s="892"/>
      <c r="D11" s="892"/>
      <c r="E11" s="892"/>
      <c r="F11" s="892"/>
      <c r="G11" s="892"/>
      <c r="H11" s="892"/>
      <c r="I11" s="892"/>
      <c r="J11" s="892"/>
      <c r="K11" s="892"/>
      <c r="L11" s="892"/>
      <c r="M11" s="892"/>
      <c r="N11" s="892"/>
      <c r="O11" s="892"/>
      <c r="P11" s="892"/>
    </row>
    <row r="12" spans="1:16">
      <c r="A12" s="475" t="s">
        <v>888</v>
      </c>
      <c r="B12" s="781" t="s">
        <v>889</v>
      </c>
      <c r="C12" s="781">
        <f ca="1">'EF ele_warmte'!B12</f>
        <v>0.20697583617672413</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c r="A17" s="1052" t="s">
        <v>252</v>
      </c>
      <c r="B17" s="1053">
        <f>'SEAP template'!B87</f>
        <v>0</v>
      </c>
      <c r="C17" s="1053">
        <f>'SEAP template'!C87</f>
        <v>0</v>
      </c>
      <c r="D17" s="1048">
        <f>'SEAP template'!D87</f>
        <v>0</v>
      </c>
      <c r="E17" s="1048">
        <f>'SEAP template'!E87</f>
        <v>0</v>
      </c>
      <c r="F17" s="1048">
        <f>'SEAP template'!F87</f>
        <v>0</v>
      </c>
      <c r="G17" s="1048">
        <f>'SEAP template'!G87</f>
        <v>0</v>
      </c>
      <c r="H17" s="1048">
        <f>'SEAP template'!H87</f>
        <v>0</v>
      </c>
      <c r="I17" s="1048">
        <f>'SEAP template'!I87</f>
        <v>0</v>
      </c>
      <c r="J17" s="1048">
        <f>'SEAP template'!J87</f>
        <v>0</v>
      </c>
      <c r="K17" s="1048">
        <f>'SEAP template'!K87</f>
        <v>0</v>
      </c>
      <c r="L17" s="1048">
        <f>'SEAP template'!L87</f>
        <v>0</v>
      </c>
      <c r="M17" s="1048">
        <f>'SEAP template'!M87</f>
        <v>0</v>
      </c>
      <c r="N17" s="1048">
        <f>'SEAP template'!N87</f>
        <v>0</v>
      </c>
      <c r="O17" s="1048">
        <f>'SEAP template'!O87</f>
        <v>0</v>
      </c>
      <c r="P17" s="1048">
        <f>'SEAP template'!Q87</f>
        <v>0</v>
      </c>
    </row>
    <row r="18" spans="1:16">
      <c r="A18" s="1054" t="s">
        <v>258</v>
      </c>
      <c r="B18" s="1053">
        <f>'SEAP template'!B88</f>
        <v>0</v>
      </c>
      <c r="C18" s="1053">
        <f>'SEAP template'!C88</f>
        <v>0</v>
      </c>
      <c r="D18" s="1048">
        <f>'SEAP template'!D88</f>
        <v>0</v>
      </c>
      <c r="E18" s="1048">
        <f>'SEAP template'!E88</f>
        <v>0</v>
      </c>
      <c r="F18" s="1048">
        <f>'SEAP template'!F88</f>
        <v>0</v>
      </c>
      <c r="G18" s="1048">
        <f>'SEAP template'!G88</f>
        <v>0</v>
      </c>
      <c r="H18" s="1048">
        <f>'SEAP template'!H88</f>
        <v>0</v>
      </c>
      <c r="I18" s="1048">
        <f>'SEAP template'!I88</f>
        <v>0</v>
      </c>
      <c r="J18" s="1048">
        <f>'SEAP template'!J88</f>
        <v>0</v>
      </c>
      <c r="K18" s="1048">
        <f>'SEAP template'!K88</f>
        <v>0</v>
      </c>
      <c r="L18" s="1048">
        <f>'SEAP template'!L88</f>
        <v>0</v>
      </c>
      <c r="M18" s="1048">
        <f>'SEAP template'!M88</f>
        <v>0</v>
      </c>
      <c r="N18" s="1048">
        <f>'SEAP template'!N88</f>
        <v>0</v>
      </c>
      <c r="O18" s="1048">
        <f>'SEAP template'!O88</f>
        <v>0</v>
      </c>
      <c r="P18" s="1048">
        <f>'SEAP template'!Q88</f>
        <v>0</v>
      </c>
    </row>
    <row r="19" spans="1:16">
      <c r="A19" s="1050" t="s">
        <v>894</v>
      </c>
      <c r="B19" s="1053">
        <f>'SEAP template'!B89</f>
        <v>0</v>
      </c>
      <c r="C19" s="1053">
        <f>'SEAP template'!C89</f>
        <v>0</v>
      </c>
      <c r="D19" s="1048">
        <f>'SEAP template'!D89</f>
        <v>0</v>
      </c>
      <c r="E19" s="1048">
        <f>'SEAP template'!E89</f>
        <v>0</v>
      </c>
      <c r="F19" s="1048">
        <f>'SEAP template'!F89</f>
        <v>0</v>
      </c>
      <c r="G19" s="1048">
        <f>'SEAP template'!G89</f>
        <v>0</v>
      </c>
      <c r="H19" s="1048">
        <f>'SEAP template'!H89</f>
        <v>0</v>
      </c>
      <c r="I19" s="1048">
        <f>'SEAP template'!I89</f>
        <v>0</v>
      </c>
      <c r="J19" s="1048">
        <f>'SEAP template'!J89</f>
        <v>0</v>
      </c>
      <c r="K19" s="1048">
        <f>'SEAP template'!K89</f>
        <v>0</v>
      </c>
      <c r="L19" s="1048">
        <f>'SEAP template'!L89</f>
        <v>0</v>
      </c>
      <c r="M19" s="1048">
        <f>'SEAP template'!M89</f>
        <v>0</v>
      </c>
      <c r="N19" s="1048">
        <f>'SEAP template'!N89</f>
        <v>0</v>
      </c>
      <c r="O19" s="1048">
        <f>'SEAP template'!O89</f>
        <v>0</v>
      </c>
      <c r="P19" s="1048">
        <f>'SEAP template'!Q89</f>
        <v>0</v>
      </c>
    </row>
    <row r="20" spans="1:16">
      <c r="A20" s="1055" t="s">
        <v>116</v>
      </c>
      <c r="B20" s="1051">
        <f>SUM(B17:B19)</f>
        <v>0</v>
      </c>
      <c r="C20" s="1051">
        <f>SUM(C17:C19)</f>
        <v>0</v>
      </c>
      <c r="D20" s="1051">
        <f t="shared" ref="D20:H20" si="2">SUM(D17:D19)</f>
        <v>0</v>
      </c>
      <c r="E20" s="1051">
        <f t="shared" si="2"/>
        <v>0</v>
      </c>
      <c r="F20" s="1051">
        <f t="shared" si="2"/>
        <v>0</v>
      </c>
      <c r="G20" s="1051">
        <f t="shared" si="2"/>
        <v>0</v>
      </c>
      <c r="H20" s="1051">
        <f t="shared" si="2"/>
        <v>0</v>
      </c>
      <c r="I20" s="1051">
        <f>SUM(I17:I19)</f>
        <v>0</v>
      </c>
      <c r="J20" s="1051">
        <f>SUM(J17:J19)</f>
        <v>0</v>
      </c>
      <c r="K20" s="1051">
        <f t="shared" ref="K20:L20" si="3">SUM(K17:K19)</f>
        <v>0</v>
      </c>
      <c r="L20" s="1051">
        <f t="shared" si="3"/>
        <v>0</v>
      </c>
      <c r="M20" s="1051">
        <f>SUM(M17:M19)</f>
        <v>0</v>
      </c>
      <c r="N20" s="1051">
        <f>SUM(N17:N19)</f>
        <v>0</v>
      </c>
      <c r="O20" s="1051">
        <f>SUM(O17:O19)</f>
        <v>0</v>
      </c>
      <c r="P20" s="1051">
        <f>SUM(P17:P19)</f>
        <v>0</v>
      </c>
    </row>
    <row r="22" spans="1:16">
      <c r="A22" s="475" t="s">
        <v>895</v>
      </c>
      <c r="B22" s="781" t="s">
        <v>889</v>
      </c>
      <c r="C22" s="781">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D6" sqref="D6"/>
    </sheetView>
  </sheetViews>
  <sheetFormatPr defaultColWidth="9.140625" defaultRowHeight="15"/>
  <cols>
    <col min="1" max="1" width="49.5703125" style="884" customWidth="1"/>
    <col min="2" max="2" width="23.5703125" style="884" customWidth="1"/>
    <col min="3" max="3" width="25.28515625" style="884" customWidth="1"/>
    <col min="4" max="10" width="18.42578125" style="884" bestFit="1" customWidth="1"/>
    <col min="11" max="11" width="24.28515625" style="884" bestFit="1" customWidth="1"/>
    <col min="12" max="12" width="22.42578125" style="884" bestFit="1" customWidth="1"/>
    <col min="13" max="13" width="18.42578125" style="884" bestFit="1" customWidth="1"/>
    <col min="14" max="14" width="28.42578125" style="884" bestFit="1" customWidth="1"/>
    <col min="15" max="15" width="18.42578125" style="884" bestFit="1" customWidth="1"/>
    <col min="16" max="16" width="16.710937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15.75">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ht="135">
      <c r="A4" s="1056" t="s">
        <v>249</v>
      </c>
      <c r="B4" s="1057" t="s">
        <v>896</v>
      </c>
      <c r="C4" s="1058" t="s">
        <v>839</v>
      </c>
      <c r="D4" s="1058" t="s">
        <v>839</v>
      </c>
      <c r="E4" s="1058" t="s">
        <v>839</v>
      </c>
      <c r="F4" s="1058" t="s">
        <v>839</v>
      </c>
      <c r="G4" s="1058" t="s">
        <v>839</v>
      </c>
      <c r="H4" s="1058" t="s">
        <v>839</v>
      </c>
      <c r="I4" s="1058" t="s">
        <v>839</v>
      </c>
      <c r="J4" s="1058" t="s">
        <v>839</v>
      </c>
      <c r="K4" s="1058" t="s">
        <v>839</v>
      </c>
      <c r="L4" s="1058" t="s">
        <v>839</v>
      </c>
      <c r="M4" s="1058" t="s">
        <v>839</v>
      </c>
      <c r="N4" s="1058" t="s">
        <v>839</v>
      </c>
      <c r="O4" s="1058" t="s">
        <v>839</v>
      </c>
      <c r="P4" s="1059" t="s">
        <v>897</v>
      </c>
    </row>
    <row r="5" spans="1:16" ht="135">
      <c r="A5" s="1060" t="s">
        <v>250</v>
      </c>
      <c r="B5" s="1057" t="s">
        <v>896</v>
      </c>
      <c r="C5" s="1058" t="s">
        <v>839</v>
      </c>
      <c r="D5" s="1058" t="s">
        <v>839</v>
      </c>
      <c r="E5" s="1058" t="s">
        <v>839</v>
      </c>
      <c r="F5" s="1058" t="s">
        <v>839</v>
      </c>
      <c r="G5" s="1058" t="s">
        <v>839</v>
      </c>
      <c r="H5" s="1058" t="s">
        <v>839</v>
      </c>
      <c r="I5" s="1058" t="s">
        <v>839</v>
      </c>
      <c r="J5" s="1058" t="s">
        <v>839</v>
      </c>
      <c r="K5" s="1058" t="s">
        <v>839</v>
      </c>
      <c r="L5" s="1058" t="s">
        <v>839</v>
      </c>
      <c r="M5" s="1058" t="s">
        <v>839</v>
      </c>
      <c r="N5" s="1058" t="s">
        <v>839</v>
      </c>
      <c r="O5" s="1058" t="s">
        <v>839</v>
      </c>
      <c r="P5" s="1059" t="s">
        <v>897</v>
      </c>
    </row>
    <row r="6" spans="1:16" ht="135">
      <c r="A6" s="1060" t="s">
        <v>251</v>
      </c>
      <c r="B6" s="1057" t="s">
        <v>896</v>
      </c>
      <c r="C6" s="1058" t="s">
        <v>839</v>
      </c>
      <c r="D6" s="1058" t="s">
        <v>839</v>
      </c>
      <c r="E6" s="1058" t="s">
        <v>839</v>
      </c>
      <c r="F6" s="1058" t="s">
        <v>839</v>
      </c>
      <c r="G6" s="1058" t="s">
        <v>839</v>
      </c>
      <c r="H6" s="1058" t="s">
        <v>839</v>
      </c>
      <c r="I6" s="1058" t="s">
        <v>839</v>
      </c>
      <c r="J6" s="1058" t="s">
        <v>839</v>
      </c>
      <c r="K6" s="1058" t="s">
        <v>839</v>
      </c>
      <c r="L6" s="1058" t="s">
        <v>839</v>
      </c>
      <c r="M6" s="1058" t="s">
        <v>839</v>
      </c>
      <c r="N6" s="1058" t="s">
        <v>839</v>
      </c>
      <c r="O6" s="1058" t="s">
        <v>839</v>
      </c>
      <c r="P6" s="1059" t="s">
        <v>897</v>
      </c>
    </row>
    <row r="7" spans="1:16" ht="135">
      <c r="A7" s="1060" t="s">
        <v>875</v>
      </c>
      <c r="B7" s="1058" t="s">
        <v>839</v>
      </c>
      <c r="C7" s="1058" t="s">
        <v>839</v>
      </c>
      <c r="D7" s="1058" t="s">
        <v>839</v>
      </c>
      <c r="E7" s="1058" t="s">
        <v>839</v>
      </c>
      <c r="F7" s="1058" t="s">
        <v>839</v>
      </c>
      <c r="G7" s="1058" t="s">
        <v>839</v>
      </c>
      <c r="H7" s="1058" t="s">
        <v>839</v>
      </c>
      <c r="I7" s="1058" t="s">
        <v>839</v>
      </c>
      <c r="J7" s="1058" t="s">
        <v>839</v>
      </c>
      <c r="K7" s="1058" t="s">
        <v>839</v>
      </c>
      <c r="L7" s="1058" t="s">
        <v>839</v>
      </c>
      <c r="M7" s="1058" t="s">
        <v>839</v>
      </c>
      <c r="N7" s="1058" t="s">
        <v>839</v>
      </c>
      <c r="O7" s="1058" t="s">
        <v>839</v>
      </c>
      <c r="P7" s="1059" t="s">
        <v>897</v>
      </c>
    </row>
    <row r="8" spans="1:16" ht="210">
      <c r="A8" s="1056" t="s">
        <v>252</v>
      </c>
      <c r="B8" s="1057" t="s">
        <v>898</v>
      </c>
      <c r="C8" s="1057" t="s">
        <v>898</v>
      </c>
      <c r="D8" s="1057" t="s">
        <v>898</v>
      </c>
      <c r="E8" s="1057" t="s">
        <v>898</v>
      </c>
      <c r="F8" s="1057" t="s">
        <v>898</v>
      </c>
      <c r="G8" s="1057" t="s">
        <v>898</v>
      </c>
      <c r="H8" s="1057" t="s">
        <v>898</v>
      </c>
      <c r="I8" s="1057" t="s">
        <v>898</v>
      </c>
      <c r="J8" s="1057" t="s">
        <v>898</v>
      </c>
      <c r="K8" s="1058" t="s">
        <v>839</v>
      </c>
      <c r="L8" s="1058" t="s">
        <v>839</v>
      </c>
      <c r="M8" s="1058" t="s">
        <v>839</v>
      </c>
      <c r="N8" s="1057" t="s">
        <v>899</v>
      </c>
      <c r="O8" s="1057" t="s">
        <v>899</v>
      </c>
      <c r="P8" s="1061"/>
    </row>
    <row r="9" spans="1:16" ht="210">
      <c r="A9" s="1062" t="s">
        <v>887</v>
      </c>
      <c r="B9" s="1057" t="s">
        <v>899</v>
      </c>
      <c r="C9" s="1057" t="s">
        <v>899</v>
      </c>
      <c r="D9" s="1057" t="s">
        <v>899</v>
      </c>
      <c r="E9" s="1057" t="s">
        <v>899</v>
      </c>
      <c r="F9" s="1057" t="s">
        <v>899</v>
      </c>
      <c r="G9" s="1057" t="s">
        <v>899</v>
      </c>
      <c r="H9" s="1057" t="s">
        <v>899</v>
      </c>
      <c r="I9" s="1057" t="s">
        <v>899</v>
      </c>
      <c r="J9" s="1057" t="s">
        <v>899</v>
      </c>
      <c r="K9" s="1058" t="s">
        <v>839</v>
      </c>
      <c r="L9" s="1057" t="s">
        <v>899</v>
      </c>
      <c r="M9" s="1057" t="s">
        <v>899</v>
      </c>
      <c r="N9" s="1057" t="s">
        <v>899</v>
      </c>
      <c r="O9" s="1057" t="s">
        <v>899</v>
      </c>
      <c r="P9" s="1061"/>
    </row>
    <row r="10" spans="1:16">
      <c r="A10" s="1060" t="s">
        <v>116</v>
      </c>
      <c r="B10" s="1063"/>
      <c r="C10" s="1063"/>
      <c r="D10" s="1063"/>
      <c r="E10" s="1063"/>
      <c r="F10" s="1063"/>
      <c r="G10" s="1063"/>
      <c r="H10" s="1063"/>
      <c r="I10" s="1063"/>
      <c r="J10" s="1063"/>
      <c r="K10" s="1063"/>
      <c r="L10" s="1063"/>
      <c r="M10" s="1063"/>
      <c r="N10" s="1063"/>
      <c r="O10" s="1063"/>
      <c r="P10" s="1063"/>
    </row>
    <row r="11" spans="1:16">
      <c r="A11" s="892"/>
      <c r="B11" s="892"/>
      <c r="C11" s="892"/>
      <c r="D11" s="892"/>
      <c r="E11" s="892"/>
      <c r="F11" s="892"/>
      <c r="G11" s="892"/>
      <c r="H11" s="892"/>
      <c r="I11" s="892"/>
      <c r="J11" s="892"/>
      <c r="K11" s="892"/>
      <c r="L11" s="892"/>
      <c r="M11" s="892"/>
      <c r="N11" s="892"/>
      <c r="O11" s="892"/>
      <c r="P11" s="892"/>
    </row>
    <row r="12" spans="1:16" ht="150">
      <c r="A12" s="475" t="s">
        <v>888</v>
      </c>
      <c r="B12" s="781" t="s">
        <v>889</v>
      </c>
      <c r="C12" s="1064" t="s">
        <v>900</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ht="210">
      <c r="A17" s="1052" t="s">
        <v>252</v>
      </c>
      <c r="B17" s="1057" t="s">
        <v>899</v>
      </c>
      <c r="C17" s="1057" t="s">
        <v>899</v>
      </c>
      <c r="D17" s="1057" t="s">
        <v>899</v>
      </c>
      <c r="E17" s="1057" t="s">
        <v>899</v>
      </c>
      <c r="F17" s="1057" t="s">
        <v>899</v>
      </c>
      <c r="G17" s="1057" t="s">
        <v>899</v>
      </c>
      <c r="H17" s="1057" t="s">
        <v>899</v>
      </c>
      <c r="I17" s="1057" t="s">
        <v>899</v>
      </c>
      <c r="J17" s="1057" t="s">
        <v>899</v>
      </c>
      <c r="K17" s="1058" t="s">
        <v>839</v>
      </c>
      <c r="L17" s="1058" t="s">
        <v>839</v>
      </c>
      <c r="M17" s="1058" t="s">
        <v>839</v>
      </c>
      <c r="N17" s="1057" t="s">
        <v>899</v>
      </c>
      <c r="O17" s="1057" t="s">
        <v>899</v>
      </c>
      <c r="P17" s="1065"/>
    </row>
    <row r="18" spans="1:16" ht="45">
      <c r="A18" s="1054" t="s">
        <v>258</v>
      </c>
      <c r="B18" s="1059" t="s">
        <v>862</v>
      </c>
      <c r="C18" s="1059" t="s">
        <v>862</v>
      </c>
      <c r="D18" s="1059" t="s">
        <v>862</v>
      </c>
      <c r="E18" s="1059" t="s">
        <v>862</v>
      </c>
      <c r="F18" s="1059" t="s">
        <v>862</v>
      </c>
      <c r="G18" s="1059" t="s">
        <v>862</v>
      </c>
      <c r="H18" s="1059" t="s">
        <v>862</v>
      </c>
      <c r="I18" s="1059" t="s">
        <v>862</v>
      </c>
      <c r="J18" s="1059" t="s">
        <v>862</v>
      </c>
      <c r="K18" s="1059" t="s">
        <v>862</v>
      </c>
      <c r="L18" s="1059" t="s">
        <v>862</v>
      </c>
      <c r="M18" s="1059" t="s">
        <v>862</v>
      </c>
      <c r="N18" s="1059" t="s">
        <v>862</v>
      </c>
      <c r="O18" s="1059" t="s">
        <v>862</v>
      </c>
      <c r="P18" s="1059" t="s">
        <v>862</v>
      </c>
    </row>
    <row r="19" spans="1:16" ht="45">
      <c r="A19" s="1050" t="s">
        <v>894</v>
      </c>
      <c r="B19" s="1059" t="s">
        <v>862</v>
      </c>
      <c r="C19" s="1059" t="s">
        <v>862</v>
      </c>
      <c r="D19" s="1059" t="s">
        <v>862</v>
      </c>
      <c r="E19" s="1059" t="s">
        <v>862</v>
      </c>
      <c r="F19" s="1059" t="s">
        <v>862</v>
      </c>
      <c r="G19" s="1059" t="s">
        <v>862</v>
      </c>
      <c r="H19" s="1059" t="s">
        <v>862</v>
      </c>
      <c r="I19" s="1059" t="s">
        <v>862</v>
      </c>
      <c r="J19" s="1059" t="s">
        <v>862</v>
      </c>
      <c r="K19" s="1059" t="s">
        <v>862</v>
      </c>
      <c r="L19" s="1059" t="s">
        <v>862</v>
      </c>
      <c r="M19" s="1059" t="s">
        <v>862</v>
      </c>
      <c r="N19" s="1059" t="s">
        <v>862</v>
      </c>
      <c r="O19" s="1059" t="s">
        <v>862</v>
      </c>
      <c r="P19" s="1059" t="s">
        <v>862</v>
      </c>
    </row>
    <row r="20" spans="1:16">
      <c r="A20" s="1055" t="s">
        <v>116</v>
      </c>
      <c r="B20" s="1051"/>
      <c r="C20" s="1051"/>
      <c r="D20" s="1051"/>
      <c r="E20" s="1051"/>
      <c r="F20" s="1051"/>
      <c r="G20" s="1051"/>
      <c r="H20" s="1051"/>
      <c r="I20" s="1051"/>
      <c r="J20" s="1051"/>
      <c r="K20" s="1051"/>
      <c r="L20" s="1051"/>
      <c r="M20" s="1051"/>
      <c r="N20" s="1051"/>
      <c r="O20" s="1051"/>
      <c r="P20" s="1051"/>
    </row>
    <row r="22" spans="1:16" ht="90">
      <c r="A22" s="475" t="s">
        <v>895</v>
      </c>
      <c r="B22" s="781" t="s">
        <v>889</v>
      </c>
      <c r="C22" s="1064" t="s">
        <v>901</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85" t="s">
        <v>623</v>
      </c>
      <c r="B4" s="478"/>
      <c r="C4" s="478"/>
      <c r="D4" s="478"/>
      <c r="E4" s="478"/>
      <c r="F4" s="478"/>
      <c r="G4" s="510"/>
      <c r="H4" s="510"/>
      <c r="I4" s="478"/>
      <c r="J4" s="478"/>
      <c r="K4" s="478"/>
      <c r="L4" s="478"/>
      <c r="M4" s="478"/>
      <c r="N4" s="478"/>
      <c r="O4" s="478"/>
      <c r="P4" s="478"/>
    </row>
    <row r="5" spans="1:16" outlineLevel="1">
      <c r="A5" s="685" t="s">
        <v>624</v>
      </c>
      <c r="B5" s="478"/>
      <c r="C5" s="478"/>
      <c r="D5" s="478"/>
      <c r="E5" s="478"/>
      <c r="F5" s="478"/>
      <c r="G5" s="510"/>
      <c r="H5" s="510"/>
      <c r="I5" s="478"/>
      <c r="J5" s="478"/>
      <c r="K5" s="478"/>
      <c r="L5" s="478"/>
      <c r="M5" s="478"/>
      <c r="N5" s="478"/>
      <c r="O5" s="478"/>
      <c r="P5" s="478"/>
    </row>
    <row r="6" spans="1:16" outlineLevel="1">
      <c r="A6" s="685" t="s">
        <v>625</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86" t="s">
        <v>626</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627</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589</v>
      </c>
      <c r="B13" s="462"/>
      <c r="C13" s="482"/>
      <c r="D13" s="482"/>
      <c r="E13" s="482"/>
      <c r="F13" s="482"/>
      <c r="G13" s="482"/>
      <c r="H13" s="482"/>
      <c r="I13" s="482"/>
      <c r="J13" s="482"/>
      <c r="K13" s="482"/>
      <c r="L13" s="482"/>
      <c r="M13" s="482"/>
      <c r="N13" s="482"/>
      <c r="O13" s="782" t="s">
        <v>648</v>
      </c>
      <c r="P13" s="782" t="s">
        <v>647</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0.20697583617672413</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492</v>
      </c>
      <c r="B22" s="491"/>
      <c r="C22" s="492"/>
      <c r="D22" s="493"/>
      <c r="E22" s="494"/>
    </row>
    <row r="23" spans="1:16" s="48" customFormat="1" ht="15" customHeight="1" outlineLevel="1">
      <c r="A23" s="495"/>
      <c r="B23" s="496"/>
      <c r="C23" s="497" t="s">
        <v>378</v>
      </c>
      <c r="D23" s="497" t="s">
        <v>182</v>
      </c>
      <c r="E23" s="498"/>
    </row>
    <row r="24" spans="1:16" s="462" customFormat="1" ht="15" customHeight="1" outlineLevel="1">
      <c r="A24" s="499" t="s">
        <v>266</v>
      </c>
      <c r="B24" s="47">
        <f>EigenZB</f>
        <v>0</v>
      </c>
      <c r="C24" s="500"/>
      <c r="D24" s="890" t="s">
        <v>679</v>
      </c>
      <c r="E24" s="463"/>
    </row>
    <row r="25" spans="1:16" s="462" customFormat="1" outlineLevel="1">
      <c r="A25" s="499" t="s">
        <v>459</v>
      </c>
      <c r="B25" s="48">
        <v>4.2</v>
      </c>
      <c r="C25" s="500"/>
      <c r="D25" s="501" t="s">
        <v>520</v>
      </c>
      <c r="E25" s="477"/>
    </row>
    <row r="26" spans="1:16" s="462" customFormat="1" outlineLevel="1">
      <c r="A26" s="786" t="s">
        <v>460</v>
      </c>
      <c r="B26" s="787">
        <f>1.34/3.6</f>
        <v>0.37222222222222223</v>
      </c>
      <c r="C26" s="500" t="s">
        <v>218</v>
      </c>
      <c r="D26" s="501" t="s">
        <v>520</v>
      </c>
      <c r="E26" s="477"/>
    </row>
    <row r="27" spans="1:16" s="462" customFormat="1" outlineLevel="1">
      <c r="A27" s="502" t="s">
        <v>635</v>
      </c>
      <c r="B27" s="789">
        <f>B24*B25*B26</f>
        <v>0</v>
      </c>
      <c r="C27" s="503" t="s">
        <v>636</v>
      </c>
      <c r="D27" s="504"/>
      <c r="E27" s="505"/>
    </row>
    <row r="28" spans="1:16" s="462" customFormat="1" outlineLevel="1">
      <c r="A28" s="48"/>
      <c r="B28" s="48"/>
      <c r="C28" s="506"/>
      <c r="D28" s="500"/>
    </row>
    <row r="29" spans="1:16" s="462" customFormat="1" outlineLevel="1">
      <c r="A29" s="507" t="s">
        <v>493</v>
      </c>
      <c r="B29" s="491"/>
      <c r="C29" s="492"/>
      <c r="D29" s="493"/>
      <c r="E29" s="494"/>
    </row>
    <row r="30" spans="1:16" s="48" customFormat="1" outlineLevel="1">
      <c r="A30" s="508"/>
      <c r="B30" s="496"/>
      <c r="C30" s="497" t="s">
        <v>378</v>
      </c>
      <c r="D30" s="497" t="s">
        <v>182</v>
      </c>
      <c r="E30" s="498"/>
    </row>
    <row r="31" spans="1:16" s="462" customFormat="1" outlineLevel="1">
      <c r="A31" s="499" t="s">
        <v>458</v>
      </c>
      <c r="B31" s="47">
        <f>EigenWP</f>
        <v>0</v>
      </c>
      <c r="C31" s="500"/>
      <c r="D31" s="890" t="s">
        <v>236</v>
      </c>
      <c r="E31" s="463"/>
    </row>
    <row r="32" spans="1:16" s="462" customFormat="1" outlineLevel="1">
      <c r="A32" s="499" t="s">
        <v>456</v>
      </c>
      <c r="B32" s="48">
        <v>13</v>
      </c>
      <c r="C32" s="506" t="s">
        <v>263</v>
      </c>
      <c r="D32" s="501" t="s">
        <v>520</v>
      </c>
      <c r="E32" s="463"/>
    </row>
    <row r="33" spans="1:5" s="462" customFormat="1" outlineLevel="1">
      <c r="A33" s="499" t="s">
        <v>457</v>
      </c>
      <c r="B33" s="48">
        <v>2000</v>
      </c>
      <c r="C33" s="506" t="s">
        <v>265</v>
      </c>
      <c r="D33" s="501" t="s">
        <v>520</v>
      </c>
      <c r="E33" s="463"/>
    </row>
    <row r="34" spans="1:5" s="462" customFormat="1" outlineLevel="1">
      <c r="A34" s="786" t="s">
        <v>383</v>
      </c>
      <c r="B34" s="48">
        <v>3.75</v>
      </c>
      <c r="C34" s="506"/>
      <c r="D34" s="501" t="s">
        <v>520</v>
      </c>
      <c r="E34" s="463"/>
    </row>
    <row r="35" spans="1:5" s="462" customFormat="1" outlineLevel="1">
      <c r="A35" s="502" t="s">
        <v>635</v>
      </c>
      <c r="B35" s="788">
        <f>B31*B32*B33/1000-B31*B32*B33/1000/B34</f>
        <v>0</v>
      </c>
      <c r="C35" s="509" t="s">
        <v>636</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216</vt:i4>
      </vt:variant>
    </vt:vector>
  </HeadingPairs>
  <TitlesOfParts>
    <vt:vector size="252"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2019-08-12T08:04:23Z</dcterms:modified>
</cp:coreProperties>
</file>