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G102"/>
  <c r="I17" s="1"/>
  <c r="F102"/>
  <c r="I101"/>
  <c r="H8" s="1"/>
  <c r="H10" s="1"/>
  <c r="C101"/>
  <c r="D101"/>
  <c r="G101"/>
  <c r="I8" s="1"/>
  <c r="I10" s="1"/>
  <c r="H101"/>
  <c r="B101"/>
  <c r="C8" s="1"/>
  <c r="F101"/>
  <c r="O9"/>
  <c r="B10"/>
  <c r="B20"/>
  <c r="O19"/>
  <c r="I20"/>
  <c r="C20"/>
  <c r="C1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D22" i="14"/>
  <c r="G22"/>
  <c r="O22"/>
  <c r="P22"/>
  <c r="O25" i="48"/>
  <c r="O28"/>
  <c r="L22" i="14"/>
  <c r="K20" i="59"/>
  <c r="L20"/>
  <c r="D14" i="48"/>
  <c r="E20" i="59"/>
  <c r="E10"/>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8" i="48" l="1"/>
  <c r="L32"/>
  <c r="L29"/>
  <c r="L22"/>
  <c r="L30"/>
  <c r="L24"/>
  <c r="L27"/>
  <c r="L31"/>
  <c r="P5"/>
  <c r="P23" s="1"/>
  <c r="Q10" i="14"/>
  <c r="C24"/>
  <c r="C26" s="1"/>
  <c r="B7" i="48"/>
  <c r="P4"/>
  <c r="Q11" i="14"/>
  <c r="O4" i="48"/>
  <c r="P11" i="14"/>
  <c r="B4" i="48"/>
  <c r="C11" i="14"/>
  <c r="F32" i="48"/>
  <c r="F27"/>
  <c r="F30"/>
  <c r="F28"/>
  <c r="F24"/>
  <c r="F31"/>
  <c r="F29"/>
  <c r="N32"/>
  <c r="N29"/>
  <c r="N30"/>
  <c r="N31"/>
  <c r="N24"/>
  <c r="N27"/>
  <c r="N28"/>
  <c r="B10"/>
  <c r="C19" i="14"/>
  <c r="E32" i="48"/>
  <c r="E28"/>
  <c r="E24"/>
  <c r="E31"/>
  <c r="E29"/>
  <c r="E30"/>
  <c r="M22"/>
  <c r="M29"/>
  <c r="M26"/>
  <c r="M32"/>
  <c r="M24"/>
  <c r="M30"/>
  <c r="M25"/>
  <c r="M23"/>
  <c r="K5"/>
  <c r="L10" i="14"/>
  <c r="L16" s="1"/>
  <c r="L27" s="1"/>
  <c r="D30" i="48"/>
  <c r="D28"/>
  <c r="D24"/>
  <c r="D29"/>
  <c r="D31"/>
  <c r="D32"/>
  <c r="K32"/>
  <c r="K28"/>
  <c r="K26"/>
  <c r="K29"/>
  <c r="K24"/>
  <c r="K27"/>
  <c r="K22"/>
  <c r="K25"/>
  <c r="K31"/>
  <c r="K30"/>
  <c r="J29"/>
  <c r="J31"/>
  <c r="J27"/>
  <c r="J32"/>
  <c r="J30"/>
  <c r="J28"/>
  <c r="J24"/>
  <c r="I28"/>
  <c r="I29"/>
  <c r="I31"/>
  <c r="I26"/>
  <c r="I25"/>
  <c r="I27"/>
  <c r="I32"/>
  <c r="I24"/>
  <c r="I30"/>
  <c r="I22"/>
  <c r="D4"/>
  <c r="D22" s="1"/>
  <c r="E11" i="14"/>
  <c r="H29" i="48"/>
  <c r="H26"/>
  <c r="H32"/>
  <c r="H25"/>
  <c r="H28"/>
  <c r="H24"/>
  <c r="H30"/>
  <c r="H22"/>
  <c r="H23"/>
  <c r="D11" i="14"/>
  <c r="C4" i="48"/>
  <c r="G32"/>
  <c r="G26"/>
  <c r="G30"/>
  <c r="G29"/>
  <c r="G25"/>
  <c r="G22"/>
  <c r="G24"/>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O22"/>
  <c r="H18" i="14"/>
  <c r="G13" i="48"/>
  <c r="I18" i="14"/>
  <c r="H13" i="48"/>
  <c r="H31" s="1"/>
  <c r="K15"/>
  <c r="K23"/>
  <c r="K33" s="1"/>
  <c r="C22" i="14"/>
  <c r="E9" i="48"/>
  <c r="F20" i="14"/>
  <c r="F22" s="1"/>
  <c r="P22" i="16"/>
  <c r="Q43" i="14" s="1"/>
  <c r="P8" i="48"/>
  <c r="P26" s="1"/>
  <c r="Q13" i="14"/>
  <c r="D9" i="48"/>
  <c r="D27" s="1"/>
  <c r="E20" i="14"/>
  <c r="E22" s="1"/>
  <c r="B9" i="48"/>
  <c r="C20" i="14"/>
  <c r="O5" i="48"/>
  <c r="O23" s="1"/>
  <c r="P10" i="14"/>
  <c r="P22" i="48"/>
  <c r="P33" s="1"/>
  <c r="F4"/>
  <c r="F22" s="1"/>
  <c r="G11" i="14"/>
  <c r="M12" i="22"/>
  <c r="N18" i="14"/>
  <c r="M13" i="48"/>
  <c r="M31" s="1"/>
  <c r="L63" i="14"/>
  <c r="Q16"/>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O11"/>
  <c r="N4" i="48"/>
  <c r="N22" s="1"/>
  <c r="M10"/>
  <c r="M28" s="1"/>
  <c r="N19" i="14"/>
  <c r="E7" i="48"/>
  <c r="E25" s="1"/>
  <c r="F24" i="14"/>
  <c r="F26" s="1"/>
  <c r="K11"/>
  <c r="J4" i="48"/>
  <c r="M9"/>
  <c r="N20" i="14"/>
  <c r="H20"/>
  <c r="G9" i="48"/>
  <c r="P13" i="14"/>
  <c r="P16" s="1"/>
  <c r="P27" s="1"/>
  <c r="O8" i="48"/>
  <c r="O26" s="1"/>
  <c r="O33" s="1"/>
  <c r="E27"/>
  <c r="N52" i="14"/>
  <c r="N61" s="1"/>
  <c r="N22"/>
  <c r="N27" s="1"/>
  <c r="R18"/>
  <c r="G31" i="48"/>
  <c r="Q13"/>
  <c r="I23"/>
  <c r="I33" s="1"/>
  <c r="I15"/>
  <c r="H19" i="14"/>
  <c r="R19" s="1"/>
  <c r="G10" i="48"/>
  <c r="Q63" i="14"/>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P63"/>
  <c r="E22" i="48"/>
  <c r="Q4"/>
  <c r="I20" i="14"/>
  <c r="H9" i="48"/>
  <c r="E20" i="15"/>
  <c r="F40" i="14" s="1"/>
  <c r="E5" i="48"/>
  <c r="E23" s="1"/>
  <c r="F10" i="14"/>
  <c r="M27" i="48"/>
  <c r="M33" s="1"/>
  <c r="M15"/>
  <c r="K10" i="14"/>
  <c r="J5" i="48"/>
  <c r="J23" s="1"/>
  <c r="N63" i="14"/>
  <c r="O15" i="48"/>
  <c r="H22" i="14"/>
  <c r="H27" s="1"/>
  <c r="G28" i="48"/>
  <c r="Q10"/>
  <c r="J22"/>
  <c r="G27"/>
  <c r="G15"/>
  <c r="E61" i="14"/>
  <c r="R1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I22" i="14"/>
  <c r="I27" s="1"/>
  <c r="R20"/>
  <c r="R22" s="1"/>
  <c r="H27" i="48"/>
  <c r="H33" s="1"/>
  <c r="H15"/>
  <c r="Q9"/>
  <c r="I63" i="14"/>
  <c r="F16"/>
  <c r="F27" s="1"/>
  <c r="R10"/>
  <c r="E63"/>
  <c r="G33" i="48"/>
  <c r="E8"/>
  <c r="E26" s="1"/>
  <c r="F13" i="14"/>
  <c r="H63"/>
  <c r="E33" i="48"/>
  <c r="E15"/>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<sst xmlns="http://schemas.openxmlformats.org/spreadsheetml/2006/main" count="2441" uniqueCount="919">
  <si>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</si>
  <si>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</si>
  <si>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</si>
  <si>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</si>
  <si>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</si>
  <si>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</si>
  <si>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</si>
  <si>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</si>
  <si>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</si>
  <si>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</si>
  <si>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</si>
  <si>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</si>
  <si>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</si>
  <si>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</si>
  <si>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</si>
  <si>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</si>
  <si>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</si>
  <si>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</si>
  <si>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</si>
  <si>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</si>
  <si>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</si>
  <si>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</si>
  <si>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</si>
  <si>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</si>
  <si>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</si>
  <si>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</si>
  <si>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</si>
  <si>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</si>
  <si>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</si>
  <si>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</si>
  <si>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</si>
  <si>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</si>
  <si>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</si>
  <si>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</si>
  <si>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</si>
  <si>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</si>
  <si>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</si>
  <si>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</si>
  <si>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</si>
  <si>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</si>
  <si>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</si>
  <si>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</si>
  <si>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</si>
  <si>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</si>
  <si>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</si>
  <si>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</si>
  <si>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</si>
  <si>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</si>
  <si>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</si>
  <si>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</si>
  <si>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</si>
  <si>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</si>
  <si>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</si>
  <si>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</si>
  <si>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</si>
  <si>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</si>
  <si>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</si>
  <si>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</si>
  <si>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</si>
  <si>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</si>
  <si>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</si>
  <si>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</si>
  <si>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</si>
  <si>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</si>
  <si>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</si>
  <si>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</si>
  <si>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</si>
  <si>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</si>
  <si>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</si>
  <si>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</si>
  <si>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</si>
  <si>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</si>
  <si>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</si>
  <si>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</si>
  <si>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</si>
  <si>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</si>
  <si>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</si>
  <si>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</si>
  <si>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</si>
  <si>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</si>
  <si>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</si>
  <si>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</si>
  <si>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</si>
  <si>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</si>
  <si>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</si>
  <si>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</si>
  <si>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</si>
  <si>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</si>
  <si>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</si>
  <si>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</si>
  <si>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</si>
  <si>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</si>
  <si>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</si>
  <si>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</si>
  <si>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</si>
  <si>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</si>
  <si>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</si>
  <si>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</si>
  <si>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</si>
  <si>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</si>
  <si>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</si>
  <si>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</si>
  <si>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</si>
  <si>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</si>
  <si>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</si>
  <si>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</si>
  <si>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</si>
  <si>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</si>
  <si>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</si>
  <si>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</si>
  <si>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</si>
  <si>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</si>
  <si>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</si>
  <si>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</si>
  <si>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</si>
  <si>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</si>
  <si>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</si>
  <si>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</si>
  <si>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</si>
  <si>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</si>
  <si>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</si>
  <si>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</si>
  <si>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</si>
  <si>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</si>
  <si>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</si>
  <si>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</si>
  <si>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</si>
  <si>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</si>
  <si>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</si>
  <si>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</si>
  <si>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</si>
  <si>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</si>
  <si>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</si>
  <si>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</si>
  <si>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</si>
  <si>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</si>
  <si>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</si>
  <si>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</si>
  <si>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</si>
  <si>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</si>
  <si>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</si>
  <si>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</si>
  <si>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</si>
  <si>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</si>
  <si>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</si>
  <si>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</si>
  <si>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</si>
  <si>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</si>
  <si>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</si>
  <si>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</si>
  <si>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</si>
  <si>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</si>
  <si>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</si>
  <si>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</si>
  <si>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</si>
  <si>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</si>
  <si>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</si>
  <si>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</si>
  <si>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</si>
  <si>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</si>
  <si>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</si>
  <si>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</si>
  <si>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</si>
  <si>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</si>
  <si>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</si>
  <si>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</si>
  <si>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</si>
  <si>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</si>
  <si>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</si>
  <si>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</si>
  <si>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</si>
  <si>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</si>
  <si>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</si>
  <si>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</si>
  <si>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</si>
  <si>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</si>
  <si>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</si>
  <si>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</si>
  <si>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</si>
  <si>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</si>
  <si>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</si>
  <si>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</si>
  <si>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</si>
  <si>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</si>
  <si>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</si>
  <si>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</si>
  <si>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</si>
  <si>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</si>
  <si>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</si>
  <si>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</si>
  <si>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</si>
  <si>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</si>
  <si>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</si>
  <si>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</si>
  <si>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</si>
  <si>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</si>
  <si>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</si>
  <si>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</si>
  <si>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</si>
  <si>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</si>
  <si>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</si>
  <si>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</si>
  <si>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</si>
  <si>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</si>
  <si>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</si>
  <si>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</si>
  <si>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</si>
  <si>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</si>
  <si>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</si>
  <si>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</si>
  <si>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</si>
  <si>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</si>
  <si>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</si>
  <si>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</si>
  <si>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</si>
  <si>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</si>
  <si>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</si>
  <si>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</si>
  <si>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</si>
  <si>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</si>
  <si>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</si>
  <si>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</si>
  <si>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</si>
  <si>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</si>
  <si>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</si>
  <si>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</si>
  <si>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</si>
  <si>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</si>
  <si>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</si>
  <si>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</si>
  <si>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</si>
  <si>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</si>
  <si>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</si>
  <si>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</si>
  <si>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</si>
  <si>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</si>
  <si>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</si>
  <si>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</si>
  <si>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</si>
  <si>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</si>
  <si>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</si>
  <si>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</si>
  <si>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</si>
  <si>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</si>
  <si>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</si>
  <si>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</si>
  <si>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</si>
  <si>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</si>
  <si>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</si>
  <si>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</si>
  <si>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</si>
  <si>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</si>
  <si>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</si>
  <si>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</si>
  <si>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</si>
  <si>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</si>
  <si>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</si>
  <si>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</si>
  <si>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</si>
  <si>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</si>
  <si>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</si>
  <si>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</si>
  <si>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</si>
  <si>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</si>
  <si>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</si>
  <si>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</si>
  <si>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</si>
  <si>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</si>
  <si>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</si>
  <si>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</si>
  <si>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</si>
  <si>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</si>
  <si>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</si>
  <si>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</si>
  <si>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</si>
  <si>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</si>
  <si>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</si>
  <si>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</si>
  <si>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</si>
  <si>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</si>
  <si>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</si>
  <si>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</si>
  <si>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</si>
  <si>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</si>
  <si>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</si>
  <si>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</si>
  <si>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</si>
  <si>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</si>
  <si>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</si>
  <si>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</si>
  <si>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</si>
  <si>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</si>
  <si>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</si>
  <si>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</si>
  <si>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</si>
  <si>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</si>
  <si>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</si>
  <si>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</si>
  <si>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</si>
  <si>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</si>
  <si>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</si>
  <si>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</si>
  <si>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</si>
  <si>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</si>
  <si>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</si>
  <si>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</si>
  <si>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</si>
  <si>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</si>
  <si>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</si>
  <si>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</si>
  <si>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</si>
  <si>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</si>
  <si>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</si>
  <si>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</si>
  <si>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</si>
  <si>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</si>
  <si>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</si>
  <si>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</si>
  <si>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</si>
  <si>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</si>
  <si>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</si>
  <si>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</si>
  <si>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</si>
  <si>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</si>
  <si>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</si>
  <si>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</si>
  <si>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</si>
  <si>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</si>
  <si>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</si>
  <si>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</si>
  <si>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</si>
  <si>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</si>
  <si>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</si>
  <si>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</si>
  <si>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</si>
  <si>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</si>
  <si>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</si>
  <si>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</si>
  <si>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</si>
  <si>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</si>
  <si>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</si>
  <si>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</si>
  <si>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</si>
  <si>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</si>
  <si>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</si>
  <si>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</si>
  <si>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</si>
  <si>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</si>
  <si>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</si>
  <si>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</si>
  <si>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</si>
  <si>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</si>
  <si>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</si>
  <si>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</si>
  <si>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</si>
  <si>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</si>
  <si>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</si>
  <si>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</si>
  <si>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</si>
  <si>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</si>
  <si>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</si>
  <si>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</si>
  <si>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</si>
  <si>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</si>
  <si>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</si>
  <si>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</si>
  <si>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</si>
  <si>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</si>
  <si>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</si>
  <si>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</si>
  <si>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</si>
  <si>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</si>
  <si>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</si>
  <si>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</si>
  <si>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</si>
  <si>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</si>
  <si>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</si>
  <si>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</si>
  <si>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</si>
  <si>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</si>
  <si>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</si>
  <si>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</si>
  <si>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</si>
  <si>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</si>
  <si>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</si>
  <si>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</si>
  <si>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</si>
  <si>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</si>
  <si>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</si>
  <si>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</si>
  <si>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</si>
  <si>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</si>
  <si>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</si>
  <si>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</si>
  <si>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</si>
  <si>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</si>
  <si>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</si>
  <si>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</si>
  <si>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</si>
  <si>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</si>
  <si>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</si>
  <si>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</si>
  <si>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</si>
  <si>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</si>
  <si>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</si>
  <si>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</si>
  <si>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</si>
  <si>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</si>
  <si>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</si>
  <si>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</si>
  <si>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</si>
  <si>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</si>
  <si>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</si>
  <si>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</si>
  <si>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</si>
  <si>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</si>
  <si>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</si>
  <si>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</si>
  <si>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</si>
  <si>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</si>
  <si>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</si>
  <si>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</si>
  <si>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</si>
  <si>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</si>
  <si>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</si>
  <si>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</si>
  <si>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</si>
  <si>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</si>
  <si>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</si>
  <si>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</si>
  <si>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</si>
  <si>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</si>
  <si>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</si>
  <si>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</si>
  <si>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</si>
  <si>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</si>
  <si>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</si>
  <si>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</si>
  <si>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</si>
  <si>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</si>
  <si>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</si>
  <si>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</si>
  <si>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</si>
  <si>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</si>
  <si>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</si>
  <si>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</si>
  <si>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</si>
  <si>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</si>
  <si>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</si>
  <si>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</si>
  <si>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</si>
  <si>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</si>
  <si>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</si>
  <si>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</si>
  <si>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</si>
  <si>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</si>
  <si>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</si>
  <si>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</si>
  <si>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</si>
  <si>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</si>
  <si>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</si>
  <si>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</si>
  <si>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</si>
  <si>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</si>
  <si>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</si>
  <si>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</si>
  <si>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</si>
  <si>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</si>
  <si>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</si>
  <si>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</si>
  <si>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</si>
  <si>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</si>
  <si>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</si>
  <si>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</si>
  <si>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</si>
  <si>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</si>
  <si>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</si>
  <si>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</si>
  <si>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</si>
  <si>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</si>
  <si>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</si>
  <si>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</si>
  <si>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</si>
  <si>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</si>
  <si>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</si>
  <si>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</si>
  <si>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</si>
  <si>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</si>
  <si>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</si>
  <si>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</si>
  <si>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</si>
  <si>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</si>
  <si>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</si>
  <si>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</si>
  <si>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</si>
  <si>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</si>
  <si>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</si>
  <si>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</si>
  <si>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</si>
  <si>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</si>
  <si>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</si>
  <si>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</si>
  <si>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</si>
  <si>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</si>
  <si>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</si>
  <si>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</si>
  <si>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</si>
  <si>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</si>
  <si>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</si>
  <si>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</si>
  <si>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</si>
  <si>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</si>
  <si>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</si>
  <si>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</si>
  <si>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</si>
  <si>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</si>
  <si>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</si>
  <si>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</si>
  <si>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</si>
  <si>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</si>
  <si>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</si>
  <si>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</si>
  <si>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</si>
  <si>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</si>
  <si>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</si>
  <si>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</si>
  <si>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</si>
  <si>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</si>
  <si>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</si>
  <si>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</si>
  <si>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</si>
  <si>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</si>
  <si>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</si>
  <si>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</si>
  <si>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</si>
  <si>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</si>
  <si>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</si>
  <si>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</si>
  <si>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</si>
  <si>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</si>
  <si>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</si>
  <si>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</si>
  <si>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</si>
  <si>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</si>
  <si>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</si>
  <si>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</si>
  <si>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</si>
  <si>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</si>
  <si>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</si>
  <si>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</si>
  <si>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</si>
  <si>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</si>
  <si>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</si>
  <si>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</si>
  <si>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</si>
  <si>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</si>
  <si>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</si>
  <si>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</si>
  <si>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</si>
  <si>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</si>
  <si>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</si>
  <si>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</si>
  <si>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</si>
  <si>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</si>
  <si>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</si>
  <si>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</si>
  <si>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</si>
  <si>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</si>
  <si>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</si>
  <si>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</si>
  <si>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</si>
  <si>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</si>
  <si>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</si>
  <si>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</si>
  <si>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</si>
  <si>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</si>
  <si>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</si>
  <si>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</si>
  <si>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</si>
  <si>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</si>
  <si>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</si>
  <si>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</si>
  <si>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</si>
  <si>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</si>
  <si>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</si>
  <si>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</si>
  <si>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</si>
  <si>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</si>
  <si>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</si>
  <si>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</si>
  <si>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</si>
  <si>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</si>
  <si>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</si>
  <si>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</si>
  <si>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</si>
  <si>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</si>
  <si>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</si>
  <si>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</si>
  <si>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</si>
  <si>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</si>
  <si>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</si>
  <si>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</si>
  <si>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</si>
  <si>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</si>
  <si>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</si>
  <si>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</si>
  <si>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</si>
  <si>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</si>
  <si>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</si>
  <si>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</si>
  <si>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</si>
  <si>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</si>
  <si>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</si>
  <si>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</si>
  <si>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</si>
  <si>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</si>
  <si>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</si>
  <si>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</si>
  <si>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</si>
  <si>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</si>
  <si>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</si>
  <si>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</si>
  <si>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</si>
  <si>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</si>
  <si>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</si>
  <si>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</si>
  <si>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</si>
  <si>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</si>
  <si>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</si>
  <si>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</si>
  <si>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</si>
  <si>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</si>
  <si>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</si>
  <si>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</si>
  <si>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</si>
  <si>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</si>
  <si>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</si>
  <si>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</si>
  <si>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</si>
  <si>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</si>
  <si>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</si>
  <si>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</si>
  <si>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</si>
  <si>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</si>
  <si>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</si>
  <si>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</si>
  <si>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</si>
  <si>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</si>
  <si>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</si>
  <si>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</si>
  <si>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</si>
  <si>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</si>
  <si>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</si>
  <si>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</si>
  <si>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</si>
  <si>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</si>
  <si>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</si>
  <si>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</si>
  <si>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</si>
  <si>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</si>
  <si>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</si>
  <si>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</si>
  <si>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</si>
  <si>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</si>
  <si>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</si>
  <si>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</si>
  <si>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</si>
  <si>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</si>
  <si>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</si>
  <si>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</si>
  <si>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</si>
  <si>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</si>
  <si>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</si>
  <si>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</si>
  <si>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</si>
  <si>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</si>
  <si>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</si>
  <si>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</si>
  <si>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</si>
  <si>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</si>
  <si>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</si>
  <si>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</si>
  <si>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</si>
  <si>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</si>
  <si>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</si>
  <si>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</si>
  <si>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</si>
  <si>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</si>
  <si>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</si>
  <si>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</si>
  <si>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</si>
  <si>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</si>
  <si>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</si>
  <si>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</si>
  <si>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</si>
  <si>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</si>
  <si>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</si>
  <si>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</si>
  <si>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</si>
  <si>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</si>
  <si>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</si>
  <si>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</si>
  <si>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</si>
  <si>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</si>
  <si>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</si>
  <si>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</si>
  <si>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</si>
  <si>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</si>
  <si>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</si>
  <si>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</si>
  <si>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</si>
  <si>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</si>
  <si>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</si>
  <si>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</si>
  <si>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</si>
  <si>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</si>
  <si>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</si>
  <si>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</si>
  <si>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</si>
  <si>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</si>
  <si>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</si>
  <si>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</si>
  <si>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</si>
  <si>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</si>
  <si>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</si>
  <si>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</si>
  <si>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</si>
  <si>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</si>
  <si>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</si>
  <si>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</si>
  <si>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</si>
  <si>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</si>
  <si>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</si>
  <si>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</si>
  <si>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</si>
  <si>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</si>
  <si>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</si>
  <si>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</si>
  <si>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</si>
  <si>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</si>
  <si>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</si>
  <si>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</si>
  <si>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</si>
  <si>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</si>
  <si>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</si>
  <si>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</si>
  <si>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</si>
  <si>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</si>
  <si>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</si>
  <si>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</si>
  <si>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</si>
  <si>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</si>
  <si>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</si>
  <si>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</si>
  <si>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</si>
  <si>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</si>
  <si>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</si>
  <si>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</si>
  <si>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</si>
  <si>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</si>
  <si>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</si>
  <si>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</si>
  <si>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</si>
  <si>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</si>
  <si>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</si>
  <si>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</si>
  <si>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</si>
  <si>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</si>
  <si>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</si>
  <si>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</si>
  <si>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</si>
  <si>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</si>
  <si>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</si>
  <si>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</si>
  <si>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</si>
  <si>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</si>
  <si>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</si>
  <si>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</si>
  <si>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</si>
  <si>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</si>
  <si>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</si>
  <si>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</si>
  <si>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</si>
  <si>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</si>
  <si>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</si>
  <si>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</si>
  <si>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</si>
  <si>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</si>
  <si>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</si>
  <si>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</si>
  <si>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</si>
  <si>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</si>
  <si>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</si>
  <si>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</si>
  <si>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</si>
  <si>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</si>
  <si>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</si>
  <si>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</si>
  <si>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</si>
  <si>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</si>
  <si>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</si>
  <si>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</si>
  <si>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</si>
  <si>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</si>
  <si>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</si>
  <si>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</si>
  <si>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</si>
  <si>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</si>
  <si>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</si>
  <si>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</si>
  <si>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</si>
  <si>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</si>
  <si>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</si>
  <si>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</si>
  <si>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</si>
  <si>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</si>
  <si>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</si>
  <si>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</si>
  <si>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</si>
  <si>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</si>
  <si>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</si>
  <si>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</si>
  <si>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</si>
  <si>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</si>
  <si>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</si>
  <si>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</si>
  <si>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</si>
  <si>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</si>
  <si>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</si>
  <si>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</si>
  <si>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</si>
  <si>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</si>
  <si>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</si>
  <si>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</si>
  <si>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</si>
  <si>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</si>
  <si>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</si>
  <si>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</si>
  <si>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</si>
  <si>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</si>
  <si>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</si>
  <si>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</si>
  <si>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</si>
  <si>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</si>
  <si>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</si>
  <si>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</si>
  <si>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</si>
  <si>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</si>
  <si>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</si>
  <si>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</si>
  <si>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</si>
  <si>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</si>
  <si>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</si>
  <si>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</si>
  <si>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</si>
  <si>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</si>
  <si>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</si>
  <si>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</si>
  <si>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</si>
  <si>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</si>
  <si>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</si>
  <si>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</si>
  <si>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</si>
  <si>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</si>
  <si>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</si>
  <si>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</si>
  <si>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</si>
  <si>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</si>
  <si>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</si>
  <si>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</si>
  <si>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</si>
  <si>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</si>
  <si>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</si>
  <si>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</si>
  <si>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</si>
  <si>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</si>
  <si>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</si>
  <si>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</si>
  <si>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</si>
  <si>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</si>
  <si>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</si>
  <si>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</si>
  <si>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</si>
  <si>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</si>
  <si>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</si>
  <si>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</si>
  <si>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</si>
  <si>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</si>
  <si>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</si>
  <si>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</si>
  <si>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</si>
  <si>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</si>
  <si>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</si>
  <si>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</si>
  <si>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</si>
  <si>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</si>
  <si>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</si>
  <si>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</si>
  <si>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</si>
  <si>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</si>
  <si>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</si>
  <si>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</si>
  <si>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</si>
  <si>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</si>
  <si>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</si>
  <si>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</si>
  <si>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45041</t>
  </si>
  <si>
    <t>RONSE</t>
  </si>
  <si>
    <t>Cultuurgrond (ha)</t>
  </si>
  <si>
    <t>Paarden&amp;pony's 200 - 600 kg</t>
  </si>
  <si>
    <t>Paarden&amp;pony's &lt; 200 kg</t>
  </si>
  <si>
    <t>op basis van VEA (maart 2018) en Inventaris Hernieuwbare Energiebronnen (juni 2018)</t>
  </si>
  <si>
    <t>VEA (juni 2018)</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</si>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</sst>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210746.60513417452</c:v>
                </c:pt>
                <c:pt idx="1">
                  <c:v>81283.205117796693</c:v>
                </c:pt>
                <c:pt idx="2">
                  <c:v>1880.481</c:v>
                </c:pt>
                <c:pt idx="3">
                  <c:v>2055.2080142961076</c:v>
                </c:pt>
                <c:pt idx="4">
                  <c:v>165116.954863739</c:v>
                </c:pt>
                <c:pt idx="5">
                  <c:v>107697.84420315744</c:v>
                </c:pt>
                <c:pt idx="6">
                  <c:v>794.43095550256771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210746.60513417452</c:v>
                </c:pt>
                <c:pt idx="1">
                  <c:v>81283.205117796693</c:v>
                </c:pt>
                <c:pt idx="2">
                  <c:v>1880.481</c:v>
                </c:pt>
                <c:pt idx="3">
                  <c:v>2055.2080142961076</c:v>
                </c:pt>
                <c:pt idx="4">
                  <c:v>165116.954863739</c:v>
                </c:pt>
                <c:pt idx="5">
                  <c:v>107697.84420315744</c:v>
                </c:pt>
                <c:pt idx="6">
                  <c:v>794.43095550256771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39797.761133813314</c:v>
                </c:pt>
                <c:pt idx="2">
                  <c:v>16728.438012312505</c:v>
                </c:pt>
                <c:pt idx="3">
                  <c:v>396.05329713602583</c:v>
                </c:pt>
                <c:pt idx="4">
                  <c:v>522.16226672684593</c:v>
                </c:pt>
                <c:pt idx="5">
                  <c:v>33355.749776682955</c:v>
                </c:pt>
                <c:pt idx="6">
                  <c:v>27322.458236448594</c:v>
                </c:pt>
                <c:pt idx="7">
                  <c:v>203.08153264214266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9728"/>
      </c:barChart>
      <c:catAx>
        <c:axId val="182799744"/>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39797.761133813314</c:v>
                </c:pt>
                <c:pt idx="2">
                  <c:v>16728.438012312505</c:v>
                </c:pt>
                <c:pt idx="3">
                  <c:v>396.05329713602583</c:v>
                </c:pt>
                <c:pt idx="4">
                  <c:v>522.16226672684593</c:v>
                </c:pt>
                <c:pt idx="5">
                  <c:v>33355.749776682955</c:v>
                </c:pt>
                <c:pt idx="6">
                  <c:v>27322.458236448594</c:v>
                </c:pt>
                <c:pt idx="7">
                  <c:v>203.08153264214266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45041</v>
      </c>
      <c r="B6" s="398"/>
      <c r="C6" s="399"/>
    </row>
    <row r="7" spans="1:7" s="396" customFormat="1" ht="15.75" customHeight="1">
      <c r="A7" s="400" t="str">
        <f>txtMunicipality</f>
        <v>RONSE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0.21061276191358799</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0.21061276191358799</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45041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10460</v>
      </c>
      <c r="C9" s="338">
        <v>11364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1456</v>
      </c>
    </row>
    <row r="15" spans="1:6">
      <c r="A15" s="1295" t="s">
        <v>184</v>
      </c>
      <c r="B15" s="335">
        <v>11</v>
      </c>
    </row>
    <row r="16" spans="1:6">
      <c r="A16" s="1295" t="s">
        <v>6</v>
      </c>
      <c r="B16" s="335">
        <v>396</v>
      </c>
    </row>
    <row r="17" spans="1:6">
      <c r="A17" s="1295" t="s">
        <v>7</v>
      </c>
      <c r="B17" s="335">
        <v>394</v>
      </c>
    </row>
    <row r="18" spans="1:6">
      <c r="A18" s="1295" t="s">
        <v>8</v>
      </c>
      <c r="B18" s="335">
        <v>559</v>
      </c>
    </row>
    <row r="19" spans="1:6">
      <c r="A19" s="1295" t="s">
        <v>9</v>
      </c>
      <c r="B19" s="335">
        <v>493</v>
      </c>
    </row>
    <row r="20" spans="1:6">
      <c r="A20" s="1295" t="s">
        <v>10</v>
      </c>
      <c r="B20" s="335">
        <v>362</v>
      </c>
    </row>
    <row r="21" spans="1:6">
      <c r="A21" s="1295" t="s">
        <v>11</v>
      </c>
      <c r="B21" s="335">
        <v>230</v>
      </c>
    </row>
    <row r="22" spans="1:6">
      <c r="A22" s="1295" t="s">
        <v>12</v>
      </c>
      <c r="B22" s="335">
        <v>500</v>
      </c>
    </row>
    <row r="23" spans="1:6">
      <c r="A23" s="1295" t="s">
        <v>13</v>
      </c>
      <c r="B23" s="335">
        <v>0</v>
      </c>
    </row>
    <row r="24" spans="1:6">
      <c r="A24" s="1295" t="s">
        <v>14</v>
      </c>
      <c r="B24" s="335">
        <v>1</v>
      </c>
    </row>
    <row r="25" spans="1:6">
      <c r="A25" s="1295" t="s">
        <v>15</v>
      </c>
      <c r="B25" s="335">
        <v>105</v>
      </c>
    </row>
    <row r="26" spans="1:6">
      <c r="A26" s="1295" t="s">
        <v>16</v>
      </c>
      <c r="B26" s="335">
        <v>149</v>
      </c>
    </row>
    <row r="27" spans="1:6">
      <c r="A27" s="1295" t="s">
        <v>17</v>
      </c>
      <c r="B27" s="335">
        <v>0</v>
      </c>
    </row>
    <row r="28" spans="1:6" s="341" customFormat="1">
      <c r="A28" s="1296" t="s">
        <v>18</v>
      </c>
      <c r="B28" s="1296">
        <v>0</v>
      </c>
    </row>
    <row r="29" spans="1:6">
      <c r="A29" s="1296" t="s">
        <v>909</v>
      </c>
      <c r="B29" s="1296">
        <v>37</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222133.34281564801</v>
      </c>
      <c r="E36" s="335">
        <v>8</v>
      </c>
      <c r="F36" s="335">
        <v>50416.977641681799</v>
      </c>
    </row>
    <row r="37" spans="1:6">
      <c r="A37" s="1295" t="s">
        <v>25</v>
      </c>
      <c r="B37" s="1295" t="s">
        <v>28</v>
      </c>
      <c r="C37" s="335">
        <v>0</v>
      </c>
      <c r="D37" s="335">
        <v>0</v>
      </c>
      <c r="E37" s="335">
        <v>0</v>
      </c>
      <c r="F37" s="335">
        <v>0</v>
      </c>
    </row>
    <row r="38" spans="1:6">
      <c r="A38" s="1295" t="s">
        <v>25</v>
      </c>
      <c r="B38" s="1295" t="s">
        <v>29</v>
      </c>
      <c r="C38" s="335">
        <v>3</v>
      </c>
      <c r="D38" s="335">
        <v>550965.84195400798</v>
      </c>
      <c r="E38" s="335">
        <v>3</v>
      </c>
      <c r="F38" s="335">
        <v>7444.5001196142002</v>
      </c>
    </row>
    <row r="39" spans="1:6">
      <c r="A39" s="1295" t="s">
        <v>30</v>
      </c>
      <c r="B39" s="1295" t="s">
        <v>31</v>
      </c>
      <c r="C39" s="335">
        <v>7722</v>
      </c>
      <c r="D39" s="335">
        <v>126877483.026262</v>
      </c>
      <c r="E39" s="335">
        <v>10569</v>
      </c>
      <c r="F39" s="335">
        <v>36648052.287034497</v>
      </c>
    </row>
    <row r="40" spans="1:6">
      <c r="A40" s="1295" t="s">
        <v>30</v>
      </c>
      <c r="B40" s="1295" t="s">
        <v>29</v>
      </c>
      <c r="C40" s="335">
        <v>0</v>
      </c>
      <c r="D40" s="335">
        <v>0</v>
      </c>
      <c r="E40" s="335">
        <v>0</v>
      </c>
      <c r="F40" s="335">
        <v>0</v>
      </c>
    </row>
    <row r="41" spans="1:6">
      <c r="A41" s="1295" t="s">
        <v>32</v>
      </c>
      <c r="B41" s="1295" t="s">
        <v>33</v>
      </c>
      <c r="C41" s="335">
        <v>81</v>
      </c>
      <c r="D41" s="335">
        <v>1978918.2758678501</v>
      </c>
      <c r="E41" s="335">
        <v>206</v>
      </c>
      <c r="F41" s="335">
        <v>3589798.5348237702</v>
      </c>
    </row>
    <row r="42" spans="1:6">
      <c r="A42" s="1295" t="s">
        <v>32</v>
      </c>
      <c r="B42" s="1295" t="s">
        <v>34</v>
      </c>
      <c r="C42" s="335">
        <v>0</v>
      </c>
      <c r="D42" s="335">
        <v>0</v>
      </c>
      <c r="E42" s="335">
        <v>3</v>
      </c>
      <c r="F42" s="335">
        <v>229518.00201590999</v>
      </c>
    </row>
    <row r="43" spans="1:6">
      <c r="A43" s="1295" t="s">
        <v>32</v>
      </c>
      <c r="B43" s="1295" t="s">
        <v>35</v>
      </c>
      <c r="C43" s="335">
        <v>0</v>
      </c>
      <c r="D43" s="335">
        <v>0</v>
      </c>
      <c r="E43" s="335">
        <v>0</v>
      </c>
      <c r="F43" s="335">
        <v>0</v>
      </c>
    </row>
    <row r="44" spans="1:6">
      <c r="A44" s="1295" t="s">
        <v>32</v>
      </c>
      <c r="B44" s="1295" t="s">
        <v>36</v>
      </c>
      <c r="C44" s="335">
        <v>0</v>
      </c>
      <c r="D44" s="335">
        <v>0</v>
      </c>
      <c r="E44" s="335">
        <v>8</v>
      </c>
      <c r="F44" s="335">
        <v>190242.383863978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9</v>
      </c>
      <c r="D47" s="335">
        <v>299032.331546031</v>
      </c>
      <c r="E47" s="335">
        <v>12</v>
      </c>
      <c r="F47" s="335">
        <v>121621.510554728</v>
      </c>
    </row>
    <row r="48" spans="1:6">
      <c r="A48" s="1295" t="s">
        <v>32</v>
      </c>
      <c r="B48" s="1295" t="s">
        <v>29</v>
      </c>
      <c r="C48" s="335">
        <v>38</v>
      </c>
      <c r="D48" s="335">
        <v>60987372.8903125</v>
      </c>
      <c r="E48" s="335">
        <v>49</v>
      </c>
      <c r="F48" s="335">
        <v>19963794.683574799</v>
      </c>
    </row>
    <row r="49" spans="1:6">
      <c r="A49" s="1295" t="s">
        <v>32</v>
      </c>
      <c r="B49" s="1295" t="s">
        <v>40</v>
      </c>
      <c r="C49" s="335">
        <v>8</v>
      </c>
      <c r="D49" s="335">
        <v>36258283.963470101</v>
      </c>
      <c r="E49" s="335">
        <v>32</v>
      </c>
      <c r="F49" s="335">
        <v>34165398.404325403</v>
      </c>
    </row>
    <row r="50" spans="1:6">
      <c r="A50" s="1295" t="s">
        <v>32</v>
      </c>
      <c r="B50" s="1295" t="s">
        <v>41</v>
      </c>
      <c r="C50" s="335">
        <v>7</v>
      </c>
      <c r="D50" s="335">
        <v>547839.52540009306</v>
      </c>
      <c r="E50" s="335">
        <v>8</v>
      </c>
      <c r="F50" s="335">
        <v>180228.87389115</v>
      </c>
    </row>
    <row r="51" spans="1:6">
      <c r="A51" s="1295" t="s">
        <v>42</v>
      </c>
      <c r="B51" s="1295" t="s">
        <v>43</v>
      </c>
      <c r="C51" s="335">
        <v>4</v>
      </c>
      <c r="D51" s="335">
        <v>80187.200054340399</v>
      </c>
      <c r="E51" s="335">
        <v>38</v>
      </c>
      <c r="F51" s="335">
        <v>393030.294324007</v>
      </c>
    </row>
    <row r="52" spans="1:6">
      <c r="A52" s="1295" t="s">
        <v>42</v>
      </c>
      <c r="B52" s="1295" t="s">
        <v>29</v>
      </c>
      <c r="C52" s="335">
        <v>2</v>
      </c>
      <c r="D52" s="335">
        <v>60869.655436961199</v>
      </c>
      <c r="E52" s="335">
        <v>4</v>
      </c>
      <c r="F52" s="335">
        <v>24891.718964429201</v>
      </c>
    </row>
    <row r="53" spans="1:6">
      <c r="A53" s="1295" t="s">
        <v>44</v>
      </c>
      <c r="B53" s="1295" t="s">
        <v>45</v>
      </c>
      <c r="C53" s="335">
        <v>283</v>
      </c>
      <c r="D53" s="335">
        <v>17372553.530375902</v>
      </c>
      <c r="E53" s="335">
        <v>363</v>
      </c>
      <c r="F53" s="335">
        <v>1441809.65978889</v>
      </c>
    </row>
    <row r="54" spans="1:6">
      <c r="A54" s="1295" t="s">
        <v>46</v>
      </c>
      <c r="B54" s="1295" t="s">
        <v>47</v>
      </c>
      <c r="C54" s="335">
        <v>0</v>
      </c>
      <c r="D54" s="335">
        <v>0</v>
      </c>
      <c r="E54" s="335">
        <v>1</v>
      </c>
      <c r="F54" s="335">
        <v>1880481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69</v>
      </c>
      <c r="D57" s="335">
        <v>2602008.6519914102</v>
      </c>
      <c r="E57" s="335">
        <v>111</v>
      </c>
      <c r="F57" s="335">
        <v>2346177.6197655299</v>
      </c>
    </row>
    <row r="58" spans="1:6">
      <c r="A58" s="1295" t="s">
        <v>49</v>
      </c>
      <c r="B58" s="1295" t="s">
        <v>51</v>
      </c>
      <c r="C58" s="335">
        <v>43</v>
      </c>
      <c r="D58" s="335">
        <v>10294836.902214799</v>
      </c>
      <c r="E58" s="335">
        <v>67</v>
      </c>
      <c r="F58" s="335">
        <v>6604155.8454868896</v>
      </c>
    </row>
    <row r="59" spans="1:6">
      <c r="A59" s="1295" t="s">
        <v>49</v>
      </c>
      <c r="B59" s="1295" t="s">
        <v>52</v>
      </c>
      <c r="C59" s="335">
        <v>208</v>
      </c>
      <c r="D59" s="335">
        <v>8113915.1082012802</v>
      </c>
      <c r="E59" s="335">
        <v>359</v>
      </c>
      <c r="F59" s="335">
        <v>10423332.616426099</v>
      </c>
    </row>
    <row r="60" spans="1:6">
      <c r="A60" s="1295" t="s">
        <v>49</v>
      </c>
      <c r="B60" s="1295" t="s">
        <v>53</v>
      </c>
      <c r="C60" s="335">
        <v>78</v>
      </c>
      <c r="D60" s="335">
        <v>3595992.7051770398</v>
      </c>
      <c r="E60" s="335">
        <v>105</v>
      </c>
      <c r="F60" s="335">
        <v>2353114.8747914298</v>
      </c>
    </row>
    <row r="61" spans="1:6">
      <c r="A61" s="1295" t="s">
        <v>49</v>
      </c>
      <c r="B61" s="1295" t="s">
        <v>54</v>
      </c>
      <c r="C61" s="335">
        <v>183</v>
      </c>
      <c r="D61" s="335">
        <v>9564032.1766332109</v>
      </c>
      <c r="E61" s="335">
        <v>476</v>
      </c>
      <c r="F61" s="335">
        <v>7258919.2148830099</v>
      </c>
    </row>
    <row r="62" spans="1:6">
      <c r="A62" s="1295" t="s">
        <v>49</v>
      </c>
      <c r="B62" s="1295" t="s">
        <v>55</v>
      </c>
      <c r="C62" s="335">
        <v>8</v>
      </c>
      <c r="D62" s="335">
        <v>3024075.5828494299</v>
      </c>
      <c r="E62" s="335">
        <v>20</v>
      </c>
      <c r="F62" s="335">
        <v>1240262.5011104899</v>
      </c>
    </row>
    <row r="63" spans="1:6">
      <c r="A63" s="1295" t="s">
        <v>49</v>
      </c>
      <c r="B63" s="1295" t="s">
        <v>29</v>
      </c>
      <c r="C63" s="335">
        <v>102</v>
      </c>
      <c r="D63" s="335">
        <v>7356841.3356344104</v>
      </c>
      <c r="E63" s="335">
        <v>85</v>
      </c>
      <c r="F63" s="335">
        <v>2325233.6298662098</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64445.842491951</v>
      </c>
      <c r="E68" s="335">
        <v>6</v>
      </c>
      <c r="F68" s="335">
        <v>1974919.8894160199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56835922</v>
      </c>
      <c r="E73" s="335">
        <v>63561894.717664666</v>
      </c>
    </row>
    <row r="74" spans="1:6">
      <c r="A74" s="1295" t="s">
        <v>64</v>
      </c>
      <c r="B74" s="1295" t="s">
        <v>727</v>
      </c>
      <c r="C74" s="1295" t="s">
        <v>728</v>
      </c>
      <c r="D74" s="335">
        <v>18837508.407525335</v>
      </c>
      <c r="E74" s="335">
        <v>20629291.245825086</v>
      </c>
    </row>
    <row r="75" spans="1:6">
      <c r="A75" s="1295" t="s">
        <v>65</v>
      </c>
      <c r="B75" s="1295" t="s">
        <v>725</v>
      </c>
      <c r="C75" s="1295" t="s">
        <v>729</v>
      </c>
      <c r="D75" s="335">
        <v>17564378</v>
      </c>
      <c r="E75" s="335">
        <v>19662647.3508876</v>
      </c>
    </row>
    <row r="76" spans="1:6">
      <c r="A76" s="1295" t="s">
        <v>65</v>
      </c>
      <c r="B76" s="1295" t="s">
        <v>727</v>
      </c>
      <c r="C76" s="1295" t="s">
        <v>730</v>
      </c>
      <c r="D76" s="335">
        <v>1962889.4075253329</v>
      </c>
      <c r="E76" s="335">
        <v>2185807.6998851704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209879.18494933416</v>
      </c>
      <c r="C83" s="335">
        <v>209453.80768629795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1573.153</v>
      </c>
    </row>
    <row r="92" spans="1:6">
      <c r="A92" s="1291" t="s">
        <v>69</v>
      </c>
      <c r="B92" s="338">
        <v>4676.2640000000001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5479</v>
      </c>
    </row>
    <row r="98" spans="1:6">
      <c r="A98" s="1295" t="s">
        <v>72</v>
      </c>
      <c r="B98" s="335">
        <v>0</v>
      </c>
    </row>
    <row r="99" spans="1:6">
      <c r="A99" s="1295" t="s">
        <v>73</v>
      </c>
      <c r="B99" s="335">
        <v>110</v>
      </c>
    </row>
    <row r="100" spans="1:6">
      <c r="A100" s="1295" t="s">
        <v>74</v>
      </c>
      <c r="B100" s="335">
        <v>487</v>
      </c>
    </row>
    <row r="101" spans="1:6">
      <c r="A101" s="1295" t="s">
        <v>75</v>
      </c>
      <c r="B101" s="335">
        <v>138</v>
      </c>
    </row>
    <row r="102" spans="1:6">
      <c r="A102" s="1295" t="s">
        <v>76</v>
      </c>
      <c r="B102" s="335">
        <v>237</v>
      </c>
    </row>
    <row r="103" spans="1:6">
      <c r="A103" s="1295" t="s">
        <v>77</v>
      </c>
      <c r="B103" s="335">
        <v>384</v>
      </c>
    </row>
    <row r="104" spans="1:6">
      <c r="A104" s="1295" t="s">
        <v>78</v>
      </c>
      <c r="B104" s="335">
        <v>2766</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3</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0</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132961.77920545434</v>
      </c>
      <c r="C3" s="43" t="s">
        <v>170</v>
      </c>
      <c r="D3" s="43"/>
      <c r="E3" s="156"/>
      <c r="F3" s="43"/>
      <c r="G3" s="43"/>
      <c r="H3" s="43"/>
      <c r="I3" s="43"/>
      <c r="J3" s="43"/>
      <c r="K3" s="96"/>
    </row>
    <row r="4" spans="1:11">
      <c r="A4" s="366" t="s">
        <v>171</v>
      </c>
      <c r="B4" s="49">
        <f>IF(ISERROR('SEAP template'!B78+'SEAP template'!C78),0,'SEAP template'!B78+'SEAP template'!C78)</f>
        <v>6253.9170000000004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0.21061276191358799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1880.481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1880.481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0.21061276191358799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396.05329713602583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36648.052287034494</v>
      </c>
      <c r="C5" s="17">
        <f>IF(ISERROR('Eigen informatie GS &amp; warmtenet'!B57),0,'Eigen informatie GS &amp; warmtenet'!B57)</f>
        <v>0</v>
      </c>
      <c r="D5" s="30">
        <f>(SUM(HH_hh_gas_kWh,HH_rest_gas_kWh)/1000)*0.902</f>
        <v>114443.48968968833</v>
      </c>
      <c r="E5" s="17">
        <f>B46*B57</f>
        <v>5660.2006009278257</v>
      </c>
      <c r="F5" s="17">
        <f>B51*B62</f>
        <v>18896.884910035773</v>
      </c>
      <c r="G5" s="18"/>
      <c r="H5" s="17"/>
      <c r="I5" s="17"/>
      <c r="J5" s="17">
        <f>B50*B61+C50*C61</f>
        <v>6497.0870054732768</v>
      </c>
      <c r="K5" s="17"/>
      <c r="L5" s="17"/>
      <c r="M5" s="17"/>
      <c r="N5" s="17">
        <f>B48*B59+C48*C59</f>
        <v>26621.054307681523</v>
      </c>
      <c r="O5" s="17">
        <f>B69*B70*B71</f>
        <v>101.61666666666667</v>
      </c>
      <c r="P5" s="17">
        <f>B77*B78*B79/1000-B77*B78*B79/1000/B80</f>
        <v>305.06666666666666</v>
      </c>
    </row>
    <row r="6" spans="1:16">
      <c r="A6" s="16" t="s">
        <v>634</v>
      </c>
      <c r="B6" s="783">
        <f>kWh_PV_kleiner_dan_10kW</f>
        <v>1573.153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38221.205287034492</v>
      </c>
      <c r="C8" s="21">
        <f>C5</f>
        <v>0</v>
      </c>
      <c r="D8" s="21">
        <f>D5</f>
        <v>114443.48968968833</v>
      </c>
      <c r="E8" s="21">
        <f>E5</f>
        <v>5660.2006009278257</v>
      </c>
      <c r="F8" s="21">
        <f>F5</f>
        <v>18896.884910035773</v>
      </c>
      <c r="G8" s="21"/>
      <c r="H8" s="21"/>
      <c r="I8" s="21"/>
      <c r="J8" s="21">
        <f>J5</f>
        <v>6497.0870054732768</v>
      </c>
      <c r="K8" s="21"/>
      <c r="L8" s="21">
        <f>L5</f>
        <v>0</v>
      </c>
      <c r="M8" s="21">
        <f>M5</f>
        <v>0</v>
      </c>
      <c r="N8" s="21">
        <f>N5</f>
        <v>26621.054307681523</v>
      </c>
      <c r="O8" s="21">
        <f>O5</f>
        <v>101.61666666666667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0.21061276191358799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8049.873609168566</v>
      </c>
      <c r="C12" s="23">
        <f ca="1">C10*C8</f>
        <v>0</v>
      </c>
      <c r="D12" s="23">
        <f>D8*D10</f>
        <v>23117.584917317043</v>
      </c>
      <c r="E12" s="23">
        <f>E10*E8</f>
        <v>1284.8655364106164</v>
      </c>
      <c r="F12" s="23">
        <f>F10*F8</f>
        <v>5045.4682709795516</v>
      </c>
      <c r="G12" s="23"/>
      <c r="H12" s="23"/>
      <c r="I12" s="23"/>
      <c r="J12" s="23">
        <f>J10*J8</f>
        <v>2299.9687999375396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5479</v>
      </c>
      <c r="C18" s="168" t="s">
        <v>111</v>
      </c>
      <c r="D18" s="230"/>
      <c r="E18" s="15"/>
    </row>
    <row r="19" spans="1:7">
      <c r="A19" s="173" t="s">
        <v>72</v>
      </c>
      <c r="B19" s="37">
        <f>aantalw2001_ander</f>
        <v>0</v>
      </c>
      <c r="C19" s="168" t="s">
        <v>111</v>
      </c>
      <c r="D19" s="231"/>
      <c r="E19" s="15"/>
    </row>
    <row r="20" spans="1:7">
      <c r="A20" s="173" t="s">
        <v>73</v>
      </c>
      <c r="B20" s="37">
        <f>aantalw2001_propaan</f>
        <v>110</v>
      </c>
      <c r="C20" s="169">
        <f>IF(ISERROR(B20/SUM($B$20,$B$21,$B$22)*100),0,B20/SUM($B$20,$B$21,$B$22)*100)</f>
        <v>14.965986394557824</v>
      </c>
      <c r="D20" s="231"/>
      <c r="E20" s="15"/>
    </row>
    <row r="21" spans="1:7">
      <c r="A21" s="173" t="s">
        <v>74</v>
      </c>
      <c r="B21" s="37">
        <f>aantalw2001_elektriciteit</f>
        <v>487</v>
      </c>
      <c r="C21" s="169">
        <f>IF(ISERROR(B21/SUM($B$20,$B$21,$B$22)*100),0,B21/SUM($B$20,$B$21,$B$22)*100)</f>
        <v>66.258503401360542</v>
      </c>
      <c r="D21" s="231"/>
      <c r="E21" s="15"/>
    </row>
    <row r="22" spans="1:7">
      <c r="A22" s="173" t="s">
        <v>75</v>
      </c>
      <c r="B22" s="37">
        <f>aantalw2001_hout</f>
        <v>138</v>
      </c>
      <c r="C22" s="169">
        <f>IF(ISERROR(B22/SUM($B$20,$B$21,$B$22)*100),0,B22/SUM($B$20,$B$21,$B$22)*100)</f>
        <v>18.775510204081634</v>
      </c>
      <c r="D22" s="231"/>
      <c r="E22" s="15"/>
    </row>
    <row r="23" spans="1:7">
      <c r="A23" s="173" t="s">
        <v>76</v>
      </c>
      <c r="B23" s="37">
        <f>aantalw2001_niet_gespec</f>
        <v>237</v>
      </c>
      <c r="C23" s="168" t="s">
        <v>111</v>
      </c>
      <c r="D23" s="230"/>
      <c r="E23" s="15"/>
    </row>
    <row r="24" spans="1:7">
      <c r="A24" s="173" t="s">
        <v>77</v>
      </c>
      <c r="B24" s="37">
        <f>aantalw2001_steenkool</f>
        <v>384</v>
      </c>
      <c r="C24" s="168" t="s">
        <v>111</v>
      </c>
      <c r="D24" s="231"/>
      <c r="E24" s="15"/>
    </row>
    <row r="25" spans="1:7">
      <c r="A25" s="173" t="s">
        <v>78</v>
      </c>
      <c r="B25" s="37">
        <f>aantalw2001_stookolie</f>
        <v>2766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10460</v>
      </c>
      <c r="C28" s="36"/>
      <c r="D28" s="230"/>
    </row>
    <row r="29" spans="1:7" s="15" customFormat="1">
      <c r="A29" s="232" t="s">
        <v>746</v>
      </c>
      <c r="B29" s="37">
        <f>SUM(HH_hh_gas_aantal,HH_rest_gas_aantal)</f>
        <v>7722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7722</v>
      </c>
      <c r="C32" s="169">
        <f>IF(ISERROR(B32/SUM($B$32,$B$34,$B$35,$B$36,$B$38,$B$39)*100),0,B32/SUM($B$32,$B$34,$B$35,$B$36,$B$38,$B$39)*100)</f>
        <v>73.937188816545401</v>
      </c>
      <c r="D32" s="235"/>
      <c r="G32" s="15"/>
    </row>
    <row r="33" spans="1:7">
      <c r="A33" s="173" t="s">
        <v>72</v>
      </c>
      <c r="B33" s="34" t="s">
        <v>111</v>
      </c>
      <c r="C33" s="169"/>
      <c r="D33" s="235"/>
      <c r="G33" s="15"/>
    </row>
    <row r="34" spans="1:7">
      <c r="A34" s="173" t="s">
        <v>73</v>
      </c>
      <c r="B34" s="33">
        <f>IF((($B$28-$B$32-$B$39-$B$77-$B$38)*C20/100)&lt;0,0,($B$28-$B$32-$B$39-$B$77-$B$38)*C20/100)</f>
        <v>271.63265306122452</v>
      </c>
      <c r="C34" s="169">
        <f>IF(ISERROR(B34/SUM($B$32,$B$34,$B$35,$B$36,$B$38,$B$39)*100),0,B34/SUM($B$32,$B$34,$B$35,$B$36,$B$38,$B$39)*100)</f>
        <v>2.600848842026279</v>
      </c>
      <c r="D34" s="235"/>
      <c r="G34" s="15"/>
    </row>
    <row r="35" spans="1:7">
      <c r="A35" s="173" t="s">
        <v>74</v>
      </c>
      <c r="B35" s="33">
        <f>IF((($B$28-$B$32-$B$39-$B$77-$B$38)*C21/100)&lt;0,0,($B$28-$B$32-$B$39-$B$77-$B$38)*C21/100)</f>
        <v>1202.5918367346937</v>
      </c>
      <c r="C35" s="169">
        <f>IF(ISERROR(B35/SUM($B$32,$B$34,$B$35,$B$36,$B$38,$B$39)*100),0,B35/SUM($B$32,$B$34,$B$35,$B$36,$B$38,$B$39)*100)</f>
        <v>11.514667146061795</v>
      </c>
      <c r="D35" s="235"/>
      <c r="G35" s="15"/>
    </row>
    <row r="36" spans="1:7">
      <c r="A36" s="173" t="s">
        <v>75</v>
      </c>
      <c r="B36" s="33">
        <f>IF((($B$28-$B$32-$B$39-$B$77-$B$38)*C22/100)&lt;0,0,($B$28-$B$32-$B$39-$B$77-$B$38)*C22/100)</f>
        <v>340.77551020408168</v>
      </c>
      <c r="C36" s="169">
        <f>IF(ISERROR(B36/SUM($B$32,$B$34,$B$35,$B$36,$B$38,$B$39)*100),0,B36/SUM($B$32,$B$34,$B$35,$B$36,$B$38,$B$39)*100)</f>
        <v>3.262883092723877</v>
      </c>
      <c r="D36" s="235"/>
      <c r="G36" s="15"/>
    </row>
    <row r="37" spans="1:7">
      <c r="A37" s="173" t="s">
        <v>76</v>
      </c>
      <c r="B37" s="34" t="s">
        <v>111</v>
      </c>
      <c r="C37" s="169"/>
      <c r="D37" s="175"/>
      <c r="G37" s="15"/>
    </row>
    <row r="38" spans="1:7">
      <c r="A38" s="173" t="s">
        <v>77</v>
      </c>
      <c r="B38" s="33">
        <f>IF((B24-(B29-B18)*0.1)&lt;0,0,B24-(B29-B18)*0.1)</f>
        <v>159.69999999999999</v>
      </c>
      <c r="C38" s="169">
        <f>IF(ISERROR(B38/SUM($B$32,$B$34,$B$35,$B$36,$B$38,$B$39)*100),0,B38/SUM($B$32,$B$34,$B$35,$B$36,$B$38,$B$39)*100)</f>
        <v>1.5291076216009194</v>
      </c>
      <c r="D38" s="236"/>
      <c r="G38" s="15"/>
    </row>
    <row r="39" spans="1:7">
      <c r="A39" s="173" t="s">
        <v>78</v>
      </c>
      <c r="B39" s="33">
        <f>IF((B25-(B29-B18))&lt;0,0,B25-(B29-B18)*0.9)</f>
        <v>747.3</v>
      </c>
      <c r="C39" s="169">
        <f>IF(ISERROR(B39/SUM($B$32,$B$34,$B$35,$B$36,$B$38,$B$39)*100),0,B39/SUM($B$32,$B$34,$B$35,$B$36,$B$38,$B$39)*100)</f>
        <v>7.1553044810417479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7722</v>
      </c>
      <c r="C44" s="34" t="s">
        <v>111</v>
      </c>
      <c r="D44" s="176"/>
    </row>
    <row r="45" spans="1:7">
      <c r="A45" s="173" t="s">
        <v>72</v>
      </c>
      <c r="B45" s="33" t="str">
        <f t="shared" si="0"/>
        <v>-</v>
      </c>
      <c r="C45" s="34" t="s">
        <v>111</v>
      </c>
      <c r="D45" s="176"/>
    </row>
    <row r="46" spans="1:7">
      <c r="A46" s="173" t="s">
        <v>73</v>
      </c>
      <c r="B46" s="33">
        <f t="shared" si="0"/>
        <v>271.63265306122452</v>
      </c>
      <c r="C46" s="34" t="s">
        <v>111</v>
      </c>
      <c r="D46" s="176"/>
    </row>
    <row r="47" spans="1:7">
      <c r="A47" s="173" t="s">
        <v>74</v>
      </c>
      <c r="B47" s="33">
        <f t="shared" si="0"/>
        <v>1202.5918367346937</v>
      </c>
      <c r="C47" s="34" t="s">
        <v>111</v>
      </c>
      <c r="D47" s="176"/>
    </row>
    <row r="48" spans="1:7">
      <c r="A48" s="173" t="s">
        <v>75</v>
      </c>
      <c r="B48" s="33">
        <f t="shared" si="0"/>
        <v>340.77551020408168</v>
      </c>
      <c r="C48" s="33">
        <f>B48*10</f>
        <v>3407.7551020408168</v>
      </c>
      <c r="D48" s="236"/>
    </row>
    <row r="49" spans="1:6">
      <c r="A49" s="173" t="s">
        <v>76</v>
      </c>
      <c r="B49" s="33" t="str">
        <f t="shared" si="0"/>
        <v>-</v>
      </c>
      <c r="C49" s="34" t="s">
        <v>111</v>
      </c>
      <c r="D49" s="236"/>
    </row>
    <row r="50" spans="1:6">
      <c r="A50" s="173" t="s">
        <v>77</v>
      </c>
      <c r="B50" s="33">
        <f t="shared" si="0"/>
        <v>159.69999999999999</v>
      </c>
      <c r="C50" s="33">
        <f>B50*2</f>
        <v>319.39999999999998</v>
      </c>
      <c r="D50" s="236"/>
    </row>
    <row r="51" spans="1:6">
      <c r="A51" s="173" t="s">
        <v>78</v>
      </c>
      <c r="B51" s="33">
        <f t="shared" si="0"/>
        <v>747.3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32551.196302329659</v>
      </c>
      <c r="C5" s="17">
        <f>IF(ISERROR('Eigen informatie GS &amp; warmtenet'!B58),0,'Eigen informatie GS &amp; warmtenet'!B58)</f>
        <v>0</v>
      </c>
      <c r="D5" s="30">
        <f>SUM(D6:D12)</f>
        <v>40185.635621356822</v>
      </c>
      <c r="E5" s="17">
        <f>SUM(E6:E12)</f>
        <v>358.18871251802449</v>
      </c>
      <c r="F5" s="17">
        <f>SUM(F6:F12)</f>
        <v>6269.6466846561925</v>
      </c>
      <c r="G5" s="18"/>
      <c r="H5" s="17"/>
      <c r="I5" s="17"/>
      <c r="J5" s="17">
        <f>SUM(J6:J12)</f>
        <v>0</v>
      </c>
      <c r="K5" s="17"/>
      <c r="L5" s="17"/>
      <c r="M5" s="17"/>
      <c r="N5" s="17">
        <f>SUM(N6:N12)</f>
        <v>1921.5377969360047</v>
      </c>
      <c r="O5" s="17">
        <f>B38*B39*B40</f>
        <v>0</v>
      </c>
      <c r="P5" s="17">
        <f>B46*B47*B48/1000-B46*B47*B48/1000/B49</f>
        <v>0</v>
      </c>
      <c r="R5" s="32"/>
    </row>
    <row r="6" spans="1:18">
      <c r="A6" s="32" t="s">
        <v>54</v>
      </c>
      <c r="B6" s="37">
        <f>B26</f>
        <v>7258.9192148830098</v>
      </c>
      <c r="C6" s="33"/>
      <c r="D6" s="37">
        <f>IF(ISERROR(TER_kantoor_gas_kWh/1000),0,TER_kantoor_gas_kWh/1000)*0.902</f>
        <v>8626.7570233231563</v>
      </c>
      <c r="E6" s="33">
        <f>$C$26*'E Balans VL '!I12/100/3.6*1000000</f>
        <v>28.202437952559851</v>
      </c>
      <c r="F6" s="33">
        <f>$C$26*('E Balans VL '!L12+'E Balans VL '!N12)/100/3.6*1000000</f>
        <v>1104.0155616848849</v>
      </c>
      <c r="G6" s="34"/>
      <c r="H6" s="33"/>
      <c r="I6" s="33"/>
      <c r="J6" s="33">
        <f>$C$26*('E Balans VL '!D12+'E Balans VL '!E12)/100/3.6*1000000</f>
        <v>0</v>
      </c>
      <c r="K6" s="33"/>
      <c r="L6" s="33"/>
      <c r="M6" s="33"/>
      <c r="N6" s="33">
        <f>$C$26*'E Balans VL '!Y12/100/3.6*1000000</f>
        <v>4.0005340845069632</v>
      </c>
      <c r="O6" s="33"/>
      <c r="P6" s="33"/>
      <c r="R6" s="32"/>
    </row>
    <row r="7" spans="1:18">
      <c r="A7" s="32" t="s">
        <v>53</v>
      </c>
      <c r="B7" s="37">
        <f t="shared" ref="B7:B12" si="0">B27</f>
        <v>2353.1148747914299</v>
      </c>
      <c r="C7" s="33"/>
      <c r="D7" s="37">
        <f>IF(ISERROR(TER_horeca_gas_kWh/1000),0,TER_horeca_gas_kWh/1000)*0.902</f>
        <v>3243.5854200696899</v>
      </c>
      <c r="E7" s="33">
        <f>$C$27*'E Balans VL '!I9/100/3.6*1000000</f>
        <v>132.55159001568478</v>
      </c>
      <c r="F7" s="33">
        <f>$C$27*('E Balans VL '!L9+'E Balans VL '!N9)/100/3.6*1000000</f>
        <v>678.49745177817977</v>
      </c>
      <c r="G7" s="34"/>
      <c r="H7" s="33"/>
      <c r="I7" s="33"/>
      <c r="J7" s="33">
        <f>$C$27*('E Balans VL '!D9+'E Balans VL '!E9)/100/3.6*1000000</f>
        <v>0</v>
      </c>
      <c r="K7" s="33"/>
      <c r="L7" s="33"/>
      <c r="M7" s="33"/>
      <c r="N7" s="33">
        <f>$C$27*'E Balans VL '!Y9/100/3.6*1000000</f>
        <v>0.64968278899453535</v>
      </c>
      <c r="O7" s="33"/>
      <c r="P7" s="33"/>
      <c r="R7" s="32"/>
    </row>
    <row r="8" spans="1:18">
      <c r="A8" s="6" t="s">
        <v>52</v>
      </c>
      <c r="B8" s="37">
        <f t="shared" si="0"/>
        <v>10423.3326164261</v>
      </c>
      <c r="C8" s="33"/>
      <c r="D8" s="37">
        <f>IF(ISERROR(TER_handel_gas_kWh/1000),0,TER_handel_gas_kWh/1000)*0.902</f>
        <v>7318.7514275975554</v>
      </c>
      <c r="E8" s="33">
        <f>$C$28*'E Balans VL '!I13/100/3.6*1000000</f>
        <v>150.23558585252422</v>
      </c>
      <c r="F8" s="33">
        <f>$C$28*('E Balans VL '!L13+'E Balans VL '!N13)/100/3.6*1000000</f>
        <v>1810.7756185098285</v>
      </c>
      <c r="G8" s="34"/>
      <c r="H8" s="33"/>
      <c r="I8" s="33"/>
      <c r="J8" s="33">
        <f>$C$28*('E Balans VL '!D13+'E Balans VL '!E13)/100/3.6*1000000</f>
        <v>0</v>
      </c>
      <c r="K8" s="33"/>
      <c r="L8" s="33"/>
      <c r="M8" s="33"/>
      <c r="N8" s="33">
        <f>$C$28*'E Balans VL '!Y13/100/3.6*1000000</f>
        <v>31.229464868102827</v>
      </c>
      <c r="O8" s="33"/>
      <c r="P8" s="33"/>
      <c r="R8" s="32"/>
    </row>
    <row r="9" spans="1:18">
      <c r="A9" s="32" t="s">
        <v>51</v>
      </c>
      <c r="B9" s="37">
        <f t="shared" si="0"/>
        <v>6604.15584548689</v>
      </c>
      <c r="C9" s="33"/>
      <c r="D9" s="37">
        <f>IF(ISERROR(TER_gezond_gas_kWh/1000),0,TER_gezond_gas_kWh/1000)*0.902</f>
        <v>9285.9428857977491</v>
      </c>
      <c r="E9" s="33">
        <f>$C$29*'E Balans VL '!I10/100/3.6*1000000</f>
        <v>7.0549501773136969</v>
      </c>
      <c r="F9" s="33">
        <f>$C$29*('E Balans VL '!L10+'E Balans VL '!N10)/100/3.6*1000000</f>
        <v>1077.3385262266654</v>
      </c>
      <c r="G9" s="34"/>
      <c r="H9" s="33"/>
      <c r="I9" s="33"/>
      <c r="J9" s="33">
        <f>$C$29*('E Balans VL '!D10+'E Balans VL '!E10)/100/3.6*1000000</f>
        <v>0</v>
      </c>
      <c r="K9" s="33"/>
      <c r="L9" s="33"/>
      <c r="M9" s="33"/>
      <c r="N9" s="33">
        <f>$C$29*'E Balans VL '!Y10/100/3.6*1000000</f>
        <v>67.986016173139959</v>
      </c>
      <c r="O9" s="33"/>
      <c r="P9" s="33"/>
      <c r="R9" s="32"/>
    </row>
    <row r="10" spans="1:18">
      <c r="A10" s="32" t="s">
        <v>50</v>
      </c>
      <c r="B10" s="37">
        <f t="shared" si="0"/>
        <v>2346.1776197655299</v>
      </c>
      <c r="C10" s="33"/>
      <c r="D10" s="37">
        <f>IF(ISERROR(TER_ander_gas_kWh/1000),0,TER_ander_gas_kWh/1000)*0.902</f>
        <v>2347.011804096252</v>
      </c>
      <c r="E10" s="33">
        <f>$C$30*'E Balans VL '!I14/100/3.6*1000000</f>
        <v>10.789713993193196</v>
      </c>
      <c r="F10" s="33">
        <f>$C$30*('E Balans VL '!L14+'E Balans VL '!N14)/100/3.6*1000000</f>
        <v>703.22343773730859</v>
      </c>
      <c r="G10" s="34"/>
      <c r="H10" s="33"/>
      <c r="I10" s="33"/>
      <c r="J10" s="33">
        <f>$C$30*('E Balans VL '!D14+'E Balans VL '!E14)/100/3.6*1000000</f>
        <v>0</v>
      </c>
      <c r="K10" s="33"/>
      <c r="L10" s="33"/>
      <c r="M10" s="33"/>
      <c r="N10" s="33">
        <f>$C$30*'E Balans VL '!Y14/100/3.6*1000000</f>
        <v>1633.0944963449624</v>
      </c>
      <c r="O10" s="33"/>
      <c r="P10" s="33"/>
      <c r="R10" s="32"/>
    </row>
    <row r="11" spans="1:18">
      <c r="A11" s="32" t="s">
        <v>55</v>
      </c>
      <c r="B11" s="37">
        <f t="shared" si="0"/>
        <v>1240.2625011104899</v>
      </c>
      <c r="C11" s="33"/>
      <c r="D11" s="37">
        <f>IF(ISERROR(TER_onderwijs_gas_kWh/1000),0,TER_onderwijs_gas_kWh/1000)*0.902</f>
        <v>2727.7161757301856</v>
      </c>
      <c r="E11" s="33">
        <f>$C$31*'E Balans VL '!I11/100/3.6*1000000</f>
        <v>1.1505065751861769</v>
      </c>
      <c r="F11" s="33">
        <f>$C$31*('E Balans VL '!L11+'E Balans VL '!N11)/100/3.6*1000000</f>
        <v>435.67571125595617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2325.2336298662099</v>
      </c>
      <c r="C12" s="33"/>
      <c r="D12" s="37">
        <f>IF(ISERROR(TER_rest_gas_kWh/1000),0,TER_rest_gas_kWh/1000)*0.902</f>
        <v>6635.8708847422386</v>
      </c>
      <c r="E12" s="33">
        <f>$C$32*'E Balans VL '!I8/100/3.6*1000000</f>
        <v>28.20392795156263</v>
      </c>
      <c r="F12" s="33">
        <f>$C$32*('E Balans VL '!L8+'E Balans VL '!N8)/100/3.6*1000000</f>
        <v>460.12037746336898</v>
      </c>
      <c r="G12" s="34"/>
      <c r="H12" s="33"/>
      <c r="I12" s="33"/>
      <c r="J12" s="33">
        <f>$C$32*('E Balans VL '!D8+'E Balans VL '!E8)/100/3.6*1000000</f>
        <v>0</v>
      </c>
      <c r="K12" s="33"/>
      <c r="L12" s="33"/>
      <c r="M12" s="33"/>
      <c r="N12" s="33">
        <f>$C$32*'E Balans VL '!Y8/100/3.6*1000000</f>
        <v>184.57760267629797</v>
      </c>
      <c r="O12" s="33"/>
      <c r="P12" s="33"/>
      <c r="R12" s="32"/>
    </row>
    <row r="13" spans="1:18">
      <c r="A13" s="16" t="s">
        <v>497</v>
      </c>
      <c r="B13" s="249">
        <f ca="1">'lokale energieproductie'!N91+'lokale energieproductie'!N60</f>
        <v>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32555.696302329659</v>
      </c>
      <c r="C16" s="21">
        <f t="shared" ca="1" si="1"/>
        <v>22.5</v>
      </c>
      <c r="D16" s="21">
        <f t="shared" ca="1" si="1"/>
        <v>40155.635621356822</v>
      </c>
      <c r="E16" s="21">
        <f t="shared" si="1"/>
        <v>358.18871251802449</v>
      </c>
      <c r="F16" s="21">
        <f t="shared" ca="1" si="1"/>
        <v>6269.6466846561925</v>
      </c>
      <c r="G16" s="21">
        <f t="shared" si="1"/>
        <v>0</v>
      </c>
      <c r="H16" s="21">
        <f t="shared" si="1"/>
        <v>0</v>
      </c>
      <c r="I16" s="21">
        <f t="shared" si="1"/>
        <v>0</v>
      </c>
      <c r="J16" s="21">
        <f t="shared" si="1"/>
        <v>0</v>
      </c>
      <c r="K16" s="21">
        <f t="shared" si="1"/>
        <v>0</v>
      </c>
      <c r="L16" s="21">
        <f t="shared" ca="1" si="1"/>
        <v>0</v>
      </c>
      <c r="M16" s="21">
        <f t="shared" si="1"/>
        <v>0</v>
      </c>
      <c r="N16" s="21">
        <f t="shared" ca="1" si="1"/>
        <v>1921.5377969360047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0.21061276191358799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6856.6451142536334</v>
      </c>
      <c r="C20" s="23">
        <f t="shared" ref="C20:P20" ca="1" si="2">C16*C18</f>
        <v>5.0500000000000007</v>
      </c>
      <c r="D20" s="23">
        <f t="shared" ca="1" si="2"/>
        <v>8111.4383955140784</v>
      </c>
      <c r="E20" s="23">
        <f t="shared" si="2"/>
        <v>81.30883774159156</v>
      </c>
      <c r="F20" s="23">
        <f t="shared" ca="1" si="2"/>
        <v>1673.9956648032035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7258.9192148830098</v>
      </c>
      <c r="C26" s="39">
        <f>IF(ISERROR(B26*3.6/1000000/'E Balans VL '!Z12*100),0,B26*3.6/1000000/'E Balans VL '!Z12*100)</f>
        <v>0.15418303972527242</v>
      </c>
      <c r="D26" s="239" t="s">
        <v>692</v>
      </c>
      <c r="F26" s="6"/>
    </row>
    <row r="27" spans="1:18">
      <c r="A27" s="233" t="s">
        <v>53</v>
      </c>
      <c r="B27" s="33">
        <f>IF(ISERROR(TER_horeca_ele_kWh/1000),0,TER_horeca_ele_kWh/1000)</f>
        <v>2353.1148747914299</v>
      </c>
      <c r="C27" s="39">
        <f>IF(ISERROR(B27*3.6/1000000/'E Balans VL '!Z9*100),0,B27*3.6/1000000/'E Balans VL '!Z9*100)</f>
        <v>0.18296901216886011</v>
      </c>
      <c r="D27" s="239" t="s">
        <v>692</v>
      </c>
      <c r="F27" s="6"/>
    </row>
    <row r="28" spans="1:18">
      <c r="A28" s="173" t="s">
        <v>52</v>
      </c>
      <c r="B28" s="33">
        <f>IF(ISERROR(TER_handel_ele_kWh/1000),0,TER_handel_ele_kWh/1000)</f>
        <v>10423.3326164261</v>
      </c>
      <c r="C28" s="39">
        <f>IF(ISERROR(B28*3.6/1000000/'E Balans VL '!Z13*100),0,B28*3.6/1000000/'E Balans VL '!Z13*100)</f>
        <v>0.29822381319130636</v>
      </c>
      <c r="D28" s="239" t="s">
        <v>692</v>
      </c>
      <c r="F28" s="6"/>
    </row>
    <row r="29" spans="1:18">
      <c r="A29" s="233" t="s">
        <v>51</v>
      </c>
      <c r="B29" s="33">
        <f>IF(ISERROR(TER_gezond_ele_kWh/1000),0,TER_gezond_ele_kWh/1000)</f>
        <v>6604.15584548689</v>
      </c>
      <c r="C29" s="39">
        <f>IF(ISERROR(B29*3.6/1000000/'E Balans VL '!Z10*100),0,B29*3.6/1000000/'E Balans VL '!Z10*100)</f>
        <v>0.72000644933492108</v>
      </c>
      <c r="D29" s="239" t="s">
        <v>692</v>
      </c>
      <c r="F29" s="6"/>
    </row>
    <row r="30" spans="1:18">
      <c r="A30" s="233" t="s">
        <v>50</v>
      </c>
      <c r="B30" s="33">
        <f>IF(ISERROR(TER_ander_ele_kWh/1000),0,TER_ander_ele_kWh/1000)</f>
        <v>2346.1776197655299</v>
      </c>
      <c r="C30" s="39">
        <f>IF(ISERROR(B30*3.6/1000000/'E Balans VL '!Z14*100),0,B30*3.6/1000000/'E Balans VL '!Z14*100)</f>
        <v>0.17168795603667564</v>
      </c>
      <c r="D30" s="239" t="s">
        <v>692</v>
      </c>
      <c r="F30" s="6"/>
    </row>
    <row r="31" spans="1:18">
      <c r="A31" s="233" t="s">
        <v>55</v>
      </c>
      <c r="B31" s="33">
        <f>IF(ISERROR(TER_onderwijs_ele_kWh/1000),0,TER_onderwijs_ele_kWh/1000)</f>
        <v>1240.2625011104899</v>
      </c>
      <c r="C31" s="39">
        <f>IF(ISERROR(B31*3.6/1000000/'E Balans VL '!Z11*100),0,B31*3.6/1000000/'E Balans VL '!Z11*100)</f>
        <v>0.24910764434157889</v>
      </c>
      <c r="D31" s="239" t="s">
        <v>692</v>
      </c>
    </row>
    <row r="32" spans="1:18">
      <c r="A32" s="233" t="s">
        <v>260</v>
      </c>
      <c r="B32" s="33">
        <f>IF(ISERROR(TER_rest_ele_kWh/1000),0,TER_rest_ele_kWh/1000)</f>
        <v>2325.2336298662099</v>
      </c>
      <c r="C32" s="39">
        <f>IF(ISERROR(B32*3.6/1000000/'E Balans VL '!Z8*100),0,B32*3.6/1000000/'E Balans VL '!Z8*100)</f>
        <v>1.8949242970817133E-2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58440.602393049739</v>
      </c>
      <c r="C5" s="17">
        <f>IF(ISERROR('Eigen informatie GS &amp; warmtenet'!B59),0,'Eigen informatie GS &amp; warmtenet'!B59)</f>
        <v>0</v>
      </c>
      <c r="D5" s="30">
        <f>SUM(D6:D15)</f>
        <v>90264.445181910123</v>
      </c>
      <c r="E5" s="17">
        <f>SUM(E6:E15)</f>
        <v>2114.7095042987357</v>
      </c>
      <c r="F5" s="17">
        <f>SUM(F6:F15)</f>
        <v>8673.5641770961647</v>
      </c>
      <c r="G5" s="18"/>
      <c r="H5" s="17"/>
      <c r="I5" s="17"/>
      <c r="J5" s="17">
        <f>SUM(J6:J15)</f>
        <v>51.170845430988265</v>
      </c>
      <c r="K5" s="17"/>
      <c r="L5" s="17"/>
      <c r="M5" s="17"/>
      <c r="N5" s="17">
        <f>SUM(N6:N15)</f>
        <v>5572.4627619532521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190.24238386397801</v>
      </c>
      <c r="C8" s="33"/>
      <c r="D8" s="37">
        <f>IF( ISERROR(IND_metaal_Gas_kWH/1000),0,IND_metaal_Gas_kWH/1000)*0.902</f>
        <v>0</v>
      </c>
      <c r="E8" s="33">
        <f>C30*'E Balans VL '!I18/100/3.6*1000000</f>
        <v>5.4644753468798859</v>
      </c>
      <c r="F8" s="33">
        <f>C30*'E Balans VL '!L18/100/3.6*1000000+C30*'E Balans VL '!N18/100/3.6*1000000</f>
        <v>48.793512574245327</v>
      </c>
      <c r="G8" s="34"/>
      <c r="H8" s="33"/>
      <c r="I8" s="33"/>
      <c r="J8" s="40">
        <f>C30*'E Balans VL '!D18/100/3.6*1000000+C30*'E Balans VL '!E18/100/3.6*1000000</f>
        <v>0</v>
      </c>
      <c r="K8" s="33"/>
      <c r="L8" s="33"/>
      <c r="M8" s="33"/>
      <c r="N8" s="33">
        <f>C30*'E Balans VL '!Y18/100/3.6*1000000</f>
        <v>5.1654690616315566</v>
      </c>
      <c r="O8" s="33"/>
      <c r="P8" s="33"/>
      <c r="R8" s="32"/>
    </row>
    <row r="9" spans="1:18">
      <c r="A9" s="6" t="s">
        <v>33</v>
      </c>
      <c r="B9" s="37">
        <f t="shared" si="0"/>
        <v>3589.7985348237703</v>
      </c>
      <c r="C9" s="33"/>
      <c r="D9" s="37">
        <f>IF( ISERROR(IND_andere_gas_kWh/1000),0,IND_andere_gas_kWh/1000)*0.902</f>
        <v>1784.9842848328008</v>
      </c>
      <c r="E9" s="33">
        <f>C31*'E Balans VL '!I19/100/3.6*1000000</f>
        <v>971.67020085502679</v>
      </c>
      <c r="F9" s="33">
        <f>C31*'E Balans VL '!L19/100/3.6*1000000+C31*'E Balans VL '!N19/100/3.6*1000000</f>
        <v>2391.1857042308516</v>
      </c>
      <c r="G9" s="34"/>
      <c r="H9" s="33"/>
      <c r="I9" s="33"/>
      <c r="J9" s="40">
        <f>C31*'E Balans VL '!D19/100/3.6*1000000+C31*'E Balans VL '!E19/100/3.6*1000000</f>
        <v>0</v>
      </c>
      <c r="K9" s="33"/>
      <c r="L9" s="33"/>
      <c r="M9" s="33"/>
      <c r="N9" s="33">
        <f>C31*'E Balans VL '!Y19/100/3.6*1000000</f>
        <v>1172.0095899611715</v>
      </c>
      <c r="O9" s="33"/>
      <c r="P9" s="33"/>
      <c r="R9" s="32"/>
    </row>
    <row r="10" spans="1:18">
      <c r="A10" s="6" t="s">
        <v>41</v>
      </c>
      <c r="B10" s="37">
        <f t="shared" si="0"/>
        <v>180.22887389114999</v>
      </c>
      <c r="C10" s="33"/>
      <c r="D10" s="37">
        <f>IF( ISERROR(IND_voed_gas_kWh/1000),0,IND_voed_gas_kWh/1000)*0.902</f>
        <v>494.15125191088396</v>
      </c>
      <c r="E10" s="33">
        <f>C32*'E Balans VL '!I20/100/3.6*1000000</f>
        <v>14.699881019625424</v>
      </c>
      <c r="F10" s="33">
        <f>C32*'E Balans VL '!L20/100/3.6*1000000+C32*'E Balans VL '!N20/100/3.6*1000000</f>
        <v>268.73760276790955</v>
      </c>
      <c r="G10" s="34"/>
      <c r="H10" s="33"/>
      <c r="I10" s="33"/>
      <c r="J10" s="40">
        <f>C32*'E Balans VL '!D20/100/3.6*1000000+C32*'E Balans VL '!E20/100/3.6*1000000</f>
        <v>2.3842092330749395E-3</v>
      </c>
      <c r="K10" s="33"/>
      <c r="L10" s="33"/>
      <c r="M10" s="33"/>
      <c r="N10" s="33">
        <f>C32*'E Balans VL '!Y20/100/3.6*1000000</f>
        <v>52.944883558001358</v>
      </c>
      <c r="O10" s="33"/>
      <c r="P10" s="33"/>
      <c r="R10" s="32"/>
    </row>
    <row r="11" spans="1:18">
      <c r="A11" s="6" t="s">
        <v>40</v>
      </c>
      <c r="B11" s="37">
        <f t="shared" si="0"/>
        <v>34165.398404325402</v>
      </c>
      <c r="C11" s="33"/>
      <c r="D11" s="37">
        <f>IF( ISERROR(IND_textiel_gas_kWh/1000),0,IND_textiel_gas_kWh/1000)*0.902</f>
        <v>32704.972135050033</v>
      </c>
      <c r="E11" s="33">
        <f>C33*'E Balans VL '!I21/100/3.6*1000000</f>
        <v>6.7722809778720325</v>
      </c>
      <c r="F11" s="33">
        <f>C33*'E Balans VL '!L21/100/3.6*1000000+C33*'E Balans VL '!N21/100/3.6*1000000</f>
        <v>1258.3528439160691</v>
      </c>
      <c r="G11" s="34"/>
      <c r="H11" s="33"/>
      <c r="I11" s="33"/>
      <c r="J11" s="40">
        <f>C33*'E Balans VL '!D21/100/3.6*1000000+C33*'E Balans VL '!E21/100/3.6*1000000</f>
        <v>0</v>
      </c>
      <c r="K11" s="33"/>
      <c r="L11" s="33"/>
      <c r="M11" s="33"/>
      <c r="N11" s="33">
        <f>C33*'E Balans VL '!Y21/100/3.6*1000000</f>
        <v>158.86047780384797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121.62151055472799</v>
      </c>
      <c r="C13" s="33"/>
      <c r="D13" s="37">
        <f>IF( ISERROR(IND_papier_gas_kWh/1000),0,IND_papier_gas_kWh/1000)*0.902</f>
        <v>269.72716305451996</v>
      </c>
      <c r="E13" s="33">
        <f>C35*'E Balans VL '!I23/100/3.6*1000000</f>
        <v>1.2742068904128705</v>
      </c>
      <c r="F13" s="33">
        <f>C35*'E Balans VL '!L23/100/3.6*1000000+C35*'E Balans VL '!N23/100/3.6*1000000</f>
        <v>9.0754186745240784</v>
      </c>
      <c r="G13" s="34"/>
      <c r="H13" s="33"/>
      <c r="I13" s="33"/>
      <c r="J13" s="40">
        <f>C35*'E Balans VL '!D23/100/3.6*1000000+C35*'E Balans VL '!E23/100/3.6*1000000</f>
        <v>0</v>
      </c>
      <c r="K13" s="33"/>
      <c r="L13" s="33"/>
      <c r="M13" s="33"/>
      <c r="N13" s="33">
        <f>C35*'E Balans VL '!Y23/100/3.6*1000000</f>
        <v>259.95328434316752</v>
      </c>
      <c r="O13" s="33"/>
      <c r="P13" s="33"/>
      <c r="R13" s="32"/>
    </row>
    <row r="14" spans="1:18">
      <c r="A14" s="6" t="s">
        <v>34</v>
      </c>
      <c r="B14" s="37">
        <f t="shared" si="0"/>
        <v>229.51800201590999</v>
      </c>
      <c r="C14" s="33"/>
      <c r="D14" s="37">
        <f>IF( ISERROR(IND_chemie_gas_kWh/1000),0,IND_chemie_gas_kWh/1000)*0.902</f>
        <v>0</v>
      </c>
      <c r="E14" s="33">
        <f>C36*'E Balans VL '!I24/100/3.6*1000000</f>
        <v>1.0849854932940544</v>
      </c>
      <c r="F14" s="33">
        <f>C36*'E Balans VL '!L24/100/3.6*1000000+C36*'E Balans VL '!N24/100/3.6*1000000</f>
        <v>4.3377670417759457</v>
      </c>
      <c r="G14" s="34"/>
      <c r="H14" s="33"/>
      <c r="I14" s="33"/>
      <c r="J14" s="40">
        <f>C36*'E Balans VL '!D24/100/3.6*1000000+C36*'E Balans VL '!E24/100/3.6*1000000</f>
        <v>0</v>
      </c>
      <c r="K14" s="33"/>
      <c r="L14" s="33"/>
      <c r="M14" s="33"/>
      <c r="N14" s="33">
        <f>C36*'E Balans VL '!Y24/100/3.6*1000000</f>
        <v>5.5719206223946385</v>
      </c>
      <c r="O14" s="33"/>
      <c r="P14" s="33"/>
      <c r="R14" s="32"/>
    </row>
    <row r="15" spans="1:18">
      <c r="A15" s="6" t="s">
        <v>270</v>
      </c>
      <c r="B15" s="37">
        <f t="shared" si="0"/>
        <v>19963.794683574801</v>
      </c>
      <c r="C15" s="33"/>
      <c r="D15" s="37">
        <f>IF( ISERROR(IND_rest_gas_kWh/1000),0,IND_rest_gas_kWh/1000)*0.902</f>
        <v>55010.610347061876</v>
      </c>
      <c r="E15" s="33">
        <f>C37*'E Balans VL '!I15/100/3.6*1000000</f>
        <v>1113.7434737156245</v>
      </c>
      <c r="F15" s="33">
        <f>C37*'E Balans VL '!L15/100/3.6*1000000+C37*'E Balans VL '!N15/100/3.6*1000000</f>
        <v>4693.0813278907899</v>
      </c>
      <c r="G15" s="34"/>
      <c r="H15" s="33"/>
      <c r="I15" s="33"/>
      <c r="J15" s="40">
        <f>C37*'E Balans VL '!D15/100/3.6*1000000+C37*'E Balans VL '!E15/100/3.6*1000000</f>
        <v>51.168461221755187</v>
      </c>
      <c r="K15" s="33"/>
      <c r="L15" s="33"/>
      <c r="M15" s="33"/>
      <c r="N15" s="33">
        <f>C37*'E Balans VL '!Y15/100/3.6*1000000</f>
        <v>3917.9571366030377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58440.602393049739</v>
      </c>
      <c r="C18" s="21">
        <f>C5+C16</f>
        <v>0</v>
      </c>
      <c r="D18" s="21">
        <f>MAX((D5+D16),0)</f>
        <v>90264.445181910123</v>
      </c>
      <c r="E18" s="21">
        <f>MAX((E5+E16),0)</f>
        <v>2114.7095042987357</v>
      </c>
      <c r="F18" s="21">
        <f>MAX((F5+F16),0)</f>
        <v>8673.5641770961647</v>
      </c>
      <c r="G18" s="21"/>
      <c r="H18" s="21"/>
      <c r="I18" s="21"/>
      <c r="J18" s="21">
        <f>MAX((J5+J16),0)</f>
        <v>51.170845430988265</v>
      </c>
      <c r="K18" s="21"/>
      <c r="L18" s="21">
        <f>MAX((L5+L16),0)</f>
        <v>0</v>
      </c>
      <c r="M18" s="21"/>
      <c r="N18" s="21">
        <f>MAX((N5+N16),0)</f>
        <v>5572.4627619532521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0.21061276191358799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12308.336677894045</v>
      </c>
      <c r="C22" s="23">
        <f ca="1">C18*C20</f>
        <v>0</v>
      </c>
      <c r="D22" s="23">
        <f>D18*D20</f>
        <v>18233.417926745846</v>
      </c>
      <c r="E22" s="23">
        <f>E18*E20</f>
        <v>480.03905747581302</v>
      </c>
      <c r="F22" s="23">
        <f>F18*F20</f>
        <v>2315.8416352846762</v>
      </c>
      <c r="G22" s="23"/>
      <c r="H22" s="23"/>
      <c r="I22" s="23"/>
      <c r="J22" s="23">
        <f>J18*J20</f>
        <v>18.114479282569846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190.24238386397801</v>
      </c>
      <c r="C30" s="39">
        <f>IF(ISERROR(B30*3.6/1000000/'E Balans VL '!Z18*100),0,B30*3.6/1000000/'E Balans VL '!Z18*100)</f>
        <v>1.8719364935141949E-2</v>
      </c>
      <c r="D30" s="239" t="s">
        <v>692</v>
      </c>
    </row>
    <row r="31" spans="1:18">
      <c r="A31" s="6" t="s">
        <v>33</v>
      </c>
      <c r="B31" s="37">
        <f>IF( ISERROR(IND_ander_ele_kWh/1000),0,IND_ander_ele_kWh/1000)</f>
        <v>3589.7985348237703</v>
      </c>
      <c r="C31" s="39">
        <f>IF(ISERROR(B31*3.6/1000000/'E Balans VL '!Z19*100),0,B31*3.6/1000000/'E Balans VL '!Z19*100)</f>
        <v>0.15633286263749185</v>
      </c>
      <c r="D31" s="239" t="s">
        <v>692</v>
      </c>
    </row>
    <row r="32" spans="1:18">
      <c r="A32" s="173" t="s">
        <v>41</v>
      </c>
      <c r="B32" s="37">
        <f>IF( ISERROR(IND_voed_ele_kWh/1000),0,IND_voed_ele_kWh/1000)</f>
        <v>180.22887389114999</v>
      </c>
      <c r="C32" s="39">
        <f>IF(ISERROR(B32*3.6/1000000/'E Balans VL '!Z20*100),0,B32*3.6/1000000/'E Balans VL '!Z20*100)</f>
        <v>3.4195829637726868E-2</v>
      </c>
      <c r="D32" s="239" t="s">
        <v>692</v>
      </c>
    </row>
    <row r="33" spans="1:5">
      <c r="A33" s="173" t="s">
        <v>40</v>
      </c>
      <c r="B33" s="37">
        <f>IF( ISERROR(IND_textiel_ele_kWh/1000),0,IND_textiel_ele_kWh/1000)</f>
        <v>34165.398404325402</v>
      </c>
      <c r="C33" s="39">
        <f>IF(ISERROR(B33*3.6/1000000/'E Balans VL '!Z21*100),0,B33*3.6/1000000/'E Balans VL '!Z21*100)</f>
        <v>1.9506709874270167</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121.62151055472799</v>
      </c>
      <c r="C35" s="39">
        <f>IF(ISERROR(B35*3.6/1000000/'E Balans VL '!Z22*100),0,B35*3.6/1000000/'E Balans VL '!Z22*100)</f>
        <v>1.710120566913674E-2</v>
      </c>
      <c r="D35" s="239" t="s">
        <v>692</v>
      </c>
    </row>
    <row r="36" spans="1:5">
      <c r="A36" s="173" t="s">
        <v>34</v>
      </c>
      <c r="B36" s="37">
        <f>IF( ISERROR(IND_chemie_ele_kWh/1000),0,IND_chemie_ele_kWh/1000)</f>
        <v>229.51800201590999</v>
      </c>
      <c r="C36" s="39">
        <f>IF(ISERROR(B36*3.6/1000000/'E Balans VL '!Z24*100),0,B36*3.6/1000000/'E Balans VL '!Z24*100)</f>
        <v>6.6888327912270115E-3</v>
      </c>
      <c r="D36" s="239" t="s">
        <v>692</v>
      </c>
    </row>
    <row r="37" spans="1:5">
      <c r="A37" s="173" t="s">
        <v>270</v>
      </c>
      <c r="B37" s="37">
        <f>IF( ISERROR(IND_rest_ele_kWh/1000),0,IND_rest_ele_kWh/1000)</f>
        <v>19963.794683574801</v>
      </c>
      <c r="C37" s="39">
        <f>IF(ISERROR(B37*3.6/1000000/'E Balans VL '!Z15*100),0,B37*3.6/1000000/'E Balans VL '!Z15*100)</f>
        <v>0.15384555863120977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417.92201328843623</v>
      </c>
      <c r="C5" s="17">
        <f>'Eigen informatie GS &amp; warmtenet'!B60</f>
        <v>0</v>
      </c>
      <c r="D5" s="30">
        <f>IF(ISERROR(SUM(LB_lb_gas_kWh,LB_rest_gas_kWh)/1000),0,SUM(LB_lb_gas_kWh,LB_rest_gas_kWh)/1000)*0.902</f>
        <v>127.23328365315405</v>
      </c>
      <c r="E5" s="17">
        <f>B17*'E Balans VL '!I25/3.6*1000000/100</f>
        <v>5.2663557604537914</v>
      </c>
      <c r="F5" s="17">
        <f>B17*('E Balans VL '!L25/3.6*1000000+'E Balans VL '!N25/3.6*1000000)/100</f>
        <v>1441.9356415652596</v>
      </c>
      <c r="G5" s="18"/>
      <c r="H5" s="17"/>
      <c r="I5" s="17"/>
      <c r="J5" s="17">
        <f>('E Balans VL '!D25+'E Balans VL '!E25)/3.6*1000000*landbouw!B17/100</f>
        <v>62.85072002880402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417.92201328843623</v>
      </c>
      <c r="C8" s="21">
        <f>C5+C6</f>
        <v>0</v>
      </c>
      <c r="D8" s="21">
        <f>MAX((D5+D6),0)</f>
        <v>127.23328365315405</v>
      </c>
      <c r="E8" s="21">
        <f>MAX((E5+E6),0)</f>
        <v>5.2663557604537914</v>
      </c>
      <c r="F8" s="21">
        <f>MAX((F5+F6),0)</f>
        <v>1441.9356415652596</v>
      </c>
      <c r="G8" s="21"/>
      <c r="H8" s="21"/>
      <c r="I8" s="21"/>
      <c r="J8" s="21">
        <f>MAX((J5+J6),0)</f>
        <v>62.85072002880402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0.21061276191358799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88.019709483164775</v>
      </c>
      <c r="C12" s="23">
        <f ca="1">C8*C10</f>
        <v>0</v>
      </c>
      <c r="D12" s="23">
        <f>D8*D10</f>
        <v>25.701123297937119</v>
      </c>
      <c r="E12" s="23">
        <f>E8*E10</f>
        <v>1.1954627576230106</v>
      </c>
      <c r="F12" s="23">
        <f>F8*F10</f>
        <v>384.99681629792434</v>
      </c>
      <c r="G12" s="23"/>
      <c r="H12" s="23"/>
      <c r="I12" s="23"/>
      <c r="J12" s="23">
        <f>J8*J10</f>
        <v>22.249154890196621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5.8286948716471838E-2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154.93090396468301</v>
      </c>
      <c r="C26" s="249">
        <f>B26*'GWP N2O_CH4'!B5</f>
        <v>3253.5489832583435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26.536844775153362</v>
      </c>
      <c r="C27" s="249">
        <f>B27*'GWP N2O_CH4'!B5</f>
        <v>557.27374027822066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2.0587156031174385</v>
      </c>
      <c r="C28" s="249">
        <f>B28*'GWP N2O_CH4'!B4</f>
        <v>638.20183696640595</v>
      </c>
      <c r="D28" s="50"/>
    </row>
    <row r="29" spans="1:4">
      <c r="A29" s="41" t="s">
        <v>277</v>
      </c>
      <c r="B29" s="249">
        <f>B34*'ha_N2O bodem landbouw'!B4</f>
        <v>8.6728447706678775</v>
      </c>
      <c r="C29" s="249">
        <f>B29*'GWP N2O_CH4'!B4</f>
        <v>2688.5818789070422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2.1655226777520802E-3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1.4625179867179347E-5</v>
      </c>
      <c r="C5" s="448" t="s">
        <v>211</v>
      </c>
      <c r="D5" s="433">
        <f>SUM(D6:D11)</f>
        <v>2.4533501873213131E-5</v>
      </c>
      <c r="E5" s="433">
        <f>SUM(E6:E11)</f>
        <v>7.4892211401631067E-4</v>
      </c>
      <c r="F5" s="446" t="s">
        <v>211</v>
      </c>
      <c r="G5" s="433">
        <f>SUM(G6:G11)</f>
        <v>0.3334848401583379</v>
      </c>
      <c r="H5" s="433">
        <f>SUM(H6:H11)</f>
        <v>3.6716289125113676E-2</v>
      </c>
      <c r="I5" s="448" t="s">
        <v>211</v>
      </c>
      <c r="J5" s="448" t="s">
        <v>211</v>
      </c>
      <c r="K5" s="448" t="s">
        <v>211</v>
      </c>
      <c r="L5" s="448" t="s">
        <v>211</v>
      </c>
      <c r="M5" s="433">
        <f>SUM(M6:M11)</f>
        <v>1.6723029052158448E-2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1.1172476215377839E-5</v>
      </c>
      <c r="C6" s="887"/>
      <c r="D6" s="887">
        <f>vkm_2011_GW_PW*SUMIFS(TableVerdeelsleutelVkm[CNG],TableVerdeelsleutelVkm[Voertuigtype],"Lichte voertuigen")*SUMIFS(TableECFTransport[EnergieConsumptieFactor (PJ per km)],TableECFTransport[Index],CONCATENATE($A6,"_CNG_CNG"))</f>
        <v>1.5822411440738107E-5</v>
      </c>
      <c r="E6" s="887">
        <f>vkm_2011_GW_PW*SUMIFS(TableVerdeelsleutelVkm[LPG],TableVerdeelsleutelVkm[Voertuigtype],"Lichte voertuigen")*SUMIFS(TableECFTransport[EnergieConsumptieFactor (PJ per km)],TableECFTransport[Index],CONCATENATE($A6,"_LPG_LPG"))</f>
        <v>4.9692985459996719E-4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8.931190182439043E-2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2.3931842751219356E-2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5.1235088494664544E-3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0.17782133922066881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6.3178078393513534E-5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8.0245142733064521E-3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3.4527036518015098E-6</v>
      </c>
      <c r="C8" s="887"/>
      <c r="D8" s="436">
        <f>vkm_2011_NGW_PW*SUMIFS(TableVerdeelsleutelVkm[CNG],TableVerdeelsleutelVkm[Voertuigtype],"Lichte voertuigen")*SUMIFS(TableECFTransport[EnergieConsumptieFactor (PJ per km)],TableECFTransport[Index],CONCATENATE($A8,"_CNG_CNG"))</f>
        <v>8.7110904324750224E-6</v>
      </c>
      <c r="E8" s="436">
        <f>vkm_2011_NGW_PW*SUMIFS(TableVerdeelsleutelVkm[LPG],TableVerdeelsleutelVkm[Voertuigtype],"Lichte voertuigen")*SUMIFS(TableECFTransport[EnergieConsumptieFactor (PJ per km)],TableECFTransport[Index],CONCATENATE($A8,"_LPG_LPG"))</f>
        <v>2.5199225941634342E-4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4.2715131539152205E-2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1.2713321540754835E-2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2.5083875816020833E-3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2.3636467574126449E-2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7.9467547459699827E-6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1.0666183477834577E-3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4.0625499631053748</v>
      </c>
      <c r="C14" s="21"/>
      <c r="D14" s="21">
        <f t="shared" ref="D14:M14" si="0">((D5)*10^9/3600)+D12</f>
        <v>6.8148616314480925</v>
      </c>
      <c r="E14" s="21">
        <f t="shared" si="0"/>
        <v>208.0339205600863</v>
      </c>
      <c r="F14" s="21"/>
      <c r="G14" s="21">
        <f t="shared" si="0"/>
        <v>92634.677821760532</v>
      </c>
      <c r="H14" s="21">
        <f t="shared" si="0"/>
        <v>10198.969201420465</v>
      </c>
      <c r="I14" s="21"/>
      <c r="J14" s="21"/>
      <c r="K14" s="21"/>
      <c r="L14" s="21"/>
      <c r="M14" s="21">
        <f t="shared" si="0"/>
        <v>4645.2858478217913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0.21061276191358799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0.85562486814156802</v>
      </c>
      <c r="C18" s="23"/>
      <c r="D18" s="23">
        <f t="shared" ref="D18:M18" si="1">D14*D16</f>
        <v>1.3766020495525149</v>
      </c>
      <c r="E18" s="23">
        <f t="shared" si="1"/>
        <v>47.223699967139595</v>
      </c>
      <c r="F18" s="23"/>
      <c r="G18" s="23">
        <f t="shared" si="1"/>
        <v>24733.458978410064</v>
      </c>
      <c r="H18" s="23">
        <f t="shared" si="1"/>
        <v>2539.5433311536958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2.7381779682086652E-3</v>
      </c>
      <c r="H50" s="323">
        <f t="shared" si="2"/>
        <v>0</v>
      </c>
      <c r="I50" s="323">
        <f t="shared" si="2"/>
        <v>0</v>
      </c>
      <c r="J50" s="323">
        <f t="shared" si="2"/>
        <v>0</v>
      </c>
      <c r="K50" s="323">
        <f t="shared" si="2"/>
        <v>0</v>
      </c>
      <c r="L50" s="323">
        <f t="shared" si="2"/>
        <v>0</v>
      </c>
      <c r="M50" s="323">
        <f t="shared" si="2"/>
        <v>1.2177347160057873E-4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2.7381779682086652E-3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1.2177347160057873E-4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760.60499116907363</v>
      </c>
      <c r="H54" s="21">
        <f t="shared" si="3"/>
        <v>0</v>
      </c>
      <c r="I54" s="21">
        <f t="shared" si="3"/>
        <v>0</v>
      </c>
      <c r="J54" s="21">
        <f t="shared" si="3"/>
        <v>0</v>
      </c>
      <c r="K54" s="21">
        <f t="shared" si="3"/>
        <v>0</v>
      </c>
      <c r="L54" s="21">
        <f t="shared" si="3"/>
        <v>0</v>
      </c>
      <c r="M54" s="21">
        <f t="shared" si="3"/>
        <v>33.825964333494092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0.21061276191358799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203.08153264214266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34436.177302329663</v>
      </c>
      <c r="D10" s="690">
        <f ca="1">tertiair!C16</f>
        <v>22.5</v>
      </c>
      <c r="E10" s="690">
        <f ca="1">tertiair!D16</f>
        <v>40155.635621356822</v>
      </c>
      <c r="F10" s="690">
        <f>tertiair!E16</f>
        <v>358.18871251802449</v>
      </c>
      <c r="G10" s="690">
        <f ca="1">tertiair!F16</f>
        <v>6269.6466846561925</v>
      </c>
      <c r="H10" s="690">
        <f>tertiair!G16</f>
        <v>0</v>
      </c>
      <c r="I10" s="690">
        <f>tertiair!H16</f>
        <v>0</v>
      </c>
      <c r="J10" s="690">
        <f>tertiair!I16</f>
        <v>0</v>
      </c>
      <c r="K10" s="690">
        <f>tertiair!J16</f>
        <v>0</v>
      </c>
      <c r="L10" s="690">
        <f>tertiair!K16</f>
        <v>0</v>
      </c>
      <c r="M10" s="690">
        <f ca="1">tertiair!L16</f>
        <v>0</v>
      </c>
      <c r="N10" s="690">
        <f>tertiair!M16</f>
        <v>0</v>
      </c>
      <c r="O10" s="690">
        <f ca="1">tertiair!N16</f>
        <v>1921.5377969360047</v>
      </c>
      <c r="P10" s="690">
        <f>tertiair!O16</f>
        <v>0</v>
      </c>
      <c r="Q10" s="691">
        <f>tertiair!P16</f>
        <v>0</v>
      </c>
      <c r="R10" s="693">
        <f ca="1">SUM(C10:Q10)</f>
        <v>83163.686117796708</v>
      </c>
      <c r="S10" s="67"/>
    </row>
    <row r="11" spans="1:19" s="458" customFormat="1">
      <c r="A11" s="805" t="s">
        <v>225</v>
      </c>
      <c r="B11" s="810"/>
      <c r="C11" s="690">
        <f>huishoudens!B8</f>
        <v>38221.205287034492</v>
      </c>
      <c r="D11" s="690">
        <f>huishoudens!C8</f>
        <v>0</v>
      </c>
      <c r="E11" s="690">
        <f>huishoudens!D8</f>
        <v>114443.48968968833</v>
      </c>
      <c r="F11" s="690">
        <f>huishoudens!E8</f>
        <v>5660.2006009278257</v>
      </c>
      <c r="G11" s="690">
        <f>huishoudens!F8</f>
        <v>18896.884910035773</v>
      </c>
      <c r="H11" s="690">
        <f>huishoudens!G8</f>
        <v>0</v>
      </c>
      <c r="I11" s="690">
        <f>huishoudens!H8</f>
        <v>0</v>
      </c>
      <c r="J11" s="690">
        <f>huishoudens!I8</f>
        <v>0</v>
      </c>
      <c r="K11" s="690">
        <f>huishoudens!J8</f>
        <v>6497.0870054732768</v>
      </c>
      <c r="L11" s="690">
        <f>huishoudens!K8</f>
        <v>0</v>
      </c>
      <c r="M11" s="690">
        <f>huishoudens!L8</f>
        <v>0</v>
      </c>
      <c r="N11" s="690">
        <f>huishoudens!M8</f>
        <v>0</v>
      </c>
      <c r="O11" s="690">
        <f>huishoudens!N8</f>
        <v>26621.054307681523</v>
      </c>
      <c r="P11" s="690">
        <f>huishoudens!O8</f>
        <v>101.61666666666667</v>
      </c>
      <c r="Q11" s="691">
        <f>huishoudens!P8</f>
        <v>305.06666666666666</v>
      </c>
      <c r="R11" s="693">
        <f>SUM(C11:Q11)</f>
        <v>210746.60513417452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58440.602393049739</v>
      </c>
      <c r="D13" s="690">
        <f>industrie!C18</f>
        <v>0</v>
      </c>
      <c r="E13" s="690">
        <f>industrie!D18</f>
        <v>90264.445181910123</v>
      </c>
      <c r="F13" s="690">
        <f>industrie!E18</f>
        <v>2114.7095042987357</v>
      </c>
      <c r="G13" s="690">
        <f>industrie!F18</f>
        <v>8673.5641770961647</v>
      </c>
      <c r="H13" s="690">
        <f>industrie!G18</f>
        <v>0</v>
      </c>
      <c r="I13" s="690">
        <f>industrie!H18</f>
        <v>0</v>
      </c>
      <c r="J13" s="690">
        <f>industrie!I18</f>
        <v>0</v>
      </c>
      <c r="K13" s="690">
        <f>industrie!J18</f>
        <v>51.170845430988265</v>
      </c>
      <c r="L13" s="690">
        <f>industrie!K18</f>
        <v>0</v>
      </c>
      <c r="M13" s="690">
        <f>industrie!L18</f>
        <v>0</v>
      </c>
      <c r="N13" s="690">
        <f>industrie!M18</f>
        <v>0</v>
      </c>
      <c r="O13" s="690">
        <f>industrie!N18</f>
        <v>5572.4627619532521</v>
      </c>
      <c r="P13" s="690">
        <f>industrie!O18</f>
        <v>0</v>
      </c>
      <c r="Q13" s="691">
        <f>industrie!P18</f>
        <v>0</v>
      </c>
      <c r="R13" s="693">
        <f>SUM(C13:Q13)</f>
        <v>165116.954863739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131097.98498241391</v>
      </c>
      <c r="D16" s="725">
        <f t="shared" ref="D16:R16" ca="1" si="0">SUM(D9:D15)</f>
        <v>22.5</v>
      </c>
      <c r="E16" s="725">
        <f t="shared" ca="1" si="0"/>
        <v>244863.57049295527</v>
      </c>
      <c r="F16" s="725">
        <f t="shared" si="0"/>
        <v>8133.0988177445861</v>
      </c>
      <c r="G16" s="725">
        <f t="shared" ca="1" si="0"/>
        <v>33840.095771788132</v>
      </c>
      <c r="H16" s="725">
        <f t="shared" si="0"/>
        <v>0</v>
      </c>
      <c r="I16" s="725">
        <f t="shared" si="0"/>
        <v>0</v>
      </c>
      <c r="J16" s="725">
        <f t="shared" si="0"/>
        <v>0</v>
      </c>
      <c r="K16" s="725">
        <f t="shared" si="0"/>
        <v>6548.2578509042651</v>
      </c>
      <c r="L16" s="725">
        <f t="shared" si="0"/>
        <v>0</v>
      </c>
      <c r="M16" s="725">
        <f t="shared" ca="1" si="0"/>
        <v>0</v>
      </c>
      <c r="N16" s="725">
        <f t="shared" si="0"/>
        <v>0</v>
      </c>
      <c r="O16" s="725">
        <f t="shared" ca="1" si="0"/>
        <v>34115.054866570783</v>
      </c>
      <c r="P16" s="725">
        <f t="shared" si="0"/>
        <v>101.61666666666667</v>
      </c>
      <c r="Q16" s="725">
        <f t="shared" si="0"/>
        <v>305.06666666666666</v>
      </c>
      <c r="R16" s="725">
        <f t="shared" ca="1" si="0"/>
        <v>459027.24611571024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760.60499116907363</v>
      </c>
      <c r="I19" s="690">
        <f>transport!H54</f>
        <v>0</v>
      </c>
      <c r="J19" s="690">
        <f>transport!I54</f>
        <v>0</v>
      </c>
      <c r="K19" s="690">
        <f>transport!J54</f>
        <v>0</v>
      </c>
      <c r="L19" s="690">
        <f>transport!K54</f>
        <v>0</v>
      </c>
      <c r="M19" s="690">
        <f>transport!L54</f>
        <v>0</v>
      </c>
      <c r="N19" s="690">
        <f>transport!M54</f>
        <v>33.825964333494092</v>
      </c>
      <c r="O19" s="690">
        <f>transport!N54</f>
        <v>0</v>
      </c>
      <c r="P19" s="690">
        <f>transport!O54</f>
        <v>0</v>
      </c>
      <c r="Q19" s="691">
        <f>transport!P54</f>
        <v>0</v>
      </c>
      <c r="R19" s="693">
        <f>SUM(C19:Q19)</f>
        <v>794.43095550256771</v>
      </c>
      <c r="S19" s="67"/>
    </row>
    <row r="20" spans="1:19" s="458" customFormat="1">
      <c r="A20" s="805" t="s">
        <v>307</v>
      </c>
      <c r="B20" s="810"/>
      <c r="C20" s="690">
        <f>transport!B14</f>
        <v>4.0625499631053748</v>
      </c>
      <c r="D20" s="690">
        <f>transport!C14</f>
        <v>0</v>
      </c>
      <c r="E20" s="690">
        <f>transport!D14</f>
        <v>6.8148616314480925</v>
      </c>
      <c r="F20" s="690">
        <f>transport!E14</f>
        <v>208.0339205600863</v>
      </c>
      <c r="G20" s="690">
        <f>transport!F14</f>
        <v>0</v>
      </c>
      <c r="H20" s="690">
        <f>transport!G14</f>
        <v>92634.677821760532</v>
      </c>
      <c r="I20" s="690">
        <f>transport!H14</f>
        <v>10198.969201420465</v>
      </c>
      <c r="J20" s="690">
        <f>transport!I14</f>
        <v>0</v>
      </c>
      <c r="K20" s="690">
        <f>transport!J14</f>
        <v>0</v>
      </c>
      <c r="L20" s="690">
        <f>transport!K14</f>
        <v>0</v>
      </c>
      <c r="M20" s="690">
        <f>transport!L14</f>
        <v>0</v>
      </c>
      <c r="N20" s="690">
        <f>transport!M14</f>
        <v>4645.2858478217913</v>
      </c>
      <c r="O20" s="690">
        <f>transport!N14</f>
        <v>0</v>
      </c>
      <c r="P20" s="690">
        <f>transport!O14</f>
        <v>0</v>
      </c>
      <c r="Q20" s="691">
        <f>transport!P14</f>
        <v>0</v>
      </c>
      <c r="R20" s="693">
        <f>SUM(C20:Q20)</f>
        <v>107697.84420315744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4.0625499631053748</v>
      </c>
      <c r="D22" s="808">
        <f t="shared" ref="D22:R22" si="1">SUM(D18:D21)</f>
        <v>0</v>
      </c>
      <c r="E22" s="808">
        <f t="shared" si="1"/>
        <v>6.8148616314480925</v>
      </c>
      <c r="F22" s="808">
        <f t="shared" si="1"/>
        <v>208.0339205600863</v>
      </c>
      <c r="G22" s="808">
        <f t="shared" si="1"/>
        <v>0</v>
      </c>
      <c r="H22" s="808">
        <f t="shared" si="1"/>
        <v>93395.28281292961</v>
      </c>
      <c r="I22" s="808">
        <f t="shared" si="1"/>
        <v>10198.969201420465</v>
      </c>
      <c r="J22" s="808">
        <f t="shared" si="1"/>
        <v>0</v>
      </c>
      <c r="K22" s="808">
        <f t="shared" si="1"/>
        <v>0</v>
      </c>
      <c r="L22" s="808">
        <f t="shared" si="1"/>
        <v>0</v>
      </c>
      <c r="M22" s="808">
        <f t="shared" si="1"/>
        <v>0</v>
      </c>
      <c r="N22" s="808">
        <f t="shared" si="1"/>
        <v>4679.1118121552854</v>
      </c>
      <c r="O22" s="808">
        <f t="shared" si="1"/>
        <v>0</v>
      </c>
      <c r="P22" s="808">
        <f t="shared" si="1"/>
        <v>0</v>
      </c>
      <c r="Q22" s="808">
        <f t="shared" si="1"/>
        <v>0</v>
      </c>
      <c r="R22" s="808">
        <f t="shared" si="1"/>
        <v>108492.27515866001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417.92201328843623</v>
      </c>
      <c r="D24" s="690">
        <f>+landbouw!C8</f>
        <v>0</v>
      </c>
      <c r="E24" s="690">
        <f>+landbouw!D8</f>
        <v>127.23328365315405</v>
      </c>
      <c r="F24" s="690">
        <f>+landbouw!E8</f>
        <v>5.2663557604537914</v>
      </c>
      <c r="G24" s="690">
        <f>+landbouw!F8</f>
        <v>1441.9356415652596</v>
      </c>
      <c r="H24" s="690">
        <f>+landbouw!G8</f>
        <v>0</v>
      </c>
      <c r="I24" s="690">
        <f>+landbouw!H8</f>
        <v>0</v>
      </c>
      <c r="J24" s="690">
        <f>+landbouw!I8</f>
        <v>0</v>
      </c>
      <c r="K24" s="690">
        <f>+landbouw!J8</f>
        <v>62.85072002880402</v>
      </c>
      <c r="L24" s="690">
        <f>+landbouw!K8</f>
        <v>0</v>
      </c>
      <c r="M24" s="690">
        <f>+landbouw!L8</f>
        <v>0</v>
      </c>
      <c r="N24" s="690">
        <f>+landbouw!M8</f>
        <v>0</v>
      </c>
      <c r="O24" s="690">
        <f>+landbouw!N8</f>
        <v>0</v>
      </c>
      <c r="P24" s="690">
        <f>+landbouw!O8</f>
        <v>0</v>
      </c>
      <c r="Q24" s="691">
        <f>+landbouw!P8</f>
        <v>0</v>
      </c>
      <c r="R24" s="693">
        <f>SUM(C24:Q24)</f>
        <v>2055.2080142961076</v>
      </c>
      <c r="S24" s="67"/>
    </row>
    <row r="25" spans="1:19" s="458" customFormat="1" ht="15" thickBot="1">
      <c r="A25" s="827" t="s">
        <v>872</v>
      </c>
      <c r="B25" s="1004"/>
      <c r="C25" s="1005">
        <f>IF(Onbekend_ele_kWh="---",0,Onbekend_ele_kWh)/1000+IF(REST_rest_ele_kWh="---",0,REST_rest_ele_kWh)/1000</f>
        <v>1441.80965978889</v>
      </c>
      <c r="D25" s="1005"/>
      <c r="E25" s="1005">
        <f>IF(onbekend_gas_kWh="---",0,onbekend_gas_kWh)/1000+IF(REST_rest_gas_kWh="---",0,REST_rest_gas_kWh)/1000</f>
        <v>17372.553530375902</v>
      </c>
      <c r="F25" s="1005"/>
      <c r="G25" s="1005"/>
      <c r="H25" s="1005"/>
      <c r="I25" s="1005"/>
      <c r="J25" s="1005"/>
      <c r="K25" s="1005"/>
      <c r="L25" s="1005"/>
      <c r="M25" s="1005"/>
      <c r="N25" s="1005"/>
      <c r="O25" s="1005"/>
      <c r="P25" s="1005"/>
      <c r="Q25" s="1006"/>
      <c r="R25" s="693">
        <f>SUM(C25:Q25)</f>
        <v>18814.363190164793</v>
      </c>
      <c r="S25" s="67"/>
    </row>
    <row r="26" spans="1:19" s="458" customFormat="1" ht="15.75" thickBot="1">
      <c r="A26" s="698" t="s">
        <v>873</v>
      </c>
      <c r="B26" s="813"/>
      <c r="C26" s="808">
        <f>SUM(C24:C25)</f>
        <v>1859.7316730773264</v>
      </c>
      <c r="D26" s="808">
        <f t="shared" ref="D26:R26" si="2">SUM(D24:D25)</f>
        <v>0</v>
      </c>
      <c r="E26" s="808">
        <f t="shared" si="2"/>
        <v>17499.786814029056</v>
      </c>
      <c r="F26" s="808">
        <f t="shared" si="2"/>
        <v>5.2663557604537914</v>
      </c>
      <c r="G26" s="808">
        <f t="shared" si="2"/>
        <v>1441.9356415652596</v>
      </c>
      <c r="H26" s="808">
        <f t="shared" si="2"/>
        <v>0</v>
      </c>
      <c r="I26" s="808">
        <f t="shared" si="2"/>
        <v>0</v>
      </c>
      <c r="J26" s="808">
        <f t="shared" si="2"/>
        <v>0</v>
      </c>
      <c r="K26" s="808">
        <f t="shared" si="2"/>
        <v>62.85072002880402</v>
      </c>
      <c r="L26" s="808">
        <f t="shared" si="2"/>
        <v>0</v>
      </c>
      <c r="M26" s="808">
        <f t="shared" si="2"/>
        <v>0</v>
      </c>
      <c r="N26" s="808">
        <f t="shared" si="2"/>
        <v>0</v>
      </c>
      <c r="O26" s="808">
        <f t="shared" si="2"/>
        <v>0</v>
      </c>
      <c r="P26" s="808">
        <f t="shared" si="2"/>
        <v>0</v>
      </c>
      <c r="Q26" s="808">
        <f t="shared" si="2"/>
        <v>0</v>
      </c>
      <c r="R26" s="808">
        <f t="shared" si="2"/>
        <v>20869.571204460903</v>
      </c>
      <c r="S26" s="67"/>
    </row>
    <row r="27" spans="1:19" s="458" customFormat="1" ht="17.25" thickTop="1" thickBot="1">
      <c r="A27" s="699" t="s">
        <v>116</v>
      </c>
      <c r="B27" s="800"/>
      <c r="C27" s="700">
        <f ca="1">C22+C16+C26</f>
        <v>132961.77920545434</v>
      </c>
      <c r="D27" s="700">
        <f t="shared" ref="D27:R27" ca="1" si="3">D22+D16+D26</f>
        <v>22.5</v>
      </c>
      <c r="E27" s="700">
        <f t="shared" ca="1" si="3"/>
        <v>262370.1721686158</v>
      </c>
      <c r="F27" s="700">
        <f t="shared" si="3"/>
        <v>8346.3990940651256</v>
      </c>
      <c r="G27" s="700">
        <f t="shared" ca="1" si="3"/>
        <v>35282.03141335339</v>
      </c>
      <c r="H27" s="700">
        <f t="shared" si="3"/>
        <v>93395.28281292961</v>
      </c>
      <c r="I27" s="700">
        <f t="shared" si="3"/>
        <v>10198.969201420465</v>
      </c>
      <c r="J27" s="700">
        <f t="shared" si="3"/>
        <v>0</v>
      </c>
      <c r="K27" s="700">
        <f t="shared" si="3"/>
        <v>6611.1085709330691</v>
      </c>
      <c r="L27" s="700">
        <f t="shared" si="3"/>
        <v>0</v>
      </c>
      <c r="M27" s="700">
        <f t="shared" ca="1" si="3"/>
        <v>0</v>
      </c>
      <c r="N27" s="700">
        <f t="shared" si="3"/>
        <v>4679.1118121552854</v>
      </c>
      <c r="O27" s="700">
        <f t="shared" ca="1" si="3"/>
        <v>34115.054866570783</v>
      </c>
      <c r="P27" s="700">
        <f t="shared" si="3"/>
        <v>101.61666666666667</v>
      </c>
      <c r="Q27" s="700">
        <f t="shared" si="3"/>
        <v>305.06666666666666</v>
      </c>
      <c r="R27" s="700">
        <f t="shared" ca="1" si="3"/>
        <v>588389.09247883118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7252.6984113896597</v>
      </c>
      <c r="D40" s="690">
        <f ca="1">tertiair!C20</f>
        <v>5.0500000000000007</v>
      </c>
      <c r="E40" s="690">
        <f ca="1">tertiair!D20</f>
        <v>8111.4383955140784</v>
      </c>
      <c r="F40" s="690">
        <f>tertiair!E20</f>
        <v>81.30883774159156</v>
      </c>
      <c r="G40" s="690">
        <f ca="1">tertiair!F20</f>
        <v>1673.9956648032035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17124.491309448531</v>
      </c>
    </row>
    <row r="41" spans="1:18">
      <c r="A41" s="818" t="s">
        <v>225</v>
      </c>
      <c r="B41" s="825"/>
      <c r="C41" s="690">
        <f ca="1">huishoudens!B12</f>
        <v>8049.873609168566</v>
      </c>
      <c r="D41" s="690">
        <f ca="1">huishoudens!C12</f>
        <v>0</v>
      </c>
      <c r="E41" s="690">
        <f>huishoudens!D12</f>
        <v>23117.584917317043</v>
      </c>
      <c r="F41" s="690">
        <f>huishoudens!E12</f>
        <v>1284.8655364106164</v>
      </c>
      <c r="G41" s="690">
        <f>huishoudens!F12</f>
        <v>5045.4682709795516</v>
      </c>
      <c r="H41" s="690">
        <f>huishoudens!G12</f>
        <v>0</v>
      </c>
      <c r="I41" s="690">
        <f>huishoudens!H12</f>
        <v>0</v>
      </c>
      <c r="J41" s="690">
        <f>huishoudens!I12</f>
        <v>0</v>
      </c>
      <c r="K41" s="690">
        <f>huishoudens!J12</f>
        <v>2299.9687999375396</v>
      </c>
      <c r="L41" s="690">
        <f>huishoudens!K12</f>
        <v>0</v>
      </c>
      <c r="M41" s="690">
        <f>huishoudens!L12</f>
        <v>0</v>
      </c>
      <c r="N41" s="690">
        <f>huishoudens!M12</f>
        <v>0</v>
      </c>
      <c r="O41" s="690">
        <f>huishoudens!N12</f>
        <v>0</v>
      </c>
      <c r="P41" s="690">
        <f>huishoudens!O12</f>
        <v>0</v>
      </c>
      <c r="Q41" s="767">
        <f>huishoudens!P12</f>
        <v>0</v>
      </c>
      <c r="R41" s="846">
        <f t="shared" ca="1" si="4"/>
        <v>39797.761133813314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12308.336677894045</v>
      </c>
      <c r="D43" s="690">
        <f ca="1">industrie!C22</f>
        <v>0</v>
      </c>
      <c r="E43" s="690">
        <f>industrie!D22</f>
        <v>18233.417926745846</v>
      </c>
      <c r="F43" s="690">
        <f>industrie!E22</f>
        <v>480.03905747581302</v>
      </c>
      <c r="G43" s="690">
        <f>industrie!F22</f>
        <v>2315.8416352846762</v>
      </c>
      <c r="H43" s="690">
        <f>industrie!G22</f>
        <v>0</v>
      </c>
      <c r="I43" s="690">
        <f>industrie!H22</f>
        <v>0</v>
      </c>
      <c r="J43" s="690">
        <f>industrie!I22</f>
        <v>0</v>
      </c>
      <c r="K43" s="690">
        <f>industrie!J22</f>
        <v>18.114479282569846</v>
      </c>
      <c r="L43" s="690">
        <f>industrie!K22</f>
        <v>0</v>
      </c>
      <c r="M43" s="690">
        <f>industrie!L22</f>
        <v>0</v>
      </c>
      <c r="N43" s="690">
        <f>industrie!M22</f>
        <v>0</v>
      </c>
      <c r="O43" s="690">
        <f>industrie!N22</f>
        <v>0</v>
      </c>
      <c r="P43" s="690">
        <f>industrie!O22</f>
        <v>0</v>
      </c>
      <c r="Q43" s="767">
        <f>industrie!P22</f>
        <v>0</v>
      </c>
      <c r="R43" s="845">
        <f t="shared" ca="1" si="4"/>
        <v>33355.749776682955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27610.908698452273</v>
      </c>
      <c r="D46" s="725">
        <f t="shared" ref="D46:Q46" ca="1" si="5">SUM(D39:D45)</f>
        <v>5.0500000000000007</v>
      </c>
      <c r="E46" s="725">
        <f t="shared" ca="1" si="5"/>
        <v>49462.441239576969</v>
      </c>
      <c r="F46" s="725">
        <f t="shared" si="5"/>
        <v>1846.213431628021</v>
      </c>
      <c r="G46" s="725">
        <f t="shared" ca="1" si="5"/>
        <v>9035.3055710674307</v>
      </c>
      <c r="H46" s="725">
        <f t="shared" si="5"/>
        <v>0</v>
      </c>
      <c r="I46" s="725">
        <f t="shared" si="5"/>
        <v>0</v>
      </c>
      <c r="J46" s="725">
        <f t="shared" si="5"/>
        <v>0</v>
      </c>
      <c r="K46" s="725">
        <f t="shared" si="5"/>
        <v>2318.0832792201095</v>
      </c>
      <c r="L46" s="725">
        <f t="shared" si="5"/>
        <v>0</v>
      </c>
      <c r="M46" s="725">
        <f t="shared" ca="1" si="5"/>
        <v>0</v>
      </c>
      <c r="N46" s="725">
        <f t="shared" si="5"/>
        <v>0</v>
      </c>
      <c r="O46" s="725">
        <f t="shared" ca="1" si="5"/>
        <v>0</v>
      </c>
      <c r="P46" s="725">
        <f t="shared" si="5"/>
        <v>0</v>
      </c>
      <c r="Q46" s="725">
        <f t="shared" si="5"/>
        <v>0</v>
      </c>
      <c r="R46" s="725">
        <f ca="1">SUM(R39:R45)</f>
        <v>90278.002219944799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203.08153264214266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203.08153264214266</v>
      </c>
    </row>
    <row r="50" spans="1:18">
      <c r="A50" s="821" t="s">
        <v>307</v>
      </c>
      <c r="B50" s="831"/>
      <c r="C50" s="696">
        <f ca="1">transport!B18</f>
        <v>0.85562486814156802</v>
      </c>
      <c r="D50" s="696">
        <f>transport!C18</f>
        <v>0</v>
      </c>
      <c r="E50" s="696">
        <f>transport!D18</f>
        <v>1.3766020495525149</v>
      </c>
      <c r="F50" s="696">
        <f>transport!E18</f>
        <v>47.223699967139595</v>
      </c>
      <c r="G50" s="696">
        <f>transport!F18</f>
        <v>0</v>
      </c>
      <c r="H50" s="696">
        <f>transport!G18</f>
        <v>24733.458978410064</v>
      </c>
      <c r="I50" s="696">
        <f>transport!H18</f>
        <v>2539.5433311536958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27322.458236448594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0.85562486814156802</v>
      </c>
      <c r="D52" s="725">
        <f t="shared" ref="D52:Q52" ca="1" si="6">SUM(D48:D51)</f>
        <v>0</v>
      </c>
      <c r="E52" s="725">
        <f t="shared" si="6"/>
        <v>1.3766020495525149</v>
      </c>
      <c r="F52" s="725">
        <f t="shared" si="6"/>
        <v>47.223699967139595</v>
      </c>
      <c r="G52" s="725">
        <f t="shared" si="6"/>
        <v>0</v>
      </c>
      <c r="H52" s="725">
        <f t="shared" si="6"/>
        <v>24936.540511052208</v>
      </c>
      <c r="I52" s="725">
        <f t="shared" si="6"/>
        <v>2539.5433311536958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27525.539769090738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88.019709483164775</v>
      </c>
      <c r="D54" s="696">
        <f ca="1">+landbouw!C12</f>
        <v>0</v>
      </c>
      <c r="E54" s="696">
        <f>+landbouw!D12</f>
        <v>25.701123297937119</v>
      </c>
      <c r="F54" s="696">
        <f>+landbouw!E12</f>
        <v>1.1954627576230106</v>
      </c>
      <c r="G54" s="696">
        <f>+landbouw!F12</f>
        <v>384.99681629792434</v>
      </c>
      <c r="H54" s="696">
        <f>+landbouw!G12</f>
        <v>0</v>
      </c>
      <c r="I54" s="696">
        <f>+landbouw!H12</f>
        <v>0</v>
      </c>
      <c r="J54" s="696">
        <f>+landbouw!I12</f>
        <v>0</v>
      </c>
      <c r="K54" s="696">
        <f>+landbouw!J12</f>
        <v>22.249154890196621</v>
      </c>
      <c r="L54" s="696">
        <f>+landbouw!K12</f>
        <v>0</v>
      </c>
      <c r="M54" s="696">
        <f>+landbouw!L12</f>
        <v>0</v>
      </c>
      <c r="N54" s="696">
        <f>+landbouw!M12</f>
        <v>0</v>
      </c>
      <c r="O54" s="696">
        <f>+landbouw!N12</f>
        <v>0</v>
      </c>
      <c r="P54" s="696">
        <f>+landbouw!O12</f>
        <v>0</v>
      </c>
      <c r="Q54" s="697">
        <f>+landbouw!P12</f>
        <v>0</v>
      </c>
      <c r="R54" s="724">
        <f ca="1">SUM(C54:Q54)</f>
        <v>522.16226672684593</v>
      </c>
    </row>
    <row r="55" spans="1:18" ht="15" thickBot="1">
      <c r="A55" s="821" t="s">
        <v>872</v>
      </c>
      <c r="B55" s="831"/>
      <c r="C55" s="696">
        <f ca="1">C25*'EF ele_warmte'!B12</f>
        <v>303.66351460182881</v>
      </c>
      <c r="D55" s="696"/>
      <c r="E55" s="696">
        <f>E25*EF_CO2_aardgas</f>
        <v>3509.2558131359324</v>
      </c>
      <c r="F55" s="696"/>
      <c r="G55" s="696"/>
      <c r="H55" s="696"/>
      <c r="I55" s="696"/>
      <c r="J55" s="696"/>
      <c r="K55" s="696"/>
      <c r="L55" s="696"/>
      <c r="M55" s="696"/>
      <c r="N55" s="696"/>
      <c r="O55" s="696"/>
      <c r="P55" s="696"/>
      <c r="Q55" s="697"/>
      <c r="R55" s="724">
        <f ca="1">SUM(C55:Q55)</f>
        <v>3812.9193277377613</v>
      </c>
    </row>
    <row r="56" spans="1:18" ht="15.75" thickBot="1">
      <c r="A56" s="819" t="s">
        <v>873</v>
      </c>
      <c r="B56" s="832"/>
      <c r="C56" s="725">
        <f ca="1">SUM(C54:C55)</f>
        <v>391.68322408499358</v>
      </c>
      <c r="D56" s="725">
        <f t="shared" ref="D56:Q56" ca="1" si="7">SUM(D54:D55)</f>
        <v>0</v>
      </c>
      <c r="E56" s="725">
        <f t="shared" si="7"/>
        <v>3534.9569364338695</v>
      </c>
      <c r="F56" s="725">
        <f t="shared" si="7"/>
        <v>1.1954627576230106</v>
      </c>
      <c r="G56" s="725">
        <f t="shared" si="7"/>
        <v>384.99681629792434</v>
      </c>
      <c r="H56" s="725">
        <f t="shared" si="7"/>
        <v>0</v>
      </c>
      <c r="I56" s="725">
        <f t="shared" si="7"/>
        <v>0</v>
      </c>
      <c r="J56" s="725">
        <f t="shared" si="7"/>
        <v>0</v>
      </c>
      <c r="K56" s="725">
        <f t="shared" si="7"/>
        <v>22.249154890196621</v>
      </c>
      <c r="L56" s="725">
        <f t="shared" si="7"/>
        <v>0</v>
      </c>
      <c r="M56" s="725">
        <f t="shared" si="7"/>
        <v>0</v>
      </c>
      <c r="N56" s="725">
        <f t="shared" si="7"/>
        <v>0</v>
      </c>
      <c r="O56" s="725">
        <f t="shared" si="7"/>
        <v>0</v>
      </c>
      <c r="P56" s="725">
        <f t="shared" si="7"/>
        <v>0</v>
      </c>
      <c r="Q56" s="726">
        <f t="shared" si="7"/>
        <v>0</v>
      </c>
      <c r="R56" s="727">
        <f ca="1">SUM(R54:R55)</f>
        <v>4335.0815944646074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28003.447547405409</v>
      </c>
      <c r="D61" s="733">
        <f t="shared" ref="D61:Q61" ca="1" si="8">D46+D52+D56</f>
        <v>5.0500000000000007</v>
      </c>
      <c r="E61" s="733">
        <f t="shared" ca="1" si="8"/>
        <v>52998.77477806039</v>
      </c>
      <c r="F61" s="733">
        <f t="shared" si="8"/>
        <v>1894.6325943527836</v>
      </c>
      <c r="G61" s="733">
        <f t="shared" ca="1" si="8"/>
        <v>9420.3023873653547</v>
      </c>
      <c r="H61" s="733">
        <f t="shared" si="8"/>
        <v>24936.540511052208</v>
      </c>
      <c r="I61" s="733">
        <f t="shared" si="8"/>
        <v>2539.5433311536958</v>
      </c>
      <c r="J61" s="733">
        <f t="shared" si="8"/>
        <v>0</v>
      </c>
      <c r="K61" s="733">
        <f t="shared" si="8"/>
        <v>2340.3324341103062</v>
      </c>
      <c r="L61" s="733">
        <f t="shared" si="8"/>
        <v>0</v>
      </c>
      <c r="M61" s="733">
        <f t="shared" ca="1" si="8"/>
        <v>0</v>
      </c>
      <c r="N61" s="733">
        <f t="shared" si="8"/>
        <v>0</v>
      </c>
      <c r="O61" s="733">
        <f t="shared" ca="1" si="8"/>
        <v>0</v>
      </c>
      <c r="P61" s="733">
        <f t="shared" si="8"/>
        <v>0</v>
      </c>
      <c r="Q61" s="733">
        <f t="shared" si="8"/>
        <v>0</v>
      </c>
      <c r="R61" s="733">
        <f ca="1">R46+R52+R56</f>
        <v>122138.62358350014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0.21061276191358799</v>
      </c>
      <c r="D63" s="776">
        <f t="shared" ca="1" si="9"/>
        <v>0.22444444444444447</v>
      </c>
      <c r="E63" s="1011">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6249.4170000000004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6249.4170000000004</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6249.4170000000004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6253.9170000000004</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45041</v>
      </c>
      <c r="C28" s="791">
        <v>9600</v>
      </c>
      <c r="D28" s="644" t="s">
        <v>913</v>
      </c>
      <c r="E28" s="643" t="s">
        <v>914</v>
      </c>
      <c r="F28" s="643" t="s">
        <v>915</v>
      </c>
      <c r="G28" s="643" t="s">
        <v>916</v>
      </c>
      <c r="H28" s="643" t="s">
        <v>916</v>
      </c>
      <c r="I28" s="643" t="s">
        <v>917</v>
      </c>
      <c r="J28" s="790">
        <v>41031</v>
      </c>
      <c r="K28" s="790">
        <v>41091</v>
      </c>
      <c r="L28" s="643" t="s">
        <v>918</v>
      </c>
      <c r="M28" s="643">
        <v>1</v>
      </c>
      <c r="N28" s="643">
        <v>4.5</v>
      </c>
      <c r="O28" s="643">
        <v>22.5</v>
      </c>
      <c r="P28" s="643">
        <v>30</v>
      </c>
      <c r="Q28" s="643">
        <v>0</v>
      </c>
      <c r="R28" s="643">
        <v>0</v>
      </c>
      <c r="S28" s="643">
        <v>0</v>
      </c>
      <c r="T28" s="643">
        <v>0</v>
      </c>
      <c r="U28" s="643">
        <v>0</v>
      </c>
      <c r="V28" s="643">
        <v>0</v>
      </c>
      <c r="W28" s="643">
        <v>0</v>
      </c>
      <c r="X28" s="643">
        <v>1300</v>
      </c>
      <c r="Y28" s="643" t="s">
        <v>54</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38221.205287034492</v>
      </c>
      <c r="C4" s="462">
        <f>huishoudens!C8</f>
        <v>0</v>
      </c>
      <c r="D4" s="462">
        <f>huishoudens!D8</f>
        <v>114443.48968968833</v>
      </c>
      <c r="E4" s="462">
        <f>huishoudens!E8</f>
        <v>5660.2006009278257</v>
      </c>
      <c r="F4" s="462">
        <f>huishoudens!F8</f>
        <v>18896.884910035773</v>
      </c>
      <c r="G4" s="462">
        <f>huishoudens!G8</f>
        <v>0</v>
      </c>
      <c r="H4" s="462">
        <f>huishoudens!H8</f>
        <v>0</v>
      </c>
      <c r="I4" s="462">
        <f>huishoudens!I8</f>
        <v>0</v>
      </c>
      <c r="J4" s="462">
        <f>huishoudens!J8</f>
        <v>6497.0870054732768</v>
      </c>
      <c r="K4" s="462">
        <f>huishoudens!K8</f>
        <v>0</v>
      </c>
      <c r="L4" s="462">
        <f>huishoudens!L8</f>
        <v>0</v>
      </c>
      <c r="M4" s="462">
        <f>huishoudens!M8</f>
        <v>0</v>
      </c>
      <c r="N4" s="462">
        <f>huishoudens!N8</f>
        <v>26621.054307681523</v>
      </c>
      <c r="O4" s="462">
        <f>huishoudens!O8</f>
        <v>101.61666666666667</v>
      </c>
      <c r="P4" s="463">
        <f>huishoudens!P8</f>
        <v>305.06666666666666</v>
      </c>
      <c r="Q4" s="464">
        <f>SUM(B4:P4)</f>
        <v>210746.60513417452</v>
      </c>
    </row>
    <row r="5" spans="1:17">
      <c r="A5" s="461" t="s">
        <v>156</v>
      </c>
      <c r="B5" s="462">
        <f ca="1">tertiair!B16</f>
        <v>32555.696302329659</v>
      </c>
      <c r="C5" s="462">
        <f ca="1">tertiair!C16</f>
        <v>22.5</v>
      </c>
      <c r="D5" s="462">
        <f ca="1">tertiair!D16</f>
        <v>40155.635621356822</v>
      </c>
      <c r="E5" s="462">
        <f>tertiair!E16</f>
        <v>358.18871251802449</v>
      </c>
      <c r="F5" s="462">
        <f ca="1">tertiair!F16</f>
        <v>6269.6466846561925</v>
      </c>
      <c r="G5" s="462">
        <f>tertiair!G16</f>
        <v>0</v>
      </c>
      <c r="H5" s="462">
        <f>tertiair!H16</f>
        <v>0</v>
      </c>
      <c r="I5" s="462">
        <f>tertiair!I16</f>
        <v>0</v>
      </c>
      <c r="J5" s="462">
        <f>tertiair!J16</f>
        <v>0</v>
      </c>
      <c r="K5" s="462">
        <f>tertiair!K16</f>
        <v>0</v>
      </c>
      <c r="L5" s="462">
        <f ca="1">tertiair!L16</f>
        <v>0</v>
      </c>
      <c r="M5" s="462">
        <f>tertiair!M16</f>
        <v>0</v>
      </c>
      <c r="N5" s="462">
        <f ca="1">tertiair!N16</f>
        <v>1921.5377969360047</v>
      </c>
      <c r="O5" s="462">
        <f>tertiair!O16</f>
        <v>0</v>
      </c>
      <c r="P5" s="463">
        <f>tertiair!P16</f>
        <v>0</v>
      </c>
      <c r="Q5" s="461">
        <f t="shared" ref="Q5:Q14" ca="1" si="0">SUM(B5:P5)</f>
        <v>81283.205117796693</v>
      </c>
    </row>
    <row r="6" spans="1:17">
      <c r="A6" s="461" t="s">
        <v>194</v>
      </c>
      <c r="B6" s="462">
        <f>'openbare verlichting'!B8</f>
        <v>1880.481</v>
      </c>
      <c r="C6" s="462"/>
      <c r="D6" s="462"/>
      <c r="E6" s="462"/>
      <c r="F6" s="462"/>
      <c r="G6" s="462"/>
      <c r="H6" s="462"/>
      <c r="I6" s="462"/>
      <c r="J6" s="462"/>
      <c r="K6" s="462"/>
      <c r="L6" s="462"/>
      <c r="M6" s="462"/>
      <c r="N6" s="462"/>
      <c r="O6" s="462"/>
      <c r="P6" s="463"/>
      <c r="Q6" s="461">
        <f t="shared" si="0"/>
        <v>1880.481</v>
      </c>
    </row>
    <row r="7" spans="1:17">
      <c r="A7" s="461" t="s">
        <v>112</v>
      </c>
      <c r="B7" s="462">
        <f>landbouw!B8</f>
        <v>417.92201328843623</v>
      </c>
      <c r="C7" s="462">
        <f>landbouw!C8</f>
        <v>0</v>
      </c>
      <c r="D7" s="462">
        <f>landbouw!D8</f>
        <v>127.23328365315405</v>
      </c>
      <c r="E7" s="462">
        <f>landbouw!E8</f>
        <v>5.2663557604537914</v>
      </c>
      <c r="F7" s="462">
        <f>landbouw!F8</f>
        <v>1441.9356415652596</v>
      </c>
      <c r="G7" s="462">
        <f>landbouw!G8</f>
        <v>0</v>
      </c>
      <c r="H7" s="462">
        <f>landbouw!H8</f>
        <v>0</v>
      </c>
      <c r="I7" s="462">
        <f>landbouw!I8</f>
        <v>0</v>
      </c>
      <c r="J7" s="462">
        <f>landbouw!J8</f>
        <v>62.85072002880402</v>
      </c>
      <c r="K7" s="462">
        <f>landbouw!K8</f>
        <v>0</v>
      </c>
      <c r="L7" s="462">
        <f>landbouw!L8</f>
        <v>0</v>
      </c>
      <c r="M7" s="462">
        <f>landbouw!M8</f>
        <v>0</v>
      </c>
      <c r="N7" s="462">
        <f>landbouw!N8</f>
        <v>0</v>
      </c>
      <c r="O7" s="462">
        <f>landbouw!O8</f>
        <v>0</v>
      </c>
      <c r="P7" s="463">
        <f>landbouw!P8</f>
        <v>0</v>
      </c>
      <c r="Q7" s="461">
        <f t="shared" si="0"/>
        <v>2055.2080142961076</v>
      </c>
    </row>
    <row r="8" spans="1:17">
      <c r="A8" s="461" t="s">
        <v>657</v>
      </c>
      <c r="B8" s="462">
        <f>industrie!B18</f>
        <v>58440.602393049739</v>
      </c>
      <c r="C8" s="462">
        <f>industrie!C18</f>
        <v>0</v>
      </c>
      <c r="D8" s="462">
        <f>industrie!D18</f>
        <v>90264.445181910123</v>
      </c>
      <c r="E8" s="462">
        <f>industrie!E18</f>
        <v>2114.7095042987357</v>
      </c>
      <c r="F8" s="462">
        <f>industrie!F18</f>
        <v>8673.5641770961647</v>
      </c>
      <c r="G8" s="462">
        <f>industrie!G18</f>
        <v>0</v>
      </c>
      <c r="H8" s="462">
        <f>industrie!H18</f>
        <v>0</v>
      </c>
      <c r="I8" s="462">
        <f>industrie!I18</f>
        <v>0</v>
      </c>
      <c r="J8" s="462">
        <f>industrie!J18</f>
        <v>51.170845430988265</v>
      </c>
      <c r="K8" s="462">
        <f>industrie!K18</f>
        <v>0</v>
      </c>
      <c r="L8" s="462">
        <f>industrie!L18</f>
        <v>0</v>
      </c>
      <c r="M8" s="462">
        <f>industrie!M18</f>
        <v>0</v>
      </c>
      <c r="N8" s="462">
        <f>industrie!N18</f>
        <v>5572.4627619532521</v>
      </c>
      <c r="O8" s="462">
        <f>industrie!O18</f>
        <v>0</v>
      </c>
      <c r="P8" s="463">
        <f>industrie!P18</f>
        <v>0</v>
      </c>
      <c r="Q8" s="461">
        <f t="shared" si="0"/>
        <v>165116.954863739</v>
      </c>
    </row>
    <row r="9" spans="1:17" s="467" customFormat="1">
      <c r="A9" s="465" t="s">
        <v>574</v>
      </c>
      <c r="B9" s="466">
        <f>transport!B14</f>
        <v>4.0625499631053748</v>
      </c>
      <c r="C9" s="466">
        <f>transport!C14</f>
        <v>0</v>
      </c>
      <c r="D9" s="466">
        <f>transport!D14</f>
        <v>6.8148616314480925</v>
      </c>
      <c r="E9" s="466">
        <f>transport!E14</f>
        <v>208.0339205600863</v>
      </c>
      <c r="F9" s="466">
        <f>transport!F14</f>
        <v>0</v>
      </c>
      <c r="G9" s="466">
        <f>transport!G14</f>
        <v>92634.677821760532</v>
      </c>
      <c r="H9" s="466">
        <f>transport!H14</f>
        <v>10198.969201420465</v>
      </c>
      <c r="I9" s="466">
        <f>transport!I14</f>
        <v>0</v>
      </c>
      <c r="J9" s="466">
        <f>transport!J14</f>
        <v>0</v>
      </c>
      <c r="K9" s="466">
        <f>transport!K14</f>
        <v>0</v>
      </c>
      <c r="L9" s="466">
        <f>transport!L14</f>
        <v>0</v>
      </c>
      <c r="M9" s="466">
        <f>transport!M14</f>
        <v>4645.2858478217913</v>
      </c>
      <c r="N9" s="466">
        <f>transport!N14</f>
        <v>0</v>
      </c>
      <c r="O9" s="466">
        <f>transport!O14</f>
        <v>0</v>
      </c>
      <c r="P9" s="466">
        <f>transport!P14</f>
        <v>0</v>
      </c>
      <c r="Q9" s="465">
        <f>SUM(B9:P9)</f>
        <v>107697.84420315744</v>
      </c>
    </row>
    <row r="10" spans="1:17">
      <c r="A10" s="461" t="s">
        <v>564</v>
      </c>
      <c r="B10" s="462">
        <f>transport!B54</f>
        <v>0</v>
      </c>
      <c r="C10" s="462">
        <f>transport!C54</f>
        <v>0</v>
      </c>
      <c r="D10" s="462">
        <f>transport!D54</f>
        <v>0</v>
      </c>
      <c r="E10" s="462">
        <f>transport!E54</f>
        <v>0</v>
      </c>
      <c r="F10" s="462">
        <f>transport!F54</f>
        <v>0</v>
      </c>
      <c r="G10" s="462">
        <f>transport!G54</f>
        <v>760.60499116907363</v>
      </c>
      <c r="H10" s="462">
        <f>transport!H54</f>
        <v>0</v>
      </c>
      <c r="I10" s="462">
        <f>transport!I54</f>
        <v>0</v>
      </c>
      <c r="J10" s="462">
        <f>transport!J54</f>
        <v>0</v>
      </c>
      <c r="K10" s="462">
        <f>transport!K54</f>
        <v>0</v>
      </c>
      <c r="L10" s="462">
        <f>transport!L54</f>
        <v>0</v>
      </c>
      <c r="M10" s="462">
        <f>transport!M54</f>
        <v>33.825964333494092</v>
      </c>
      <c r="N10" s="462">
        <f>transport!N54</f>
        <v>0</v>
      </c>
      <c r="O10" s="462">
        <f>transport!O54</f>
        <v>0</v>
      </c>
      <c r="P10" s="463">
        <f>transport!P54</f>
        <v>0</v>
      </c>
      <c r="Q10" s="461">
        <f t="shared" si="0"/>
        <v>794.43095550256771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1441.80965978889</v>
      </c>
      <c r="C14" s="469"/>
      <c r="D14" s="469">
        <f>'SEAP template'!E25</f>
        <v>17372.553530375902</v>
      </c>
      <c r="E14" s="469"/>
      <c r="F14" s="469"/>
      <c r="G14" s="469"/>
      <c r="H14" s="469"/>
      <c r="I14" s="469"/>
      <c r="J14" s="469"/>
      <c r="K14" s="469"/>
      <c r="L14" s="469"/>
      <c r="M14" s="469"/>
      <c r="N14" s="469"/>
      <c r="O14" s="469"/>
      <c r="P14" s="470"/>
      <c r="Q14" s="461">
        <f t="shared" si="0"/>
        <v>18814.363190164793</v>
      </c>
    </row>
    <row r="15" spans="1:17" s="474" customFormat="1">
      <c r="A15" s="471" t="s">
        <v>568</v>
      </c>
      <c r="B15" s="472">
        <f ca="1">SUM(B4:B14)</f>
        <v>132961.77920545431</v>
      </c>
      <c r="C15" s="472">
        <f t="shared" ref="C15:Q15" ca="1" si="1">SUM(C4:C14)</f>
        <v>22.5</v>
      </c>
      <c r="D15" s="472">
        <f t="shared" ca="1" si="1"/>
        <v>262370.1721686158</v>
      </c>
      <c r="E15" s="472">
        <f t="shared" si="1"/>
        <v>8346.3990940651256</v>
      </c>
      <c r="F15" s="472">
        <f t="shared" ca="1" si="1"/>
        <v>35282.03141335339</v>
      </c>
      <c r="G15" s="472">
        <f t="shared" si="1"/>
        <v>93395.28281292961</v>
      </c>
      <c r="H15" s="472">
        <f t="shared" si="1"/>
        <v>10198.969201420465</v>
      </c>
      <c r="I15" s="472">
        <f t="shared" si="1"/>
        <v>0</v>
      </c>
      <c r="J15" s="472">
        <f t="shared" si="1"/>
        <v>6611.1085709330691</v>
      </c>
      <c r="K15" s="472">
        <f t="shared" si="1"/>
        <v>0</v>
      </c>
      <c r="L15" s="472">
        <f t="shared" ca="1" si="1"/>
        <v>0</v>
      </c>
      <c r="M15" s="472">
        <f t="shared" si="1"/>
        <v>4679.1118121552854</v>
      </c>
      <c r="N15" s="472">
        <f t="shared" ca="1" si="1"/>
        <v>34115.054866570783</v>
      </c>
      <c r="O15" s="472">
        <f t="shared" si="1"/>
        <v>101.61666666666667</v>
      </c>
      <c r="P15" s="472">
        <f t="shared" si="1"/>
        <v>305.06666666666666</v>
      </c>
      <c r="Q15" s="472">
        <f t="shared" ca="1" si="1"/>
        <v>588389.09247883118</v>
      </c>
    </row>
    <row r="17" spans="1:17">
      <c r="A17" s="475" t="s">
        <v>569</v>
      </c>
      <c r="B17" s="781">
        <f ca="1">huishoudens!B10</f>
        <v>0.21061276191358799</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8049.873609168566</v>
      </c>
      <c r="C22" s="462">
        <f t="shared" ref="C22:C32" ca="1" si="3">C4*$C$17</f>
        <v>0</v>
      </c>
      <c r="D22" s="462">
        <f t="shared" ref="D22:D32" si="4">D4*$D$17</f>
        <v>23117.584917317043</v>
      </c>
      <c r="E22" s="462">
        <f t="shared" ref="E22:E32" si="5">E4*$E$17</f>
        <v>1284.8655364106164</v>
      </c>
      <c r="F22" s="462">
        <f t="shared" ref="F22:F32" si="6">F4*$F$17</f>
        <v>5045.4682709795516</v>
      </c>
      <c r="G22" s="462">
        <f t="shared" ref="G22:G32" si="7">G4*$G$17</f>
        <v>0</v>
      </c>
      <c r="H22" s="462">
        <f t="shared" ref="H22:H32" si="8">H4*$H$17</f>
        <v>0</v>
      </c>
      <c r="I22" s="462">
        <f t="shared" ref="I22:I32" si="9">I4*$I$17</f>
        <v>0</v>
      </c>
      <c r="J22" s="462">
        <f t="shared" ref="J22:J32" si="10">J4*$J$17</f>
        <v>2299.9687999375396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39797.761133813314</v>
      </c>
    </row>
    <row r="23" spans="1:17">
      <c r="A23" s="461" t="s">
        <v>156</v>
      </c>
      <c r="B23" s="462">
        <f t="shared" ca="1" si="2"/>
        <v>6856.6451142536334</v>
      </c>
      <c r="C23" s="462">
        <f t="shared" ca="1" si="3"/>
        <v>5.0500000000000007</v>
      </c>
      <c r="D23" s="462">
        <f t="shared" ca="1" si="4"/>
        <v>8111.4383955140784</v>
      </c>
      <c r="E23" s="462">
        <f t="shared" si="5"/>
        <v>81.30883774159156</v>
      </c>
      <c r="F23" s="462">
        <f t="shared" ca="1" si="6"/>
        <v>1673.9956648032035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16728.438012312505</v>
      </c>
    </row>
    <row r="24" spans="1:17">
      <c r="A24" s="461" t="s">
        <v>194</v>
      </c>
      <c r="B24" s="462">
        <f t="shared" ca="1" si="2"/>
        <v>396.05329713602583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396.05329713602583</v>
      </c>
    </row>
    <row r="25" spans="1:17">
      <c r="A25" s="461" t="s">
        <v>112</v>
      </c>
      <c r="B25" s="462">
        <f t="shared" ca="1" si="2"/>
        <v>88.019709483164775</v>
      </c>
      <c r="C25" s="462">
        <f t="shared" ca="1" si="3"/>
        <v>0</v>
      </c>
      <c r="D25" s="462">
        <f t="shared" si="4"/>
        <v>25.701123297937119</v>
      </c>
      <c r="E25" s="462">
        <f t="shared" si="5"/>
        <v>1.1954627576230106</v>
      </c>
      <c r="F25" s="462">
        <f t="shared" si="6"/>
        <v>384.99681629792434</v>
      </c>
      <c r="G25" s="462">
        <f t="shared" si="7"/>
        <v>0</v>
      </c>
      <c r="H25" s="462">
        <f t="shared" si="8"/>
        <v>0</v>
      </c>
      <c r="I25" s="462">
        <f t="shared" si="9"/>
        <v>0</v>
      </c>
      <c r="J25" s="462">
        <f t="shared" si="10"/>
        <v>22.249154890196621</v>
      </c>
      <c r="K25" s="462">
        <f t="shared" si="11"/>
        <v>0</v>
      </c>
      <c r="L25" s="462">
        <f t="shared" si="12"/>
        <v>0</v>
      </c>
      <c r="M25" s="462">
        <f t="shared" si="13"/>
        <v>0</v>
      </c>
      <c r="N25" s="462">
        <f t="shared" si="14"/>
        <v>0</v>
      </c>
      <c r="O25" s="462">
        <f t="shared" si="15"/>
        <v>0</v>
      </c>
      <c r="P25" s="463">
        <f t="shared" si="16"/>
        <v>0</v>
      </c>
      <c r="Q25" s="461">
        <f t="shared" ca="1" si="17"/>
        <v>522.16226672684593</v>
      </c>
    </row>
    <row r="26" spans="1:17">
      <c r="A26" s="461" t="s">
        <v>657</v>
      </c>
      <c r="B26" s="462">
        <f t="shared" ca="1" si="2"/>
        <v>12308.336677894045</v>
      </c>
      <c r="C26" s="462">
        <f t="shared" ca="1" si="3"/>
        <v>0</v>
      </c>
      <c r="D26" s="462">
        <f t="shared" si="4"/>
        <v>18233.417926745846</v>
      </c>
      <c r="E26" s="462">
        <f t="shared" si="5"/>
        <v>480.03905747581302</v>
      </c>
      <c r="F26" s="462">
        <f t="shared" si="6"/>
        <v>2315.8416352846762</v>
      </c>
      <c r="G26" s="462">
        <f t="shared" si="7"/>
        <v>0</v>
      </c>
      <c r="H26" s="462">
        <f t="shared" si="8"/>
        <v>0</v>
      </c>
      <c r="I26" s="462">
        <f t="shared" si="9"/>
        <v>0</v>
      </c>
      <c r="J26" s="462">
        <f t="shared" si="10"/>
        <v>18.114479282569846</v>
      </c>
      <c r="K26" s="462">
        <f t="shared" si="11"/>
        <v>0</v>
      </c>
      <c r="L26" s="462">
        <f t="shared" si="12"/>
        <v>0</v>
      </c>
      <c r="M26" s="462">
        <f t="shared" si="13"/>
        <v>0</v>
      </c>
      <c r="N26" s="462">
        <f t="shared" si="14"/>
        <v>0</v>
      </c>
      <c r="O26" s="462">
        <f t="shared" si="15"/>
        <v>0</v>
      </c>
      <c r="P26" s="463">
        <f t="shared" si="16"/>
        <v>0</v>
      </c>
      <c r="Q26" s="461">
        <f t="shared" ca="1" si="17"/>
        <v>33355.749776682955</v>
      </c>
    </row>
    <row r="27" spans="1:17" s="467" customFormat="1">
      <c r="A27" s="465" t="s">
        <v>574</v>
      </c>
      <c r="B27" s="775">
        <f t="shared" ca="1" si="2"/>
        <v>0.85562486814156802</v>
      </c>
      <c r="C27" s="466">
        <f t="shared" ca="1" si="3"/>
        <v>0</v>
      </c>
      <c r="D27" s="466">
        <f t="shared" si="4"/>
        <v>1.3766020495525149</v>
      </c>
      <c r="E27" s="466">
        <f t="shared" si="5"/>
        <v>47.223699967139595</v>
      </c>
      <c r="F27" s="466">
        <f t="shared" si="6"/>
        <v>0</v>
      </c>
      <c r="G27" s="466">
        <f t="shared" si="7"/>
        <v>24733.458978410064</v>
      </c>
      <c r="H27" s="466">
        <f t="shared" si="8"/>
        <v>2539.5433311536958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27322.458236448594</v>
      </c>
    </row>
    <row r="28" spans="1:17">
      <c r="A28" s="461" t="s">
        <v>564</v>
      </c>
      <c r="B28" s="462">
        <f t="shared" ca="1" si="2"/>
        <v>0</v>
      </c>
      <c r="C28" s="462">
        <f t="shared" ca="1" si="3"/>
        <v>0</v>
      </c>
      <c r="D28" s="462">
        <f t="shared" si="4"/>
        <v>0</v>
      </c>
      <c r="E28" s="462">
        <f t="shared" si="5"/>
        <v>0</v>
      </c>
      <c r="F28" s="462">
        <f t="shared" si="6"/>
        <v>0</v>
      </c>
      <c r="G28" s="462">
        <f t="shared" si="7"/>
        <v>203.08153264214266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203.08153264214266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303.66351460182881</v>
      </c>
      <c r="C32" s="462">
        <f t="shared" ca="1" si="3"/>
        <v>0</v>
      </c>
      <c r="D32" s="462">
        <f t="shared" si="4"/>
        <v>3509.2558131359324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3812.9193277377613</v>
      </c>
    </row>
    <row r="33" spans="1:17" s="474" customFormat="1">
      <c r="A33" s="471" t="s">
        <v>568</v>
      </c>
      <c r="B33" s="472">
        <f ca="1">SUM(B22:B32)</f>
        <v>28003.447547405405</v>
      </c>
      <c r="C33" s="472">
        <f t="shared" ref="C33:Q33" ca="1" si="18">SUM(C22:C32)</f>
        <v>5.0500000000000007</v>
      </c>
      <c r="D33" s="472">
        <f t="shared" ca="1" si="18"/>
        <v>52998.77477806039</v>
      </c>
      <c r="E33" s="472">
        <f t="shared" si="18"/>
        <v>1894.6325943527836</v>
      </c>
      <c r="F33" s="472">
        <f t="shared" ca="1" si="18"/>
        <v>9420.3023873653547</v>
      </c>
      <c r="G33" s="472">
        <f t="shared" si="18"/>
        <v>24936.540511052208</v>
      </c>
      <c r="H33" s="472">
        <f t="shared" si="18"/>
        <v>2539.5433311536958</v>
      </c>
      <c r="I33" s="472">
        <f t="shared" si="18"/>
        <v>0</v>
      </c>
      <c r="J33" s="472">
        <f t="shared" si="18"/>
        <v>2340.3324341103062</v>
      </c>
      <c r="K33" s="472">
        <f t="shared" si="18"/>
        <v>0</v>
      </c>
      <c r="L33" s="472">
        <f t="shared" ca="1" si="18"/>
        <v>0</v>
      </c>
      <c r="M33" s="472">
        <f t="shared" si="18"/>
        <v>0</v>
      </c>
      <c r="N33" s="472">
        <f t="shared" ca="1" si="18"/>
        <v>0</v>
      </c>
      <c r="O33" s="472">
        <f t="shared" si="18"/>
        <v>0</v>
      </c>
      <c r="P33" s="472">
        <f t="shared" si="18"/>
        <v>0</v>
      </c>
      <c r="Q33" s="472">
        <f t="shared" ca="1" si="18"/>
        <v>122138.62358350014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6249.4170000000004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6249.4170000000004</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0.21061276191358799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0.21061276191358799</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3</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4.6900000000000004</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2019-08-12T08:04:21Z</dcterms:modified>
</cp:coreProperties>
</file>