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F20" s="1"/>
  <c r="E19"/>
  <c r="D19"/>
  <c r="C19"/>
  <c r="B19"/>
  <c r="N18"/>
  <c r="M18"/>
  <c r="L18"/>
  <c r="L20" s="1"/>
  <c r="K18"/>
  <c r="J18"/>
  <c r="I18"/>
  <c r="H18"/>
  <c r="G18"/>
  <c r="G20" s="1"/>
  <c r="F18"/>
  <c r="E18"/>
  <c r="D18"/>
  <c r="D20" s="1"/>
  <c r="C18"/>
  <c r="B18"/>
  <c r="L9"/>
  <c r="K9"/>
  <c r="K10" s="1"/>
  <c r="G9"/>
  <c r="F9"/>
  <c r="F10" s="1"/>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O18" s="1"/>
  <c r="D22"/>
  <c r="C22"/>
  <c r="B17"/>
  <c r="G12"/>
  <c r="F12"/>
  <c r="E12"/>
  <c r="D12"/>
  <c r="C12"/>
  <c r="L10"/>
  <c r="G10"/>
  <c r="D10"/>
  <c r="B8"/>
  <c r="B6"/>
  <c r="B5"/>
  <c r="B10" s="1"/>
  <c r="B4"/>
  <c r="O9" l="1"/>
  <c r="I101"/>
  <c r="H8" s="1"/>
  <c r="H10" s="1"/>
  <c r="H101"/>
  <c r="J8" s="1"/>
  <c r="J10" s="1"/>
  <c r="F101"/>
  <c r="B101"/>
  <c r="C8" s="1"/>
  <c r="C101"/>
  <c r="D101"/>
  <c r="G101"/>
  <c r="B98"/>
  <c r="B20"/>
  <c r="O19"/>
  <c r="C10"/>
  <c r="D102"/>
  <c r="H102"/>
  <c r="E101"/>
  <c r="E8" s="1"/>
  <c r="E10" s="1"/>
  <c r="E102"/>
  <c r="E17" s="1"/>
  <c r="E20" s="1"/>
  <c r="N6" i="17"/>
  <c r="I102" i="18" l="1"/>
  <c r="H17" s="1"/>
  <c r="H20" s="1"/>
  <c r="B102"/>
  <c r="C17" s="1"/>
  <c r="C20" s="1"/>
  <c r="C102"/>
  <c r="J17" s="1"/>
  <c r="J20" s="1"/>
  <c r="F102"/>
  <c r="G102"/>
  <c r="I8"/>
  <c r="I10" s="1"/>
  <c r="L6" i="17"/>
  <c r="F6"/>
  <c r="D6"/>
  <c r="C6"/>
  <c r="N16" i="16"/>
  <c r="L16"/>
  <c r="F16"/>
  <c r="D16"/>
  <c r="C16"/>
  <c r="B16"/>
  <c r="B13" i="15"/>
  <c r="I17" i="18" l="1"/>
  <c r="I20" s="1"/>
  <c r="O8"/>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K78" i="14"/>
  <c r="K8" i="59"/>
  <c r="K10" s="1"/>
  <c r="E90" i="14"/>
  <c r="E18" i="59"/>
  <c r="P28" i="48"/>
  <c r="Q11"/>
  <c r="G22" i="14"/>
  <c r="O22"/>
  <c r="P22"/>
  <c r="P25" i="48"/>
  <c r="N10" i="59"/>
  <c r="D14" i="48"/>
  <c r="O28"/>
  <c r="K22" i="14"/>
  <c r="D22"/>
  <c r="L22"/>
  <c r="K20" i="59"/>
  <c r="L20"/>
  <c r="L10"/>
  <c r="E20"/>
  <c r="E10"/>
  <c r="N78" i="14"/>
  <c r="K90"/>
  <c r="L90"/>
  <c r="H90"/>
  <c r="L13" i="15"/>
  <c r="N13"/>
  <c r="F77" i="14"/>
  <c r="O78"/>
  <c r="N88"/>
  <c r="E78"/>
  <c r="H77"/>
  <c r="H9" i="59" s="1"/>
  <c r="H10" s="1"/>
  <c r="O88" i="14"/>
  <c r="G89"/>
  <c r="G78"/>
  <c r="O31" i="48"/>
  <c r="O27"/>
  <c r="O29"/>
  <c r="P31"/>
  <c r="Q14"/>
  <c r="O24"/>
  <c r="O30"/>
  <c r="P24"/>
  <c r="P30"/>
  <c r="R9" i="14"/>
  <c r="R25"/>
  <c r="C89" l="1"/>
  <c r="C19" i="59" s="1"/>
  <c r="G19"/>
  <c r="G20" s="1"/>
  <c r="N90" i="14"/>
  <c r="N18" i="59"/>
  <c r="N20" s="1"/>
  <c r="B77" i="14"/>
  <c r="B9" i="59" s="1"/>
  <c r="F9"/>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78" i="14"/>
  <c r="F8" i="59"/>
  <c r="F10" s="1"/>
  <c r="F90" i="14"/>
  <c r="F17" i="59"/>
  <c r="F20" s="1"/>
  <c r="M90" i="14"/>
  <c r="M17" i="59"/>
  <c r="M20" s="1"/>
  <c r="I78" i="14"/>
  <c r="J76"/>
  <c r="J87"/>
  <c r="Q87"/>
  <c r="D90"/>
  <c r="Q76"/>
  <c r="D78"/>
  <c r="I90"/>
  <c r="J90" l="1"/>
  <c r="J17" i="59"/>
  <c r="J20" s="1"/>
  <c r="J78" i="14"/>
  <c r="J8" i="59"/>
  <c r="J1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H5" i="48" l="1"/>
  <c r="I10" i="14"/>
  <c r="I16" s="1"/>
  <c r="H10"/>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30"/>
  <c r="E31"/>
  <c r="E24"/>
  <c r="E29"/>
  <c r="M29"/>
  <c r="M32"/>
  <c r="M26"/>
  <c r="M25"/>
  <c r="M24"/>
  <c r="M22"/>
  <c r="M30"/>
  <c r="M23"/>
  <c r="K5"/>
  <c r="L10" i="14"/>
  <c r="L16" s="1"/>
  <c r="L27" s="1"/>
  <c r="L28" i="48"/>
  <c r="L29"/>
  <c r="L32"/>
  <c r="L24"/>
  <c r="L31"/>
  <c r="L22"/>
  <c r="L30"/>
  <c r="L27"/>
  <c r="C24" i="14"/>
  <c r="C26" s="1"/>
  <c r="B7" i="48"/>
  <c r="J29"/>
  <c r="J31"/>
  <c r="J32"/>
  <c r="J27"/>
  <c r="J30"/>
  <c r="J24"/>
  <c r="J28"/>
  <c r="P4"/>
  <c r="Q11" i="14"/>
  <c r="O4" i="48"/>
  <c r="P11" i="14"/>
  <c r="I31" i="48"/>
  <c r="I26"/>
  <c r="I25"/>
  <c r="I29"/>
  <c r="I32"/>
  <c r="I27"/>
  <c r="I28"/>
  <c r="I24"/>
  <c r="I22"/>
  <c r="I30"/>
  <c r="D30"/>
  <c r="D28"/>
  <c r="D29"/>
  <c r="D31"/>
  <c r="D24"/>
  <c r="D32"/>
  <c r="P5"/>
  <c r="P23" s="1"/>
  <c r="Q10" i="14"/>
  <c r="K32" i="48"/>
  <c r="K26"/>
  <c r="K25"/>
  <c r="K31"/>
  <c r="K30"/>
  <c r="K29"/>
  <c r="K22"/>
  <c r="K24"/>
  <c r="K28"/>
  <c r="K27"/>
  <c r="E11" i="14"/>
  <c r="D4" i="48"/>
  <c r="D22" s="1"/>
  <c r="H26"/>
  <c r="H32"/>
  <c r="H25"/>
  <c r="H24"/>
  <c r="H22"/>
  <c r="H30"/>
  <c r="H28"/>
  <c r="H29"/>
  <c r="H23"/>
  <c r="D11" i="14"/>
  <c r="C4" i="48"/>
  <c r="G32"/>
  <c r="G26"/>
  <c r="G30"/>
  <c r="G29"/>
  <c r="G24"/>
  <c r="G25"/>
  <c r="G22"/>
  <c r="G23"/>
  <c r="B4"/>
  <c r="C11" i="14"/>
  <c r="F32" i="48"/>
  <c r="F31"/>
  <c r="F28"/>
  <c r="F27"/>
  <c r="F24"/>
  <c r="F30"/>
  <c r="F29"/>
  <c r="N32"/>
  <c r="N31"/>
  <c r="N29"/>
  <c r="N28"/>
  <c r="N30"/>
  <c r="N27"/>
  <c r="N24"/>
  <c r="C19" i="14"/>
  <c r="B10" i="48"/>
  <c r="N46"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20" i="14" l="1"/>
  <c r="F22" s="1"/>
  <c r="E9" i="48"/>
  <c r="O22"/>
  <c r="B9"/>
  <c r="C20" i="14"/>
  <c r="O5" i="48"/>
  <c r="O23" s="1"/>
  <c r="P10" i="14"/>
  <c r="H18"/>
  <c r="G13" i="48"/>
  <c r="H13"/>
  <c r="H31" s="1"/>
  <c r="I18" i="14"/>
  <c r="P15" i="48"/>
  <c r="P22"/>
  <c r="P33" s="1"/>
  <c r="P22" i="16"/>
  <c r="Q43" i="14" s="1"/>
  <c r="P8" i="48"/>
  <c r="P26" s="1"/>
  <c r="Q13" i="14"/>
  <c r="D9" i="48"/>
  <c r="D27" s="1"/>
  <c r="E20" i="14"/>
  <c r="E22" s="1"/>
  <c r="G11"/>
  <c r="F4" i="48"/>
  <c r="F22" s="1"/>
  <c r="K24" i="14"/>
  <c r="K26" s="1"/>
  <c r="J7" i="48"/>
  <c r="J25" s="1"/>
  <c r="I5"/>
  <c r="J10" i="14"/>
  <c r="J16" s="1"/>
  <c r="J27" s="1"/>
  <c r="C22"/>
  <c r="K23" i="48"/>
  <c r="K15"/>
  <c r="M12" i="22"/>
  <c r="N18" i="14"/>
  <c r="M13" i="48"/>
  <c r="M31" s="1"/>
  <c r="L46" i="14"/>
  <c r="L61" s="1"/>
  <c r="K33" i="48"/>
  <c r="Q16" i="14"/>
  <c r="Q27"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E4" i="48"/>
  <c r="N4"/>
  <c r="N22" s="1"/>
  <c r="O11" i="14"/>
  <c r="M9" i="48"/>
  <c r="N20" i="14"/>
  <c r="E27" i="48"/>
  <c r="G9"/>
  <c r="H20" i="14"/>
  <c r="P13"/>
  <c r="O8" i="48"/>
  <c r="I23"/>
  <c r="I33" s="1"/>
  <c r="I15"/>
  <c r="M10"/>
  <c r="M28" s="1"/>
  <c r="N19" i="14"/>
  <c r="N22" s="1"/>
  <c r="N27" s="1"/>
  <c r="E7" i="48"/>
  <c r="E25" s="1"/>
  <c r="F24" i="14"/>
  <c r="F26" s="1"/>
  <c r="R18"/>
  <c r="J4" i="48"/>
  <c r="K11" i="14"/>
  <c r="H19"/>
  <c r="G10" i="48"/>
  <c r="G31"/>
  <c r="Q13"/>
  <c r="Q46" i="14"/>
  <c r="Q61" s="1"/>
  <c r="Q63" s="1"/>
  <c r="P16"/>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N63"/>
  <c r="I20"/>
  <c r="H9" i="48"/>
  <c r="J22"/>
  <c r="G27"/>
  <c r="G15"/>
  <c r="E22"/>
  <c r="Q4"/>
  <c r="J5"/>
  <c r="J23" s="1"/>
  <c r="K10" i="14"/>
  <c r="G28" i="48"/>
  <c r="Q10"/>
  <c r="R11" i="14"/>
  <c r="R19"/>
  <c r="H22"/>
  <c r="H27" s="1"/>
  <c r="E20" i="15"/>
  <c r="F40" i="14" s="1"/>
  <c r="E5" i="48"/>
  <c r="E23" s="1"/>
  <c r="F10" i="14"/>
  <c r="O26" i="48"/>
  <c r="O33" s="1"/>
  <c r="O15"/>
  <c r="M27"/>
  <c r="M33" s="1"/>
  <c r="M15"/>
  <c r="E46" i="14"/>
  <c r="E61" s="1"/>
  <c r="M61"/>
  <c r="M27"/>
  <c r="E16"/>
  <c r="E27" s="1"/>
  <c r="L15" i="48"/>
  <c r="R24" i="14"/>
  <c r="R26" s="1"/>
  <c r="L33" i="48"/>
  <c r="Q7"/>
  <c r="R10" i="14"/>
  <c r="D23" i="48"/>
  <c r="D33" s="1"/>
  <c r="D15"/>
  <c r="C16" i="14"/>
  <c r="C27" s="1"/>
  <c r="B3" i="6" s="1"/>
  <c r="B12" s="1"/>
  <c r="F23" i="48"/>
  <c r="N23"/>
  <c r="Q5"/>
  <c r="B15"/>
  <c r="F18" i="16"/>
  <c r="E18"/>
  <c r="N18"/>
  <c r="N22" s="1"/>
  <c r="O43" i="14" s="1"/>
  <c r="O46" s="1"/>
  <c r="O61" s="1"/>
  <c r="J18" i="16"/>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R22" l="1"/>
  <c r="R20"/>
  <c r="I22"/>
  <c r="I27" s="1"/>
  <c r="H27" i="48"/>
  <c r="H33" s="1"/>
  <c r="H15"/>
  <c r="Q9"/>
  <c r="E8"/>
  <c r="F13" i="14"/>
  <c r="H63"/>
  <c r="F46"/>
  <c r="F61" s="1"/>
  <c r="K16"/>
  <c r="K27" s="1"/>
  <c r="J15" i="48"/>
  <c r="J22" i="16"/>
  <c r="K43" i="14" s="1"/>
  <c r="K46" s="1"/>
  <c r="K61" s="1"/>
  <c r="K13"/>
  <c r="J8" i="48"/>
  <c r="J26" s="1"/>
  <c r="I63" i="14"/>
  <c r="F16"/>
  <c r="F27" s="1"/>
  <c r="F63" s="1"/>
  <c r="J33" i="48"/>
  <c r="E63" i="14"/>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<sst xmlns="http://schemas.openxmlformats.org/spreadsheetml/2006/main" count="2432" uniqueCount="913">
  <si>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</si>
  <si>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</si>
  <si>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</si>
  <si>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</si>
  <si>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</si>
  <si>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</si>
  <si>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</si>
  <si>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</si>
  <si>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</si>
  <si>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</si>
  <si>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</si>
  <si>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</si>
  <si>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</si>
  <si>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</si>
  <si>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</si>
  <si>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</si>
  <si>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</si>
  <si>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</si>
  <si>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</si>
  <si>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</si>
  <si>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</si>
  <si>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</si>
  <si>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</si>
  <si>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</si>
  <si>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</si>
  <si>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</si>
  <si>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</si>
  <si>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</si>
  <si>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</si>
  <si>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</si>
  <si>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</si>
  <si>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</si>
  <si>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</si>
  <si>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</si>
  <si>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</si>
  <si>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</si>
  <si>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</si>
  <si>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</si>
  <si>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</si>
  <si>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</si>
  <si>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</si>
  <si>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</si>
  <si>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</si>
  <si>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</si>
  <si>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</si>
  <si>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</si>
  <si>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</si>
  <si>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</si>
  <si>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</si>
  <si>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</si>
  <si>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</si>
  <si>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</si>
  <si>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</si>
  <si>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</si>
  <si>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</si>
  <si>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</si>
  <si>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</si>
  <si>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</si>
  <si>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</si>
  <si>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</si>
  <si>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</si>
  <si>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</si>
  <si>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</si>
  <si>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</si>
  <si>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</si>
  <si>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</si>
  <si>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</si>
  <si>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</si>
  <si>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</si>
  <si>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</si>
  <si>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</si>
  <si>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</si>
  <si>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</si>
  <si>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</si>
  <si>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</si>
  <si>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</si>
  <si>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</si>
  <si>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</si>
  <si>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</si>
  <si>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</si>
  <si>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</si>
  <si>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</si>
  <si>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</si>
  <si>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</si>
  <si>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</si>
  <si>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</si>
  <si>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</si>
  <si>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</si>
  <si>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</si>
  <si>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</si>
  <si>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</si>
  <si>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</si>
  <si>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</si>
  <si>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</si>
  <si>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</si>
  <si>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</si>
  <si>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</si>
  <si>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</si>
  <si>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</si>
  <si>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</si>
  <si>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</si>
  <si>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</si>
  <si>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</si>
  <si>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</si>
  <si>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</si>
  <si>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</si>
  <si>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</si>
  <si>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</si>
  <si>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</si>
  <si>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</si>
  <si>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</si>
  <si>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</si>
  <si>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</si>
  <si>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</si>
  <si>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</si>
  <si>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</si>
  <si>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</si>
  <si>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</si>
  <si>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</si>
  <si>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</si>
  <si>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</si>
  <si>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</si>
  <si>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</si>
  <si>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</si>
  <si>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</si>
  <si>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</si>
  <si>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</si>
  <si>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</si>
  <si>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</si>
  <si>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</si>
  <si>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</si>
  <si>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</si>
  <si>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</si>
  <si>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</si>
  <si>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</si>
  <si>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</si>
  <si>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</si>
  <si>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</si>
  <si>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</si>
  <si>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</si>
  <si>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</si>
  <si>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</si>
  <si>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</si>
  <si>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</si>
  <si>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</si>
  <si>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</si>
  <si>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</si>
  <si>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</si>
  <si>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</si>
  <si>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</si>
  <si>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</si>
  <si>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</si>
  <si>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</si>
  <si>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</si>
  <si>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</si>
  <si>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</si>
  <si>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</si>
  <si>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</si>
  <si>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</si>
  <si>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</si>
  <si>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</si>
  <si>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</si>
  <si>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</si>
  <si>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</si>
  <si>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</si>
  <si>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</si>
  <si>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</si>
  <si>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</si>
  <si>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</si>
  <si>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</si>
  <si>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</si>
  <si>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</si>
  <si>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</si>
  <si>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</si>
  <si>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</si>
  <si>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</si>
  <si>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</si>
  <si>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</si>
  <si>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</si>
  <si>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</si>
  <si>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</si>
  <si>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</si>
  <si>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</si>
  <si>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</si>
  <si>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</si>
  <si>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</si>
  <si>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</si>
  <si>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</si>
  <si>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</si>
  <si>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</si>
  <si>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</si>
  <si>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</si>
  <si>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</si>
  <si>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</si>
  <si>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</si>
  <si>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</si>
  <si>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</si>
  <si>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</si>
  <si>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</si>
  <si>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</si>
  <si>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</si>
  <si>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</si>
  <si>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</si>
  <si>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</si>
  <si>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</si>
  <si>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</si>
  <si>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</si>
  <si>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</si>
  <si>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</si>
  <si>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</si>
  <si>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</si>
  <si>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</si>
  <si>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</si>
  <si>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</si>
  <si>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</si>
  <si>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</si>
  <si>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</si>
  <si>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</si>
  <si>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</si>
  <si>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</si>
  <si>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</si>
  <si>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</si>
  <si>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</si>
  <si>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</si>
  <si>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</si>
  <si>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</si>
  <si>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</si>
  <si>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</si>
  <si>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</si>
  <si>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</si>
  <si>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</si>
  <si>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</si>
  <si>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</si>
  <si>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</si>
  <si>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</si>
  <si>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</si>
  <si>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</si>
  <si>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</si>
  <si>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</si>
  <si>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</si>
  <si>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</si>
  <si>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</si>
  <si>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</si>
  <si>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</si>
  <si>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</si>
  <si>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</si>
  <si>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</si>
  <si>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</si>
  <si>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</si>
  <si>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</si>
  <si>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</si>
  <si>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</si>
  <si>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</si>
  <si>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</si>
  <si>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</si>
  <si>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</si>
  <si>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</si>
  <si>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</si>
  <si>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</si>
  <si>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</si>
  <si>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</si>
  <si>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</si>
  <si>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</si>
  <si>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</si>
  <si>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</si>
  <si>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</si>
  <si>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</si>
  <si>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</si>
  <si>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</si>
  <si>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</si>
  <si>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</si>
  <si>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</si>
  <si>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</si>
  <si>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</si>
  <si>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</si>
  <si>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</si>
  <si>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</si>
  <si>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</si>
  <si>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</si>
  <si>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</si>
  <si>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</si>
  <si>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</si>
  <si>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</si>
  <si>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</si>
  <si>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</si>
  <si>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</si>
  <si>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</si>
  <si>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</si>
  <si>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</si>
  <si>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</si>
  <si>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</si>
  <si>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</si>
  <si>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</si>
  <si>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</si>
  <si>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</si>
  <si>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</si>
  <si>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</si>
  <si>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</si>
  <si>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</si>
  <si>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</si>
  <si>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</si>
  <si>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</si>
  <si>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</si>
  <si>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</si>
  <si>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</si>
  <si>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</si>
  <si>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</si>
  <si>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</si>
  <si>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</si>
  <si>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</si>
  <si>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</si>
  <si>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</si>
  <si>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</si>
  <si>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</si>
  <si>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</si>
  <si>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</si>
  <si>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</si>
  <si>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</si>
  <si>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</si>
  <si>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</si>
  <si>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</si>
  <si>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</si>
  <si>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</si>
  <si>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</si>
  <si>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</si>
  <si>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</si>
  <si>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</si>
  <si>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</si>
  <si>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</si>
  <si>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</si>
  <si>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</si>
  <si>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</si>
  <si>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</si>
  <si>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</si>
  <si>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</si>
  <si>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</si>
  <si>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</si>
  <si>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</si>
  <si>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</si>
  <si>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</si>
  <si>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</si>
  <si>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</si>
  <si>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</si>
  <si>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</si>
  <si>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</si>
  <si>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</si>
  <si>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</si>
  <si>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</si>
  <si>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</si>
  <si>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</si>
  <si>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</si>
  <si>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</si>
  <si>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</si>
  <si>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</si>
  <si>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</si>
  <si>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</si>
  <si>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</si>
  <si>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</si>
  <si>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</si>
  <si>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</si>
  <si>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</si>
  <si>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</si>
  <si>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</si>
  <si>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</si>
  <si>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</si>
  <si>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</si>
  <si>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</si>
  <si>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</si>
  <si>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</si>
  <si>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</si>
  <si>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</si>
  <si>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</si>
  <si>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</si>
  <si>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</si>
  <si>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</si>
  <si>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</si>
  <si>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</si>
  <si>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</si>
  <si>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</si>
  <si>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</si>
  <si>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</si>
  <si>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</si>
  <si>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</si>
  <si>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</si>
  <si>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</si>
  <si>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</si>
  <si>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</si>
  <si>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</si>
  <si>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</si>
  <si>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</si>
  <si>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</si>
  <si>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</si>
  <si>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</si>
  <si>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</si>
  <si>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</si>
  <si>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</si>
  <si>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</si>
  <si>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</si>
  <si>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</si>
  <si>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</si>
  <si>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</si>
  <si>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</si>
  <si>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</si>
  <si>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</si>
  <si>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</si>
  <si>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</si>
  <si>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</si>
  <si>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</si>
  <si>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</si>
  <si>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</si>
  <si>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</si>
  <si>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</si>
  <si>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</si>
  <si>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</si>
  <si>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</si>
  <si>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</si>
  <si>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</si>
  <si>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</si>
  <si>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</si>
  <si>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</si>
  <si>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</si>
  <si>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</si>
  <si>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</si>
  <si>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</si>
  <si>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</si>
  <si>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</si>
  <si>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</si>
  <si>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</si>
  <si>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</si>
  <si>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</si>
  <si>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</si>
  <si>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</si>
  <si>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</si>
  <si>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</si>
  <si>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</si>
  <si>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</si>
  <si>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</si>
  <si>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</si>
  <si>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</si>
  <si>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</si>
  <si>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</si>
  <si>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</si>
  <si>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</si>
  <si>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</si>
  <si>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</si>
  <si>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</si>
  <si>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</si>
  <si>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</si>
  <si>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</si>
  <si>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</si>
  <si>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</si>
  <si>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</si>
  <si>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</si>
  <si>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</si>
  <si>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</si>
  <si>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</si>
  <si>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</si>
  <si>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</si>
  <si>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</si>
  <si>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</si>
  <si>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</si>
  <si>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</si>
  <si>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</si>
  <si>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</si>
  <si>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</si>
  <si>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</si>
  <si>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</si>
  <si>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</si>
  <si>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</si>
  <si>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</si>
  <si>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</si>
  <si>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</si>
  <si>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</si>
  <si>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</si>
  <si>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</si>
  <si>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</si>
  <si>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</si>
  <si>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</si>
  <si>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</si>
  <si>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</si>
  <si>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</si>
  <si>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</si>
  <si>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</si>
  <si>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</si>
  <si>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</si>
  <si>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</si>
  <si>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</si>
  <si>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</si>
  <si>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</si>
  <si>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</si>
  <si>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</si>
  <si>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</si>
  <si>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</si>
  <si>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</si>
  <si>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</si>
  <si>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</si>
  <si>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</si>
  <si>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</si>
  <si>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</si>
  <si>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</si>
  <si>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</si>
  <si>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</si>
  <si>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</si>
  <si>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</si>
  <si>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</si>
  <si>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</si>
  <si>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</si>
  <si>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</si>
  <si>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</si>
  <si>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</si>
  <si>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</si>
  <si>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</si>
  <si>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</si>
  <si>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</si>
  <si>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</si>
  <si>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</si>
  <si>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</si>
  <si>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</si>
  <si>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</si>
  <si>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</si>
  <si>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</si>
  <si>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</si>
  <si>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</si>
  <si>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</si>
  <si>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</si>
  <si>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</si>
  <si>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</si>
  <si>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</si>
  <si>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</si>
  <si>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</si>
  <si>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</si>
  <si>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</si>
  <si>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</si>
  <si>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</si>
  <si>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</si>
  <si>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</si>
  <si>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</si>
  <si>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</si>
  <si>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</si>
  <si>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</si>
  <si>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</si>
  <si>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</si>
  <si>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</si>
  <si>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</si>
  <si>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</si>
  <si>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</si>
  <si>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</si>
  <si>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</si>
  <si>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</si>
  <si>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</si>
  <si>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</si>
  <si>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</si>
  <si>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</si>
  <si>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</si>
  <si>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</si>
  <si>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</si>
  <si>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</si>
  <si>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</si>
  <si>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</si>
  <si>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</si>
  <si>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</si>
  <si>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</si>
  <si>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</si>
  <si>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</si>
  <si>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</si>
  <si>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</si>
  <si>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</si>
  <si>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</si>
  <si>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</si>
  <si>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</si>
  <si>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</si>
  <si>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</si>
  <si>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</si>
  <si>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</si>
  <si>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</si>
  <si>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</si>
  <si>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</si>
  <si>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</si>
  <si>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</si>
  <si>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</si>
  <si>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</si>
  <si>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</si>
  <si>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</si>
  <si>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</si>
  <si>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</si>
  <si>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</si>
  <si>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</si>
  <si>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</si>
  <si>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</si>
  <si>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</si>
  <si>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</si>
  <si>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</si>
  <si>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</si>
  <si>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</si>
  <si>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</si>
  <si>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</si>
  <si>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</si>
  <si>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</si>
  <si>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</si>
  <si>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</si>
  <si>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</si>
  <si>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</si>
  <si>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</si>
  <si>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</si>
  <si>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</si>
  <si>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</si>
  <si>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</si>
  <si>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</si>
  <si>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</si>
  <si>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</si>
  <si>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</si>
  <si>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</si>
  <si>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</si>
  <si>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</si>
  <si>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</si>
  <si>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</si>
  <si>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</si>
  <si>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</si>
  <si>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</si>
  <si>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</si>
  <si>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</si>
  <si>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</si>
  <si>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</si>
  <si>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</si>
  <si>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</si>
  <si>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</si>
  <si>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</si>
  <si>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</si>
  <si>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</si>
  <si>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</si>
  <si>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</si>
  <si>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</si>
  <si>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</si>
  <si>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</si>
  <si>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</si>
  <si>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</si>
  <si>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</si>
  <si>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</si>
  <si>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</si>
  <si>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</si>
  <si>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</si>
  <si>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</si>
  <si>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</si>
  <si>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</si>
  <si>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</si>
  <si>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</si>
  <si>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</si>
  <si>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</si>
  <si>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</si>
  <si>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</si>
  <si>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</si>
  <si>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</si>
  <si>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</si>
  <si>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</si>
  <si>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</si>
  <si>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</si>
  <si>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</si>
  <si>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</si>
  <si>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</si>
  <si>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</si>
  <si>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</si>
  <si>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</si>
  <si>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</si>
  <si>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</si>
  <si>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</si>
  <si>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</si>
  <si>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</si>
  <si>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</si>
  <si>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</si>
  <si>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</si>
  <si>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</si>
  <si>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</si>
  <si>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</si>
  <si>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</si>
  <si>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</si>
  <si>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</si>
  <si>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</si>
  <si>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</si>
  <si>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</si>
  <si>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</si>
  <si>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</si>
  <si>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</si>
  <si>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</si>
  <si>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</si>
  <si>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</si>
  <si>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</si>
  <si>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</si>
  <si>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</si>
  <si>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</si>
  <si>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</si>
  <si>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</si>
  <si>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</si>
  <si>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</si>
  <si>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</si>
  <si>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</si>
  <si>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</si>
  <si>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</si>
  <si>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</si>
  <si>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</si>
  <si>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</si>
  <si>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</si>
  <si>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</si>
  <si>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</si>
  <si>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</si>
  <si>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</si>
  <si>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</si>
  <si>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</si>
  <si>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</si>
  <si>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</si>
  <si>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</si>
  <si>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</si>
  <si>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</si>
  <si>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</si>
  <si>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</si>
  <si>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</si>
  <si>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</si>
  <si>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</si>
  <si>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</si>
  <si>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</si>
  <si>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</si>
  <si>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</si>
  <si>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</si>
  <si>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</si>
  <si>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</si>
  <si>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</si>
  <si>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</si>
  <si>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</si>
  <si>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</si>
  <si>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</si>
  <si>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</si>
  <si>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</si>
  <si>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</si>
  <si>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</si>
  <si>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</si>
  <si>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</si>
  <si>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</si>
  <si>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</si>
  <si>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</si>
  <si>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</si>
  <si>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</si>
  <si>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</si>
  <si>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</si>
  <si>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</si>
  <si>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</si>
  <si>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</si>
  <si>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</si>
  <si>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</si>
  <si>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</si>
  <si>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</si>
  <si>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</si>
  <si>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</si>
  <si>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</si>
  <si>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</si>
  <si>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</si>
  <si>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</si>
  <si>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</si>
  <si>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</si>
  <si>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</si>
  <si>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</si>
  <si>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</si>
  <si>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</si>
  <si>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</si>
  <si>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</si>
  <si>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</si>
  <si>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</si>
  <si>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</si>
  <si>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</si>
  <si>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</si>
  <si>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</si>
  <si>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</si>
  <si>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</si>
  <si>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</si>
  <si>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</si>
  <si>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</si>
  <si>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</si>
  <si>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</si>
  <si>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</si>
  <si>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</si>
  <si>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</si>
  <si>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</si>
  <si>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</si>
  <si>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</si>
  <si>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</si>
  <si>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</si>
  <si>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</si>
  <si>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</si>
  <si>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</si>
  <si>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</si>
  <si>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</si>
  <si>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</si>
  <si>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</si>
  <si>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</si>
  <si>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</si>
  <si>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</si>
  <si>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</si>
  <si>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</si>
  <si>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</si>
  <si>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</si>
  <si>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</si>
  <si>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</si>
  <si>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</si>
  <si>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</si>
  <si>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</si>
  <si>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</si>
  <si>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</si>
  <si>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</si>
  <si>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</si>
  <si>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</si>
  <si>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</si>
  <si>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</si>
  <si>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</si>
  <si>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</si>
  <si>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</si>
  <si>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</si>
  <si>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</si>
  <si>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</si>
  <si>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</si>
  <si>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</si>
  <si>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</si>
  <si>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</si>
  <si>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</si>
  <si>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</si>
  <si>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</si>
  <si>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</si>
  <si>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</si>
  <si>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</si>
  <si>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</si>
  <si>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</si>
  <si>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</si>
  <si>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</si>
  <si>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</si>
  <si>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</si>
  <si>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</si>
  <si>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</si>
  <si>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</si>
  <si>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</si>
  <si>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</si>
  <si>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</si>
  <si>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</si>
  <si>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</si>
  <si>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</si>
  <si>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</si>
  <si>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</si>
  <si>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</si>
  <si>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</si>
  <si>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</si>
  <si>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</si>
  <si>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</si>
  <si>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</si>
  <si>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</si>
  <si>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</si>
  <si>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</si>
  <si>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</si>
  <si>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</si>
  <si>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</si>
  <si>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</si>
  <si>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</si>
  <si>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</si>
  <si>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</si>
  <si>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</si>
  <si>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</si>
  <si>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</si>
  <si>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</si>
  <si>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</si>
  <si>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</si>
  <si>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</si>
  <si>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</si>
  <si>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</si>
  <si>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</si>
  <si>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</si>
  <si>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</si>
  <si>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</si>
  <si>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</si>
  <si>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</si>
  <si>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</si>
  <si>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</si>
  <si>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</si>
  <si>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</si>
  <si>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</si>
  <si>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</si>
  <si>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</si>
  <si>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</si>
  <si>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</si>
  <si>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</si>
  <si>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</si>
  <si>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</si>
  <si>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</si>
  <si>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</si>
  <si>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</si>
  <si>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</si>
  <si>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</si>
  <si>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</si>
  <si>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</si>
  <si>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</si>
  <si>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</si>
  <si>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</si>
  <si>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</si>
  <si>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</si>
  <si>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</si>
  <si>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</si>
  <si>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</si>
  <si>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</si>
  <si>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</si>
  <si>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</si>
  <si>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</si>
  <si>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</si>
  <si>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44081</t>
  </si>
  <si>
    <t>ZULTE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</si>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</sst>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140704.65319363956</c:v>
                </c:pt>
                <c:pt idx="1">
                  <c:v>34817.753661037779</c:v>
                </c:pt>
                <c:pt idx="2">
                  <c:v>1009.071</c:v>
                </c:pt>
                <c:pt idx="3">
                  <c:v>5248.1956660131355</c:v>
                </c:pt>
                <c:pt idx="4">
                  <c:v>54379.044847476551</c:v>
                </c:pt>
                <c:pt idx="5">
                  <c:v>63961.424260260232</c:v>
                </c:pt>
                <c:pt idx="6">
                  <c:v>627.59226226222904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140704.65319363956</c:v>
                </c:pt>
                <c:pt idx="1">
                  <c:v>34817.753661037779</c:v>
                </c:pt>
                <c:pt idx="2">
                  <c:v>1009.071</c:v>
                </c:pt>
                <c:pt idx="3">
                  <c:v>5248.1956660131355</c:v>
                </c:pt>
                <c:pt idx="4">
                  <c:v>54379.044847476551</c:v>
                </c:pt>
                <c:pt idx="5">
                  <c:v>63961.424260260232</c:v>
                </c:pt>
                <c:pt idx="6">
                  <c:v>627.59226226222904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28260.487828695426</c:v>
                </c:pt>
                <c:pt idx="2">
                  <c:v>7036.8345953996422</c:v>
                </c:pt>
                <c:pt idx="3">
                  <c:v>208.59630002724231</c:v>
                </c:pt>
                <c:pt idx="4">
                  <c:v>1343.5316862927584</c:v>
                </c:pt>
                <c:pt idx="5">
                  <c:v>11111.914308629628</c:v>
                </c:pt>
                <c:pt idx="6">
                  <c:v>16160.680292924693</c:v>
                </c:pt>
                <c:pt idx="7">
                  <c:v>160.43231650500695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28260.487828695426</c:v>
                </c:pt>
                <c:pt idx="2">
                  <c:v>7036.8345953996422</c:v>
                </c:pt>
                <c:pt idx="3">
                  <c:v>208.59630002724231</c:v>
                </c:pt>
                <c:pt idx="4">
                  <c:v>1343.5316862927584</c:v>
                </c:pt>
                <c:pt idx="5">
                  <c:v>11111.914308629628</c:v>
                </c:pt>
                <c:pt idx="6">
                  <c:v>16160.680292924693</c:v>
                </c:pt>
                <c:pt idx="7">
                  <c:v>160.43231650500695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44081</v>
      </c>
      <c r="B6" s="398"/>
      <c r="C6" s="399"/>
    </row>
    <row r="7" spans="1:7" s="396" customFormat="1" ht="15.75" customHeight="1">
      <c r="A7" s="400" t="str">
        <f>txtMunicipality</f>
        <v>ZULTE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0.20672113263312719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0.20672113263312719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44081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6234</v>
      </c>
      <c r="C9" s="338">
        <v>6321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1780</v>
      </c>
    </row>
    <row r="15" spans="1:6">
      <c r="A15" s="1295" t="s">
        <v>184</v>
      </c>
      <c r="B15" s="335">
        <v>19</v>
      </c>
    </row>
    <row r="16" spans="1:6">
      <c r="A16" s="1295" t="s">
        <v>6</v>
      </c>
      <c r="B16" s="335">
        <v>515</v>
      </c>
    </row>
    <row r="17" spans="1:6">
      <c r="A17" s="1295" t="s">
        <v>7</v>
      </c>
      <c r="B17" s="335">
        <v>668</v>
      </c>
    </row>
    <row r="18" spans="1:6">
      <c r="A18" s="1295" t="s">
        <v>8</v>
      </c>
      <c r="B18" s="335">
        <v>879</v>
      </c>
    </row>
    <row r="19" spans="1:6">
      <c r="A19" s="1295" t="s">
        <v>9</v>
      </c>
      <c r="B19" s="335">
        <v>847</v>
      </c>
    </row>
    <row r="20" spans="1:6">
      <c r="A20" s="1295" t="s">
        <v>10</v>
      </c>
      <c r="B20" s="335">
        <v>832</v>
      </c>
    </row>
    <row r="21" spans="1:6">
      <c r="A21" s="1295" t="s">
        <v>11</v>
      </c>
      <c r="B21" s="335">
        <v>2445</v>
      </c>
    </row>
    <row r="22" spans="1:6">
      <c r="A22" s="1295" t="s">
        <v>12</v>
      </c>
      <c r="B22" s="335">
        <v>18280</v>
      </c>
    </row>
    <row r="23" spans="1:6">
      <c r="A23" s="1295" t="s">
        <v>13</v>
      </c>
      <c r="B23" s="335">
        <v>159</v>
      </c>
    </row>
    <row r="24" spans="1:6">
      <c r="A24" s="1295" t="s">
        <v>14</v>
      </c>
      <c r="B24" s="335">
        <v>155</v>
      </c>
    </row>
    <row r="25" spans="1:6">
      <c r="A25" s="1295" t="s">
        <v>15</v>
      </c>
      <c r="B25" s="335">
        <v>927</v>
      </c>
    </row>
    <row r="26" spans="1:6">
      <c r="A26" s="1295" t="s">
        <v>16</v>
      </c>
      <c r="B26" s="335">
        <v>123</v>
      </c>
    </row>
    <row r="27" spans="1:6">
      <c r="A27" s="1295" t="s">
        <v>17</v>
      </c>
      <c r="B27" s="335">
        <v>12</v>
      </c>
    </row>
    <row r="28" spans="1:6" s="341" customFormat="1">
      <c r="A28" s="1296" t="s">
        <v>18</v>
      </c>
      <c r="B28" s="1296">
        <v>72781</v>
      </c>
    </row>
    <row r="29" spans="1:6">
      <c r="A29" s="1296" t="s">
        <v>909</v>
      </c>
      <c r="B29" s="1296">
        <v>38</v>
      </c>
      <c r="C29" s="341"/>
      <c r="D29" s="341"/>
      <c r="E29" s="341"/>
      <c r="F29" s="341"/>
    </row>
    <row r="30" spans="1:6">
      <c r="A30" s="1291" t="s">
        <v>910</v>
      </c>
      <c r="B30" s="1291">
        <v>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33163.514098301697</v>
      </c>
    </row>
    <row r="37" spans="1:6">
      <c r="A37" s="1295" t="s">
        <v>25</v>
      </c>
      <c r="B37" s="1295" t="s">
        <v>28</v>
      </c>
      <c r="C37" s="335">
        <v>0</v>
      </c>
      <c r="D37" s="335">
        <v>0</v>
      </c>
      <c r="E37" s="335">
        <v>0</v>
      </c>
      <c r="F37" s="335">
        <v>0</v>
      </c>
    </row>
    <row r="38" spans="1:6">
      <c r="A38" s="1295" t="s">
        <v>25</v>
      </c>
      <c r="B38" s="1295" t="s">
        <v>29</v>
      </c>
      <c r="C38" s="335">
        <v>0</v>
      </c>
      <c r="D38" s="335">
        <v>0</v>
      </c>
      <c r="E38" s="335">
        <v>1</v>
      </c>
      <c r="F38" s="335">
        <v>504</v>
      </c>
    </row>
    <row r="39" spans="1:6">
      <c r="A39" s="1295" t="s">
        <v>30</v>
      </c>
      <c r="B39" s="1295" t="s">
        <v>31</v>
      </c>
      <c r="C39" s="335">
        <v>2524</v>
      </c>
      <c r="D39" s="335">
        <v>42272345.010488197</v>
      </c>
      <c r="E39" s="335">
        <v>5992</v>
      </c>
      <c r="F39" s="335">
        <v>28464718.407459799</v>
      </c>
    </row>
    <row r="40" spans="1:6">
      <c r="A40" s="1295" t="s">
        <v>30</v>
      </c>
      <c r="B40" s="1295" t="s">
        <v>29</v>
      </c>
      <c r="C40" s="335">
        <v>0</v>
      </c>
      <c r="D40" s="335">
        <v>0</v>
      </c>
      <c r="E40" s="335">
        <v>0</v>
      </c>
      <c r="F40" s="335">
        <v>0</v>
      </c>
    </row>
    <row r="41" spans="1:6">
      <c r="A41" s="1295" t="s">
        <v>32</v>
      </c>
      <c r="B41" s="1295" t="s">
        <v>33</v>
      </c>
      <c r="C41" s="335">
        <v>54</v>
      </c>
      <c r="D41" s="335">
        <v>991736.65442761697</v>
      </c>
      <c r="E41" s="335">
        <v>200</v>
      </c>
      <c r="F41" s="335">
        <v>6316927.4722121898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14</v>
      </c>
      <c r="F44" s="335">
        <v>1524071.9800644801</v>
      </c>
    </row>
    <row r="45" spans="1:6">
      <c r="A45" s="1295" t="s">
        <v>32</v>
      </c>
      <c r="B45" s="1295" t="s">
        <v>37</v>
      </c>
      <c r="C45" s="335">
        <v>3</v>
      </c>
      <c r="D45" s="335">
        <v>211654.819024845</v>
      </c>
      <c r="E45" s="335">
        <v>14</v>
      </c>
      <c r="F45" s="335">
        <v>372269.396835641</v>
      </c>
    </row>
    <row r="46" spans="1:6">
      <c r="A46" s="1295" t="s">
        <v>32</v>
      </c>
      <c r="B46" s="1295" t="s">
        <v>38</v>
      </c>
      <c r="C46" s="335">
        <v>0</v>
      </c>
      <c r="D46" s="335">
        <v>0</v>
      </c>
      <c r="E46" s="335">
        <v>0</v>
      </c>
      <c r="F46" s="335">
        <v>0</v>
      </c>
    </row>
    <row r="47" spans="1:6">
      <c r="A47" s="1295" t="s">
        <v>32</v>
      </c>
      <c r="B47" s="1295" t="s">
        <v>39</v>
      </c>
      <c r="C47" s="335">
        <v>3</v>
      </c>
      <c r="D47" s="335">
        <v>50496.909204985997</v>
      </c>
      <c r="E47" s="335">
        <v>6</v>
      </c>
      <c r="F47" s="335">
        <v>52990.493719346603</v>
      </c>
    </row>
    <row r="48" spans="1:6">
      <c r="A48" s="1295" t="s">
        <v>32</v>
      </c>
      <c r="B48" s="1295" t="s">
        <v>29</v>
      </c>
      <c r="C48" s="335">
        <v>24</v>
      </c>
      <c r="D48" s="335">
        <v>12678128.037730601</v>
      </c>
      <c r="E48" s="335">
        <v>35</v>
      </c>
      <c r="F48" s="335">
        <v>4241543.5751646496</v>
      </c>
    </row>
    <row r="49" spans="1:6">
      <c r="A49" s="1295" t="s">
        <v>32</v>
      </c>
      <c r="B49" s="1295" t="s">
        <v>40</v>
      </c>
      <c r="C49" s="335">
        <v>0</v>
      </c>
      <c r="D49" s="335">
        <v>0</v>
      </c>
      <c r="E49" s="335">
        <v>17</v>
      </c>
      <c r="F49" s="335">
        <v>2380879.07540638</v>
      </c>
    </row>
    <row r="50" spans="1:6">
      <c r="A50" s="1295" t="s">
        <v>32</v>
      </c>
      <c r="B50" s="1295" t="s">
        <v>41</v>
      </c>
      <c r="C50" s="335">
        <v>3</v>
      </c>
      <c r="D50" s="335">
        <v>236388.44065334499</v>
      </c>
      <c r="E50" s="335">
        <v>13</v>
      </c>
      <c r="F50" s="335">
        <v>5517346.3036950799</v>
      </c>
    </row>
    <row r="51" spans="1:6">
      <c r="A51" s="1295" t="s">
        <v>42</v>
      </c>
      <c r="B51" s="1295" t="s">
        <v>43</v>
      </c>
      <c r="C51" s="335">
        <v>0</v>
      </c>
      <c r="D51" s="335">
        <v>0</v>
      </c>
      <c r="E51" s="335">
        <v>72</v>
      </c>
      <c r="F51" s="335">
        <v>977493.04307329201</v>
      </c>
    </row>
    <row r="52" spans="1:6">
      <c r="A52" s="1295" t="s">
        <v>42</v>
      </c>
      <c r="B52" s="1295" t="s">
        <v>29</v>
      </c>
      <c r="C52" s="335">
        <v>4</v>
      </c>
      <c r="D52" s="335">
        <v>70425.973627998203</v>
      </c>
      <c r="E52" s="335">
        <v>10</v>
      </c>
      <c r="F52" s="335">
        <v>146374.552848008</v>
      </c>
    </row>
    <row r="53" spans="1:6">
      <c r="A53" s="1295" t="s">
        <v>44</v>
      </c>
      <c r="B53" s="1295" t="s">
        <v>45</v>
      </c>
      <c r="C53" s="335">
        <v>76</v>
      </c>
      <c r="D53" s="335">
        <v>2385052.3335209</v>
      </c>
      <c r="E53" s="335">
        <v>180</v>
      </c>
      <c r="F53" s="335">
        <v>1034465.07955526</v>
      </c>
    </row>
    <row r="54" spans="1:6">
      <c r="A54" s="1295" t="s">
        <v>46</v>
      </c>
      <c r="B54" s="1295" t="s">
        <v>47</v>
      </c>
      <c r="C54" s="335">
        <v>0</v>
      </c>
      <c r="D54" s="335">
        <v>0</v>
      </c>
      <c r="E54" s="335">
        <v>1</v>
      </c>
      <c r="F54" s="335">
        <v>1009071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20</v>
      </c>
      <c r="D57" s="335">
        <v>405263.38124489802</v>
      </c>
      <c r="E57" s="335">
        <v>71</v>
      </c>
      <c r="F57" s="335">
        <v>1592461.7522404201</v>
      </c>
    </row>
    <row r="58" spans="1:6">
      <c r="A58" s="1295" t="s">
        <v>49</v>
      </c>
      <c r="B58" s="1295" t="s">
        <v>51</v>
      </c>
      <c r="C58" s="335">
        <v>3</v>
      </c>
      <c r="D58" s="335">
        <v>46465.567270528802</v>
      </c>
      <c r="E58" s="335">
        <v>20</v>
      </c>
      <c r="F58" s="335">
        <v>180735.962392616</v>
      </c>
    </row>
    <row r="59" spans="1:6">
      <c r="A59" s="1295" t="s">
        <v>49</v>
      </c>
      <c r="B59" s="1295" t="s">
        <v>52</v>
      </c>
      <c r="C59" s="335">
        <v>48</v>
      </c>
      <c r="D59" s="335">
        <v>1568428.9963044501</v>
      </c>
      <c r="E59" s="335">
        <v>205</v>
      </c>
      <c r="F59" s="335">
        <v>6434169.9577715304</v>
      </c>
    </row>
    <row r="60" spans="1:6">
      <c r="A60" s="1295" t="s">
        <v>49</v>
      </c>
      <c r="B60" s="1295" t="s">
        <v>53</v>
      </c>
      <c r="C60" s="335">
        <v>21</v>
      </c>
      <c r="D60" s="335">
        <v>784475.31658500805</v>
      </c>
      <c r="E60" s="335">
        <v>50</v>
      </c>
      <c r="F60" s="335">
        <v>955526.11414109799</v>
      </c>
    </row>
    <row r="61" spans="1:6">
      <c r="A61" s="1295" t="s">
        <v>49</v>
      </c>
      <c r="B61" s="1295" t="s">
        <v>54</v>
      </c>
      <c r="C61" s="335">
        <v>69</v>
      </c>
      <c r="D61" s="335">
        <v>2666170.37377339</v>
      </c>
      <c r="E61" s="335">
        <v>314</v>
      </c>
      <c r="F61" s="335">
        <v>3359332.1636917</v>
      </c>
    </row>
    <row r="62" spans="1:6">
      <c r="A62" s="1295" t="s">
        <v>49</v>
      </c>
      <c r="B62" s="1295" t="s">
        <v>55</v>
      </c>
      <c r="C62" s="335">
        <v>3</v>
      </c>
      <c r="D62" s="335">
        <v>292012.63605198101</v>
      </c>
      <c r="E62" s="335">
        <v>9</v>
      </c>
      <c r="F62" s="335">
        <v>241540.351397889</v>
      </c>
    </row>
    <row r="63" spans="1:6">
      <c r="A63" s="1295" t="s">
        <v>49</v>
      </c>
      <c r="B63" s="1295" t="s">
        <v>29</v>
      </c>
      <c r="C63" s="335">
        <v>76</v>
      </c>
      <c r="D63" s="335">
        <v>6932530.13602053</v>
      </c>
      <c r="E63" s="335">
        <v>87</v>
      </c>
      <c r="F63" s="335">
        <v>5263910.9170241803</v>
      </c>
    </row>
    <row r="64" spans="1:6">
      <c r="A64" s="1295" t="s">
        <v>56</v>
      </c>
      <c r="B64" s="1295" t="s">
        <v>57</v>
      </c>
      <c r="C64" s="335">
        <v>0</v>
      </c>
      <c r="D64" s="335">
        <v>0</v>
      </c>
      <c r="E64" s="335">
        <v>0</v>
      </c>
      <c r="F64" s="335">
        <v>0</v>
      </c>
    </row>
    <row r="65" spans="1:6">
      <c r="A65" s="1295" t="s">
        <v>56</v>
      </c>
      <c r="B65" s="1295" t="s">
        <v>29</v>
      </c>
      <c r="C65" s="335">
        <v>1</v>
      </c>
      <c r="D65" s="335">
        <v>19210.966902957</v>
      </c>
      <c r="E65" s="335">
        <v>3</v>
      </c>
      <c r="F65" s="335">
        <v>83981.222667947106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26</v>
      </c>
      <c r="F68" s="335">
        <v>431310.33282905602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45046892</v>
      </c>
      <c r="E73" s="335">
        <v>47932112.858759746</v>
      </c>
    </row>
    <row r="74" spans="1:6">
      <c r="A74" s="1295" t="s">
        <v>64</v>
      </c>
      <c r="B74" s="1295" t="s">
        <v>727</v>
      </c>
      <c r="C74" s="1295" t="s">
        <v>728</v>
      </c>
      <c r="D74" s="335">
        <v>5601402.8041366171</v>
      </c>
      <c r="E74" s="335">
        <v>6069385.998628011</v>
      </c>
    </row>
    <row r="75" spans="1:6">
      <c r="A75" s="1295" t="s">
        <v>65</v>
      </c>
      <c r="B75" s="1295" t="s">
        <v>725</v>
      </c>
      <c r="C75" s="1295" t="s">
        <v>729</v>
      </c>
      <c r="D75" s="335">
        <v>21370929</v>
      </c>
      <c r="E75" s="335">
        <v>23412896.871956382</v>
      </c>
    </row>
    <row r="76" spans="1:6">
      <c r="A76" s="1295" t="s">
        <v>65</v>
      </c>
      <c r="B76" s="1295" t="s">
        <v>727</v>
      </c>
      <c r="C76" s="1295" t="s">
        <v>730</v>
      </c>
      <c r="D76" s="335">
        <v>789218.80413661723</v>
      </c>
      <c r="E76" s="335">
        <v>926377.34112431563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165802.39172676555</v>
      </c>
      <c r="C83" s="335">
        <v>165466.34807567831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2878.4650000000001</v>
      </c>
    </row>
    <row r="92" spans="1:6">
      <c r="A92" s="1291" t="s">
        <v>69</v>
      </c>
      <c r="B92" s="338">
        <v>1834.7190000000001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635</v>
      </c>
    </row>
    <row r="98" spans="1:6">
      <c r="A98" s="1295" t="s">
        <v>72</v>
      </c>
      <c r="B98" s="335">
        <v>2</v>
      </c>
    </row>
    <row r="99" spans="1:6">
      <c r="A99" s="1295" t="s">
        <v>73</v>
      </c>
      <c r="B99" s="335">
        <v>149</v>
      </c>
    </row>
    <row r="100" spans="1:6">
      <c r="A100" s="1295" t="s">
        <v>74</v>
      </c>
      <c r="B100" s="335">
        <v>667</v>
      </c>
    </row>
    <row r="101" spans="1:6">
      <c r="A101" s="1295" t="s">
        <v>75</v>
      </c>
      <c r="B101" s="335">
        <v>111</v>
      </c>
    </row>
    <row r="102" spans="1:6">
      <c r="A102" s="1295" t="s">
        <v>76</v>
      </c>
      <c r="B102" s="335">
        <v>139</v>
      </c>
    </row>
    <row r="103" spans="1:6">
      <c r="A103" s="1295" t="s">
        <v>77</v>
      </c>
      <c r="B103" s="335">
        <v>171</v>
      </c>
    </row>
    <row r="104" spans="1:6">
      <c r="A104" s="1295" t="s">
        <v>78</v>
      </c>
      <c r="B104" s="335">
        <v>3582</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15</v>
      </c>
      <c r="C123" s="335">
        <v>30</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150</v>
      </c>
    </row>
    <row r="130" spans="1:6">
      <c r="A130" s="1295" t="s">
        <v>295</v>
      </c>
      <c r="B130" s="335">
        <v>1</v>
      </c>
    </row>
    <row r="131" spans="1:6">
      <c r="A131" s="1295" t="s">
        <v>296</v>
      </c>
      <c r="B131" s="335">
        <v>0</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72947.919273804451</v>
      </c>
      <c r="C3" s="43" t="s">
        <v>170</v>
      </c>
      <c r="D3" s="43"/>
      <c r="E3" s="156"/>
      <c r="F3" s="43"/>
      <c r="G3" s="43"/>
      <c r="H3" s="43"/>
      <c r="I3" s="43"/>
      <c r="J3" s="43"/>
      <c r="K3" s="96"/>
    </row>
    <row r="4" spans="1:11">
      <c r="A4" s="366" t="s">
        <v>171</v>
      </c>
      <c r="B4" s="49">
        <f>IF(ISERROR('SEAP template'!B78+'SEAP template'!C78),0,'SEAP template'!B78+'SEAP template'!C78)</f>
        <v>4713.1840000000002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0.20672113263312719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1009.071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1009.071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0.20672113263312719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208.59630002724231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28464.718407459801</v>
      </c>
      <c r="C5" s="17">
        <f>IF(ISERROR('Eigen informatie GS &amp; warmtenet'!B57),0,'Eigen informatie GS &amp; warmtenet'!B57)</f>
        <v>0</v>
      </c>
      <c r="D5" s="30">
        <f>(SUM(HH_hh_gas_kWh,HH_rest_gas_kWh)/1000)*0.902</f>
        <v>38129.655199460358</v>
      </c>
      <c r="E5" s="17">
        <f>B46*B57</f>
        <v>6049.203218679314</v>
      </c>
      <c r="F5" s="17">
        <f>B51*B62</f>
        <v>47587.378177701488</v>
      </c>
      <c r="G5" s="18"/>
      <c r="H5" s="17"/>
      <c r="I5" s="17"/>
      <c r="J5" s="17">
        <f>B50*B61+C50*C61</f>
        <v>0</v>
      </c>
      <c r="K5" s="17"/>
      <c r="L5" s="17"/>
      <c r="M5" s="17"/>
      <c r="N5" s="17">
        <f>B48*B59+C48*C59</f>
        <v>16894.366523671964</v>
      </c>
      <c r="O5" s="17">
        <f>B69*B70*B71</f>
        <v>281.40000000000003</v>
      </c>
      <c r="P5" s="17">
        <f>B77*B78*B79/1000-B77*B78*B79/1000/B80</f>
        <v>419.4666666666667</v>
      </c>
    </row>
    <row r="6" spans="1:16">
      <c r="A6" s="16" t="s">
        <v>634</v>
      </c>
      <c r="B6" s="783">
        <f>kWh_PV_kleiner_dan_10kW</f>
        <v>2878.4650000000001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31343.183407459801</v>
      </c>
      <c r="C8" s="21">
        <f>C5</f>
        <v>0</v>
      </c>
      <c r="D8" s="21">
        <f>D5</f>
        <v>38129.655199460358</v>
      </c>
      <c r="E8" s="21">
        <f>E5</f>
        <v>6049.203218679314</v>
      </c>
      <c r="F8" s="21">
        <f>F5</f>
        <v>47587.378177701488</v>
      </c>
      <c r="G8" s="21"/>
      <c r="H8" s="21"/>
      <c r="I8" s="21"/>
      <c r="J8" s="21">
        <f>J5</f>
        <v>0</v>
      </c>
      <c r="K8" s="21"/>
      <c r="L8" s="21">
        <f>L5</f>
        <v>0</v>
      </c>
      <c r="M8" s="21">
        <f>M5</f>
        <v>0</v>
      </c>
      <c r="N8" s="21">
        <f>N5</f>
        <v>16894.366523671964</v>
      </c>
      <c r="O8" s="21">
        <f>O5</f>
        <v>281.40000000000003</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0.20672113263312719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6479.2983743179293</v>
      </c>
      <c r="C12" s="23">
        <f ca="1">C10*C8</f>
        <v>0</v>
      </c>
      <c r="D12" s="23">
        <f>D8*D10</f>
        <v>7702.1903502909927</v>
      </c>
      <c r="E12" s="23">
        <f>E10*E8</f>
        <v>1373.1691306402042</v>
      </c>
      <c r="F12" s="23">
        <f>F10*F8</f>
        <v>12705.829973446298</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635</v>
      </c>
      <c r="C18" s="168" t="s">
        <v>111</v>
      </c>
      <c r="D18" s="230"/>
      <c r="E18" s="15"/>
    </row>
    <row r="19" spans="1:7">
      <c r="A19" s="173" t="s">
        <v>72</v>
      </c>
      <c r="B19" s="37">
        <f>aantalw2001_ander</f>
        <v>2</v>
      </c>
      <c r="C19" s="168" t="s">
        <v>111</v>
      </c>
      <c r="D19" s="231"/>
      <c r="E19" s="15"/>
    </row>
    <row r="20" spans="1:7">
      <c r="A20" s="173" t="s">
        <v>73</v>
      </c>
      <c r="B20" s="37">
        <f>aantalw2001_propaan</f>
        <v>149</v>
      </c>
      <c r="C20" s="169">
        <f>IF(ISERROR(B20/SUM($B$20,$B$21,$B$22)*100),0,B20/SUM($B$20,$B$21,$B$22)*100)</f>
        <v>16.073354908306364</v>
      </c>
      <c r="D20" s="231"/>
      <c r="E20" s="15"/>
    </row>
    <row r="21" spans="1:7">
      <c r="A21" s="173" t="s">
        <v>74</v>
      </c>
      <c r="B21" s="37">
        <f>aantalw2001_elektriciteit</f>
        <v>667</v>
      </c>
      <c r="C21" s="169">
        <f>IF(ISERROR(B21/SUM($B$20,$B$21,$B$22)*100),0,B21/SUM($B$20,$B$21,$B$22)*100)</f>
        <v>71.952535059331183</v>
      </c>
      <c r="D21" s="231"/>
      <c r="E21" s="15"/>
    </row>
    <row r="22" spans="1:7">
      <c r="A22" s="173" t="s">
        <v>75</v>
      </c>
      <c r="B22" s="37">
        <f>aantalw2001_hout</f>
        <v>111</v>
      </c>
      <c r="C22" s="169">
        <f>IF(ISERROR(B22/SUM($B$20,$B$21,$B$22)*100),0,B22/SUM($B$20,$B$21,$B$22)*100)</f>
        <v>11.974110032362459</v>
      </c>
      <c r="D22" s="231"/>
      <c r="E22" s="15"/>
    </row>
    <row r="23" spans="1:7">
      <c r="A23" s="173" t="s">
        <v>76</v>
      </c>
      <c r="B23" s="37">
        <f>aantalw2001_niet_gespec</f>
        <v>139</v>
      </c>
      <c r="C23" s="168" t="s">
        <v>111</v>
      </c>
      <c r="D23" s="230"/>
      <c r="E23" s="15"/>
    </row>
    <row r="24" spans="1:7">
      <c r="A24" s="173" t="s">
        <v>77</v>
      </c>
      <c r="B24" s="37">
        <f>aantalw2001_steenkool</f>
        <v>171</v>
      </c>
      <c r="C24" s="168" t="s">
        <v>111</v>
      </c>
      <c r="D24" s="231"/>
      <c r="E24" s="15"/>
    </row>
    <row r="25" spans="1:7">
      <c r="A25" s="173" t="s">
        <v>78</v>
      </c>
      <c r="B25" s="37">
        <f>aantalw2001_stookolie</f>
        <v>3582</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6234</v>
      </c>
      <c r="C28" s="36"/>
      <c r="D28" s="230"/>
    </row>
    <row r="29" spans="1:7" s="15" customFormat="1">
      <c r="A29" s="232" t="s">
        <v>746</v>
      </c>
      <c r="B29" s="37">
        <f>SUM(HH_hh_gas_aantal,HH_rest_gas_aantal)</f>
        <v>2524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2524</v>
      </c>
      <c r="C32" s="169">
        <f>IF(ISERROR(B32/SUM($B$32,$B$34,$B$35,$B$36,$B$38,$B$39)*100),0,B32/SUM($B$32,$B$34,$B$35,$B$36,$B$38,$B$39)*100)</f>
        <v>40.631036703155182</v>
      </c>
      <c r="D32" s="235"/>
      <c r="G32" s="15"/>
    </row>
    <row r="33" spans="1:7">
      <c r="A33" s="173" t="s">
        <v>72</v>
      </c>
      <c r="B33" s="34" t="s">
        <v>111</v>
      </c>
      <c r="C33" s="169"/>
      <c r="D33" s="235"/>
      <c r="G33" s="15"/>
    </row>
    <row r="34" spans="1:7">
      <c r="A34" s="173" t="s">
        <v>73</v>
      </c>
      <c r="B34" s="33">
        <f>IF((($B$28-$B$32-$B$39-$B$77-$B$38)*C20/100)&lt;0,0,($B$28-$B$32-$B$39-$B$77-$B$38)*C20/100)</f>
        <v>290.30086299892127</v>
      </c>
      <c r="C34" s="169">
        <f>IF(ISERROR(B34/SUM($B$32,$B$34,$B$35,$B$36,$B$38,$B$39)*100),0,B34/SUM($B$32,$B$34,$B$35,$B$36,$B$38,$B$39)*100)</f>
        <v>4.6732270283148951</v>
      </c>
      <c r="D34" s="235"/>
      <c r="G34" s="15"/>
    </row>
    <row r="35" spans="1:7">
      <c r="A35" s="173" t="s">
        <v>74</v>
      </c>
      <c r="B35" s="33">
        <f>IF((($B$28-$B$32-$B$39-$B$77-$B$38)*C21/100)&lt;0,0,($B$28-$B$32-$B$39-$B$77-$B$38)*C21/100)</f>
        <v>1299.5347357065805</v>
      </c>
      <c r="C35" s="169">
        <f>IF(ISERROR(B35/SUM($B$32,$B$34,$B$35,$B$36,$B$38,$B$39)*100),0,B35/SUM($B$32,$B$34,$B$35,$B$36,$B$38,$B$39)*100)</f>
        <v>20.91974783816131</v>
      </c>
      <c r="D35" s="235"/>
      <c r="G35" s="15"/>
    </row>
    <row r="36" spans="1:7">
      <c r="A36" s="173" t="s">
        <v>75</v>
      </c>
      <c r="B36" s="33">
        <f>IF((($B$28-$B$32-$B$39-$B$77-$B$38)*C22/100)&lt;0,0,($B$28-$B$32-$B$39-$B$77-$B$38)*C22/100)</f>
        <v>216.26440129449838</v>
      </c>
      <c r="C36" s="169">
        <f>IF(ISERROR(B36/SUM($B$32,$B$34,$B$35,$B$36,$B$38,$B$39)*100),0,B36/SUM($B$32,$B$34,$B$35,$B$36,$B$38,$B$39)*100)</f>
        <v>3.4813973163956597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1881.8999999999999</v>
      </c>
      <c r="C39" s="169">
        <f>IF(ISERROR(B39/SUM($B$32,$B$34,$B$35,$B$36,$B$38,$B$39)*100),0,B39/SUM($B$32,$B$34,$B$35,$B$36,$B$38,$B$39)*100)</f>
        <v>30.294591113972952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2524</v>
      </c>
      <c r="C44" s="34" t="s">
        <v>111</v>
      </c>
      <c r="D44" s="176"/>
    </row>
    <row r="45" spans="1:7">
      <c r="A45" s="173" t="s">
        <v>72</v>
      </c>
      <c r="B45" s="33" t="str">
        <f t="shared" si="0"/>
        <v>-</v>
      </c>
      <c r="C45" s="34" t="s">
        <v>111</v>
      </c>
      <c r="D45" s="176"/>
    </row>
    <row r="46" spans="1:7">
      <c r="A46" s="173" t="s">
        <v>73</v>
      </c>
      <c r="B46" s="33">
        <f t="shared" si="0"/>
        <v>290.30086299892127</v>
      </c>
      <c r="C46" s="34" t="s">
        <v>111</v>
      </c>
      <c r="D46" s="176"/>
    </row>
    <row r="47" spans="1:7">
      <c r="A47" s="173" t="s">
        <v>74</v>
      </c>
      <c r="B47" s="33">
        <f t="shared" si="0"/>
        <v>1299.5347357065805</v>
      </c>
      <c r="C47" s="34" t="s">
        <v>111</v>
      </c>
      <c r="D47" s="176"/>
    </row>
    <row r="48" spans="1:7">
      <c r="A48" s="173" t="s">
        <v>75</v>
      </c>
      <c r="B48" s="33">
        <f t="shared" si="0"/>
        <v>216.26440129449838</v>
      </c>
      <c r="C48" s="33">
        <f>B48*10</f>
        <v>2162.6440129449838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1881.8999999999999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18027.677218659435</v>
      </c>
      <c r="C5" s="17">
        <f>IF(ISERROR('Eigen informatie GS &amp; warmtenet'!B58),0,'Eigen informatie GS &amp; warmtenet'!B58)</f>
        <v>0</v>
      </c>
      <c r="D5" s="30">
        <f>SUM(D6:D12)</f>
        <v>11451.202459340209</v>
      </c>
      <c r="E5" s="17">
        <f>SUM(E6:E12)</f>
        <v>231.20422135775283</v>
      </c>
      <c r="F5" s="17">
        <f>SUM(F6:F12)</f>
        <v>3537.4774793221245</v>
      </c>
      <c r="G5" s="18"/>
      <c r="H5" s="17"/>
      <c r="I5" s="17"/>
      <c r="J5" s="17">
        <f>SUM(J6:J12)</f>
        <v>0</v>
      </c>
      <c r="K5" s="17"/>
      <c r="L5" s="17"/>
      <c r="M5" s="17"/>
      <c r="N5" s="17">
        <f>SUM(N6:N12)</f>
        <v>1549.5622823582587</v>
      </c>
      <c r="O5" s="17">
        <f>B38*B39*B40</f>
        <v>1.5633333333333335</v>
      </c>
      <c r="P5" s="17">
        <f>B46*B47*B48/1000-B46*B47*B48/1000/B49</f>
        <v>19.066666666666666</v>
      </c>
      <c r="R5" s="32"/>
    </row>
    <row r="6" spans="1:18">
      <c r="A6" s="32" t="s">
        <v>54</v>
      </c>
      <c r="B6" s="37">
        <f>B26</f>
        <v>3359.3321636916999</v>
      </c>
      <c r="C6" s="33"/>
      <c r="D6" s="37">
        <f>IF(ISERROR(TER_kantoor_gas_kWh/1000),0,TER_kantoor_gas_kWh/1000)*0.902</f>
        <v>2404.8856771435981</v>
      </c>
      <c r="E6" s="33">
        <f>$C$26*'E Balans VL '!I12/100/3.6*1000000</f>
        <v>13.051716667999965</v>
      </c>
      <c r="F6" s="33">
        <f>$C$26*('E Balans VL '!L12+'E Balans VL '!N12)/100/3.6*1000000</f>
        <v>510.92385461186939</v>
      </c>
      <c r="G6" s="34"/>
      <c r="H6" s="33"/>
      <c r="I6" s="33"/>
      <c r="J6" s="33">
        <f>$C$26*('E Balans VL '!D12+'E Balans VL '!E12)/100/3.6*1000000</f>
        <v>0</v>
      </c>
      <c r="K6" s="33"/>
      <c r="L6" s="33"/>
      <c r="M6" s="33"/>
      <c r="N6" s="33">
        <f>$C$26*'E Balans VL '!Y12/100/3.6*1000000</f>
        <v>1.8513944602765173</v>
      </c>
      <c r="O6" s="33"/>
      <c r="P6" s="33"/>
      <c r="R6" s="32"/>
    </row>
    <row r="7" spans="1:18">
      <c r="A7" s="32" t="s">
        <v>53</v>
      </c>
      <c r="B7" s="37">
        <f t="shared" ref="B7:B12" si="0">B27</f>
        <v>955.52611414109799</v>
      </c>
      <c r="C7" s="33"/>
      <c r="D7" s="37">
        <f>IF(ISERROR(TER_horeca_gas_kWh/1000),0,TER_horeca_gas_kWh/1000)*0.902</f>
        <v>707.59673555967731</v>
      </c>
      <c r="E7" s="33">
        <f>$C$27*'E Balans VL '!I9/100/3.6*1000000</f>
        <v>53.825041474924831</v>
      </c>
      <c r="F7" s="33">
        <f>$C$27*('E Balans VL '!L9+'E Balans VL '!N9)/100/3.6*1000000</f>
        <v>275.51652513764589</v>
      </c>
      <c r="G7" s="34"/>
      <c r="H7" s="33"/>
      <c r="I7" s="33"/>
      <c r="J7" s="33">
        <f>$C$27*('E Balans VL '!D9+'E Balans VL '!E9)/100/3.6*1000000</f>
        <v>0</v>
      </c>
      <c r="K7" s="33"/>
      <c r="L7" s="33"/>
      <c r="M7" s="33"/>
      <c r="N7" s="33">
        <f>$C$27*'E Balans VL '!Y9/100/3.6*1000000</f>
        <v>0.26381579473349065</v>
      </c>
      <c r="O7" s="33"/>
      <c r="P7" s="33"/>
      <c r="R7" s="32"/>
    </row>
    <row r="8" spans="1:18">
      <c r="A8" s="6" t="s">
        <v>52</v>
      </c>
      <c r="B8" s="37">
        <f t="shared" si="0"/>
        <v>6434.1699577715308</v>
      </c>
      <c r="C8" s="33"/>
      <c r="D8" s="37">
        <f>IF(ISERROR(TER_handel_gas_kWh/1000),0,TER_handel_gas_kWh/1000)*0.902</f>
        <v>1414.722954666614</v>
      </c>
      <c r="E8" s="33">
        <f>$C$28*'E Balans VL '!I13/100/3.6*1000000</f>
        <v>92.738218058703225</v>
      </c>
      <c r="F8" s="33">
        <f>$C$28*('E Balans VL '!L13+'E Balans VL '!N13)/100/3.6*1000000</f>
        <v>1117.7651633720852</v>
      </c>
      <c r="G8" s="34"/>
      <c r="H8" s="33"/>
      <c r="I8" s="33"/>
      <c r="J8" s="33">
        <f>$C$28*('E Balans VL '!D13+'E Balans VL '!E13)/100/3.6*1000000</f>
        <v>0</v>
      </c>
      <c r="K8" s="33"/>
      <c r="L8" s="33"/>
      <c r="M8" s="33"/>
      <c r="N8" s="33">
        <f>$C$28*'E Balans VL '!Y13/100/3.6*1000000</f>
        <v>19.277489460038407</v>
      </c>
      <c r="O8" s="33"/>
      <c r="P8" s="33"/>
      <c r="R8" s="32"/>
    </row>
    <row r="9" spans="1:18">
      <c r="A9" s="32" t="s">
        <v>51</v>
      </c>
      <c r="B9" s="37">
        <f t="shared" si="0"/>
        <v>180.73596239261599</v>
      </c>
      <c r="C9" s="33"/>
      <c r="D9" s="37">
        <f>IF(ISERROR(TER_gezond_gas_kWh/1000),0,TER_gezond_gas_kWh/1000)*0.902</f>
        <v>41.91194167801698</v>
      </c>
      <c r="E9" s="33">
        <f>$C$29*'E Balans VL '!I10/100/3.6*1000000</f>
        <v>0.19307285287643638</v>
      </c>
      <c r="F9" s="33">
        <f>$C$29*('E Balans VL '!L10+'E Balans VL '!N10)/100/3.6*1000000</f>
        <v>29.483528238250361</v>
      </c>
      <c r="G9" s="34"/>
      <c r="H9" s="33"/>
      <c r="I9" s="33"/>
      <c r="J9" s="33">
        <f>$C$29*('E Balans VL '!D10+'E Balans VL '!E10)/100/3.6*1000000</f>
        <v>0</v>
      </c>
      <c r="K9" s="33"/>
      <c r="L9" s="33"/>
      <c r="M9" s="33"/>
      <c r="N9" s="33">
        <f>$C$29*'E Balans VL '!Y10/100/3.6*1000000</f>
        <v>1.8605736069492331</v>
      </c>
      <c r="O9" s="33"/>
      <c r="P9" s="33"/>
      <c r="R9" s="32"/>
    </row>
    <row r="10" spans="1:18">
      <c r="A10" s="32" t="s">
        <v>50</v>
      </c>
      <c r="B10" s="37">
        <f t="shared" si="0"/>
        <v>1592.4617522404201</v>
      </c>
      <c r="C10" s="33"/>
      <c r="D10" s="37">
        <f>IF(ISERROR(TER_ander_gas_kWh/1000),0,TER_ander_gas_kWh/1000)*0.902</f>
        <v>365.54756988289802</v>
      </c>
      <c r="E10" s="33">
        <f>$C$30*'E Balans VL '!I14/100/3.6*1000000</f>
        <v>7.3234893671394596</v>
      </c>
      <c r="F10" s="33">
        <f>$C$30*('E Balans VL '!L14+'E Balans VL '!N14)/100/3.6*1000000</f>
        <v>477.31101790477464</v>
      </c>
      <c r="G10" s="34"/>
      <c r="H10" s="33"/>
      <c r="I10" s="33"/>
      <c r="J10" s="33">
        <f>$C$30*('E Balans VL '!D14+'E Balans VL '!E14)/100/3.6*1000000</f>
        <v>0</v>
      </c>
      <c r="K10" s="33"/>
      <c r="L10" s="33"/>
      <c r="M10" s="33"/>
      <c r="N10" s="33">
        <f>$C$30*'E Balans VL '!Y14/100/3.6*1000000</f>
        <v>1108.4584991837003</v>
      </c>
      <c r="O10" s="33"/>
      <c r="P10" s="33"/>
      <c r="R10" s="32"/>
    </row>
    <row r="11" spans="1:18">
      <c r="A11" s="32" t="s">
        <v>55</v>
      </c>
      <c r="B11" s="37">
        <f t="shared" si="0"/>
        <v>241.540351397889</v>
      </c>
      <c r="C11" s="33"/>
      <c r="D11" s="37">
        <f>IF(ISERROR(TER_onderwijs_gas_kWh/1000),0,TER_onderwijs_gas_kWh/1000)*0.902</f>
        <v>263.3953977188869</v>
      </c>
      <c r="E11" s="33">
        <f>$C$31*'E Balans VL '!I11/100/3.6*1000000</f>
        <v>0.22406044059804606</v>
      </c>
      <c r="F11" s="33">
        <f>$C$31*('E Balans VL '!L11+'E Balans VL '!N11)/100/3.6*1000000</f>
        <v>84.847574040226576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5263.91091702418</v>
      </c>
      <c r="C12" s="33"/>
      <c r="D12" s="37">
        <f>IF(ISERROR(TER_rest_gas_kWh/1000),0,TER_rest_gas_kWh/1000)*0.902</f>
        <v>6253.1421826905189</v>
      </c>
      <c r="E12" s="33">
        <f>$C$32*'E Balans VL '!I8/100/3.6*1000000</f>
        <v>63.848622495510845</v>
      </c>
      <c r="F12" s="33">
        <f>$C$32*('E Balans VL '!L8+'E Balans VL '!N8)/100/3.6*1000000</f>
        <v>1041.6298160172728</v>
      </c>
      <c r="G12" s="34"/>
      <c r="H12" s="33"/>
      <c r="I12" s="33"/>
      <c r="J12" s="33">
        <f>$C$32*('E Balans VL '!D8+'E Balans VL '!E8)/100/3.6*1000000</f>
        <v>0</v>
      </c>
      <c r="K12" s="33"/>
      <c r="L12" s="33"/>
      <c r="M12" s="33"/>
      <c r="N12" s="33">
        <f>$C$32*'E Balans VL '!Y8/100/3.6*1000000</f>
        <v>417.85050985256095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18027.677218659435</v>
      </c>
      <c r="C16" s="21">
        <f t="shared" ca="1" si="1"/>
        <v>0</v>
      </c>
      <c r="D16" s="21">
        <f t="shared" ca="1" si="1"/>
        <v>11451.202459340209</v>
      </c>
      <c r="E16" s="21">
        <f t="shared" si="1"/>
        <v>231.20422135775283</v>
      </c>
      <c r="F16" s="21">
        <f t="shared" ca="1" si="1"/>
        <v>3537.4774793221245</v>
      </c>
      <c r="G16" s="21">
        <f t="shared" si="1"/>
        <v>0</v>
      </c>
      <c r="H16" s="21">
        <f t="shared" si="1"/>
        <v>0</v>
      </c>
      <c r="I16" s="21">
        <f t="shared" si="1"/>
        <v>0</v>
      </c>
      <c r="J16" s="21">
        <f t="shared" si="1"/>
        <v>0</v>
      </c>
      <c r="K16" s="21">
        <f t="shared" si="1"/>
        <v>0</v>
      </c>
      <c r="L16" s="21">
        <f t="shared" ca="1" si="1"/>
        <v>0</v>
      </c>
      <c r="M16" s="21">
        <f t="shared" si="1"/>
        <v>0</v>
      </c>
      <c r="N16" s="21">
        <f t="shared" ca="1" si="1"/>
        <v>1549.5622823582587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0.20672113263312719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3726.7018533857026</v>
      </c>
      <c r="C20" s="23">
        <f t="shared" ref="C20:P20" ca="1" si="2">C16*C18</f>
        <v>0</v>
      </c>
      <c r="D20" s="23">
        <f t="shared" ca="1" si="2"/>
        <v>2313.1428967867223</v>
      </c>
      <c r="E20" s="23">
        <f t="shared" si="2"/>
        <v>52.483358248209896</v>
      </c>
      <c r="F20" s="23">
        <f t="shared" ca="1" si="2"/>
        <v>944.50648697900726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3359.3321636916999</v>
      </c>
      <c r="C26" s="39">
        <f>IF(ISERROR(B26*3.6/1000000/'E Balans VL '!Z12*100),0,B26*3.6/1000000/'E Balans VL '!Z12*100)</f>
        <v>7.1353879153648964E-2</v>
      </c>
      <c r="D26" s="239" t="s">
        <v>692</v>
      </c>
      <c r="F26" s="6"/>
    </row>
    <row r="27" spans="1:18">
      <c r="A27" s="233" t="s">
        <v>53</v>
      </c>
      <c r="B27" s="33">
        <f>IF(ISERROR(TER_horeca_ele_kWh/1000),0,TER_horeca_ele_kWh/1000)</f>
        <v>955.52611414109799</v>
      </c>
      <c r="C27" s="39">
        <f>IF(ISERROR(B27*3.6/1000000/'E Balans VL '!Z9*100),0,B27*3.6/1000000/'E Balans VL '!Z9*100)</f>
        <v>7.4297974603319161E-2</v>
      </c>
      <c r="D27" s="239" t="s">
        <v>692</v>
      </c>
      <c r="F27" s="6"/>
    </row>
    <row r="28" spans="1:18">
      <c r="A28" s="173" t="s">
        <v>52</v>
      </c>
      <c r="B28" s="33">
        <f>IF(ISERROR(TER_handel_ele_kWh/1000),0,TER_handel_ele_kWh/1000)</f>
        <v>6434.1699577715308</v>
      </c>
      <c r="C28" s="39">
        <f>IF(ISERROR(B28*3.6/1000000/'E Balans VL '!Z13*100),0,B28*3.6/1000000/'E Balans VL '!Z13*100)</f>
        <v>0.18408917475239212</v>
      </c>
      <c r="D28" s="239" t="s">
        <v>692</v>
      </c>
      <c r="F28" s="6"/>
    </row>
    <row r="29" spans="1:18">
      <c r="A29" s="233" t="s">
        <v>51</v>
      </c>
      <c r="B29" s="33">
        <f>IF(ISERROR(TER_gezond_ele_kWh/1000),0,TER_gezond_ele_kWh/1000)</f>
        <v>180.73596239261599</v>
      </c>
      <c r="C29" s="39">
        <f>IF(ISERROR(B29*3.6/1000000/'E Balans VL '!Z10*100),0,B29*3.6/1000000/'E Balans VL '!Z10*100)</f>
        <v>1.9704419700871452E-2</v>
      </c>
      <c r="D29" s="239" t="s">
        <v>692</v>
      </c>
      <c r="F29" s="6"/>
    </row>
    <row r="30" spans="1:18">
      <c r="A30" s="233" t="s">
        <v>50</v>
      </c>
      <c r="B30" s="33">
        <f>IF(ISERROR(TER_ander_ele_kWh/1000),0,TER_ander_ele_kWh/1000)</f>
        <v>1592.4617522404201</v>
      </c>
      <c r="C30" s="39">
        <f>IF(ISERROR(B30*3.6/1000000/'E Balans VL '!Z14*100),0,B30*3.6/1000000/'E Balans VL '!Z14*100)</f>
        <v>0.11653273861510288</v>
      </c>
      <c r="D30" s="239" t="s">
        <v>692</v>
      </c>
      <c r="F30" s="6"/>
    </row>
    <row r="31" spans="1:18">
      <c r="A31" s="233" t="s">
        <v>55</v>
      </c>
      <c r="B31" s="33">
        <f>IF(ISERROR(TER_onderwijs_ele_kWh/1000),0,TER_onderwijs_ele_kWh/1000)</f>
        <v>241.540351397889</v>
      </c>
      <c r="C31" s="39">
        <f>IF(ISERROR(B31*3.6/1000000/'E Balans VL '!Z11*100),0,B31*3.6/1000000/'E Balans VL '!Z11*100)</f>
        <v>4.8513558941185038E-2</v>
      </c>
      <c r="D31" s="239" t="s">
        <v>692</v>
      </c>
    </row>
    <row r="32" spans="1:18">
      <c r="A32" s="233" t="s">
        <v>260</v>
      </c>
      <c r="B32" s="33">
        <f>IF(ISERROR(TER_rest_ele_kWh/1000),0,TER_rest_ele_kWh/1000)</f>
        <v>5263.91091702418</v>
      </c>
      <c r="C32" s="39">
        <f>IF(ISERROR(B32*3.6/1000000/'E Balans VL '!Z8*100),0,B32*3.6/1000000/'E Balans VL '!Z8*100)</f>
        <v>4.2897679468521764E-2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20406.028297097768</v>
      </c>
      <c r="C5" s="17">
        <f>IF(ISERROR('Eigen informatie GS &amp; warmtenet'!B59),0,'Eigen informatie GS &amp; warmtenet'!B59)</f>
        <v>0</v>
      </c>
      <c r="D5" s="30">
        <f>SUM(D6:D15)</f>
        <v>12779.901184659338</v>
      </c>
      <c r="E5" s="17">
        <f>SUM(E6:E15)</f>
        <v>2444.1764020277396</v>
      </c>
      <c r="F5" s="17">
        <f>SUM(F6:F15)</f>
        <v>14054.643647501409</v>
      </c>
      <c r="G5" s="18"/>
      <c r="H5" s="17"/>
      <c r="I5" s="17"/>
      <c r="J5" s="17">
        <f>SUM(J6:J15)</f>
        <v>12.991779846255961</v>
      </c>
      <c r="K5" s="17"/>
      <c r="L5" s="17"/>
      <c r="M5" s="17"/>
      <c r="N5" s="17">
        <f>SUM(N6:N15)</f>
        <v>4681.3035363440376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1524.0719800644802</v>
      </c>
      <c r="C8" s="33"/>
      <c r="D8" s="37">
        <f>IF( ISERROR(IND_metaal_Gas_kWH/1000),0,IND_metaal_Gas_kWH/1000)*0.902</f>
        <v>0</v>
      </c>
      <c r="E8" s="33">
        <f>C30*'E Balans VL '!I18/100/3.6*1000000</f>
        <v>43.77706793186217</v>
      </c>
      <c r="F8" s="33">
        <f>C30*'E Balans VL '!L18/100/3.6*1000000+C30*'E Balans VL '!N18/100/3.6*1000000</f>
        <v>390.89515076988056</v>
      </c>
      <c r="G8" s="34"/>
      <c r="H8" s="33"/>
      <c r="I8" s="33"/>
      <c r="J8" s="40">
        <f>C30*'E Balans VL '!D18/100/3.6*1000000+C30*'E Balans VL '!E18/100/3.6*1000000</f>
        <v>0</v>
      </c>
      <c r="K8" s="33"/>
      <c r="L8" s="33"/>
      <c r="M8" s="33"/>
      <c r="N8" s="33">
        <f>C30*'E Balans VL '!Y18/100/3.6*1000000</f>
        <v>41.381665330431488</v>
      </c>
      <c r="O8" s="33"/>
      <c r="P8" s="33"/>
      <c r="R8" s="32"/>
    </row>
    <row r="9" spans="1:18">
      <c r="A9" s="6" t="s">
        <v>33</v>
      </c>
      <c r="B9" s="37">
        <f t="shared" si="0"/>
        <v>6316.92747221219</v>
      </c>
      <c r="C9" s="33"/>
      <c r="D9" s="37">
        <f>IF( ISERROR(IND_andere_gas_kWh/1000),0,IND_andere_gas_kWh/1000)*0.902</f>
        <v>894.54646229371053</v>
      </c>
      <c r="E9" s="33">
        <f>C31*'E Balans VL '!I19/100/3.6*1000000</f>
        <v>1709.8369521765878</v>
      </c>
      <c r="F9" s="33">
        <f>C31*'E Balans VL '!L19/100/3.6*1000000+C31*'E Balans VL '!N19/100/3.6*1000000</f>
        <v>4207.7421670568629</v>
      </c>
      <c r="G9" s="34"/>
      <c r="H9" s="33"/>
      <c r="I9" s="33"/>
      <c r="J9" s="40">
        <f>C31*'E Balans VL '!D19/100/3.6*1000000+C31*'E Balans VL '!E19/100/3.6*1000000</f>
        <v>0</v>
      </c>
      <c r="K9" s="33"/>
      <c r="L9" s="33"/>
      <c r="M9" s="33"/>
      <c r="N9" s="33">
        <f>C31*'E Balans VL '!Y19/100/3.6*1000000</f>
        <v>2062.3718865285346</v>
      </c>
      <c r="O9" s="33"/>
      <c r="P9" s="33"/>
      <c r="R9" s="32"/>
    </row>
    <row r="10" spans="1:18">
      <c r="A10" s="6" t="s">
        <v>41</v>
      </c>
      <c r="B10" s="37">
        <f t="shared" si="0"/>
        <v>5517.3463036950798</v>
      </c>
      <c r="C10" s="33"/>
      <c r="D10" s="37">
        <f>IF( ISERROR(IND_voed_gas_kWh/1000),0,IND_voed_gas_kWh/1000)*0.902</f>
        <v>213.22237346931718</v>
      </c>
      <c r="E10" s="33">
        <f>C32*'E Balans VL '!I20/100/3.6*1000000</f>
        <v>450.00744030266276</v>
      </c>
      <c r="F10" s="33">
        <f>C32*'E Balans VL '!L20/100/3.6*1000000+C32*'E Balans VL '!N20/100/3.6*1000000</f>
        <v>8226.8639163272837</v>
      </c>
      <c r="G10" s="34"/>
      <c r="H10" s="33"/>
      <c r="I10" s="33"/>
      <c r="J10" s="40">
        <f>C32*'E Balans VL '!D20/100/3.6*1000000+C32*'E Balans VL '!E20/100/3.6*1000000</f>
        <v>7.2987794437901335E-2</v>
      </c>
      <c r="K10" s="33"/>
      <c r="L10" s="33"/>
      <c r="M10" s="33"/>
      <c r="N10" s="33">
        <f>C32*'E Balans VL '!Y20/100/3.6*1000000</f>
        <v>1620.8016578671491</v>
      </c>
      <c r="O10" s="33"/>
      <c r="P10" s="33"/>
      <c r="R10" s="32"/>
    </row>
    <row r="11" spans="1:18">
      <c r="A11" s="6" t="s">
        <v>40</v>
      </c>
      <c r="B11" s="37">
        <f t="shared" si="0"/>
        <v>2380.8790754063798</v>
      </c>
      <c r="C11" s="33"/>
      <c r="D11" s="37">
        <f>IF( ISERROR(IND_textiel_gas_kWh/1000),0,IND_textiel_gas_kWh/1000)*0.902</f>
        <v>0</v>
      </c>
      <c r="E11" s="33">
        <f>C33*'E Balans VL '!I21/100/3.6*1000000</f>
        <v>0.47193894484036958</v>
      </c>
      <c r="F11" s="33">
        <f>C33*'E Balans VL '!L21/100/3.6*1000000+C33*'E Balans VL '!N21/100/3.6*1000000</f>
        <v>87.690648886991511</v>
      </c>
      <c r="G11" s="34"/>
      <c r="H11" s="33"/>
      <c r="I11" s="33"/>
      <c r="J11" s="40">
        <f>C33*'E Balans VL '!D21/100/3.6*1000000+C33*'E Balans VL '!E21/100/3.6*1000000</f>
        <v>0</v>
      </c>
      <c r="K11" s="33"/>
      <c r="L11" s="33"/>
      <c r="M11" s="33"/>
      <c r="N11" s="33">
        <f>C33*'E Balans VL '!Y21/100/3.6*1000000</f>
        <v>11.07048666712919</v>
      </c>
      <c r="O11" s="33"/>
      <c r="P11" s="33"/>
      <c r="R11" s="32"/>
    </row>
    <row r="12" spans="1:18">
      <c r="A12" s="6" t="s">
        <v>37</v>
      </c>
      <c r="B12" s="37">
        <f t="shared" si="0"/>
        <v>372.26939683564103</v>
      </c>
      <c r="C12" s="33"/>
      <c r="D12" s="37">
        <f>IF( ISERROR(IND_min_gas_kWh/1000),0,IND_min_gas_kWh/1000)*0.902</f>
        <v>190.91264676041021</v>
      </c>
      <c r="E12" s="33">
        <f>C34*'E Balans VL '!I22/100/3.6*1000000</f>
        <v>2.8998974873007368</v>
      </c>
      <c r="F12" s="33">
        <f>C34*'E Balans VL '!L22/100/3.6*1000000+C34*'E Balans VL '!N22/100/3.6*1000000</f>
        <v>140.39713983326391</v>
      </c>
      <c r="G12" s="34"/>
      <c r="H12" s="33"/>
      <c r="I12" s="33"/>
      <c r="J12" s="40">
        <f>C34*'E Balans VL '!D22/100/3.6*1000000+C34*'E Balans VL '!E22/100/3.6*1000000</f>
        <v>2.047449133992866</v>
      </c>
      <c r="K12" s="33"/>
      <c r="L12" s="33"/>
      <c r="M12" s="33"/>
      <c r="N12" s="33">
        <f>C34*'E Balans VL '!Y22/100/3.6*1000000</f>
        <v>0</v>
      </c>
      <c r="O12" s="33"/>
      <c r="P12" s="33"/>
      <c r="R12" s="32"/>
    </row>
    <row r="13" spans="1:18">
      <c r="A13" s="6" t="s">
        <v>39</v>
      </c>
      <c r="B13" s="37">
        <f t="shared" si="0"/>
        <v>52.990493719346603</v>
      </c>
      <c r="C13" s="33"/>
      <c r="D13" s="37">
        <f>IF( ISERROR(IND_papier_gas_kWh/1000),0,IND_papier_gas_kWh/1000)*0.902</f>
        <v>45.548212102897374</v>
      </c>
      <c r="E13" s="33">
        <f>C35*'E Balans VL '!I23/100/3.6*1000000</f>
        <v>0.5551719586083248</v>
      </c>
      <c r="F13" s="33">
        <f>C35*'E Balans VL '!L23/100/3.6*1000000+C35*'E Balans VL '!N23/100/3.6*1000000</f>
        <v>3.9541600336924421</v>
      </c>
      <c r="G13" s="34"/>
      <c r="H13" s="33"/>
      <c r="I13" s="33"/>
      <c r="J13" s="40">
        <f>C35*'E Balans VL '!D23/100/3.6*1000000+C35*'E Balans VL '!E23/100/3.6*1000000</f>
        <v>0</v>
      </c>
      <c r="K13" s="33"/>
      <c r="L13" s="33"/>
      <c r="M13" s="33"/>
      <c r="N13" s="33">
        <f>C35*'E Balans VL '!Y23/100/3.6*1000000</f>
        <v>113.26164934542199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4241.5435751646501</v>
      </c>
      <c r="C15" s="33"/>
      <c r="D15" s="37">
        <f>IF( ISERROR(IND_rest_gas_kWh/1000),0,IND_rest_gas_kWh/1000)*0.902</f>
        <v>11435.671490033003</v>
      </c>
      <c r="E15" s="33">
        <f>C37*'E Balans VL '!I15/100/3.6*1000000</f>
        <v>236.62793322587743</v>
      </c>
      <c r="F15" s="33">
        <f>C37*'E Balans VL '!L15/100/3.6*1000000+C37*'E Balans VL '!N15/100/3.6*1000000</f>
        <v>997.1004645934338</v>
      </c>
      <c r="G15" s="34"/>
      <c r="H15" s="33"/>
      <c r="I15" s="33"/>
      <c r="J15" s="40">
        <f>C37*'E Balans VL '!D15/100/3.6*1000000+C37*'E Balans VL '!E15/100/3.6*1000000</f>
        <v>10.871342917825194</v>
      </c>
      <c r="K15" s="33"/>
      <c r="L15" s="33"/>
      <c r="M15" s="33"/>
      <c r="N15" s="33">
        <f>C37*'E Balans VL '!Y15/100/3.6*1000000</f>
        <v>832.41619060537118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20406.028297097768</v>
      </c>
      <c r="C18" s="21">
        <f>C5+C16</f>
        <v>0</v>
      </c>
      <c r="D18" s="21">
        <f>MAX((D5+D16),0)</f>
        <v>12779.901184659338</v>
      </c>
      <c r="E18" s="21">
        <f>MAX((E5+E16),0)</f>
        <v>2444.1764020277396</v>
      </c>
      <c r="F18" s="21">
        <f>MAX((F5+F16),0)</f>
        <v>14054.643647501409</v>
      </c>
      <c r="G18" s="21"/>
      <c r="H18" s="21"/>
      <c r="I18" s="21"/>
      <c r="J18" s="21">
        <f>MAX((J5+J16),0)</f>
        <v>12.991779846255961</v>
      </c>
      <c r="K18" s="21"/>
      <c r="L18" s="21">
        <f>MAX((L5+L16),0)</f>
        <v>0</v>
      </c>
      <c r="M18" s="21"/>
      <c r="N18" s="21">
        <f>MAX((N5+N16),0)</f>
        <v>4681.3035363440376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0.20672113263312719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4218.357282119694</v>
      </c>
      <c r="C22" s="23">
        <f ca="1">C18*C20</f>
        <v>0</v>
      </c>
      <c r="D22" s="23">
        <f>D18*D20</f>
        <v>2581.5400393011864</v>
      </c>
      <c r="E22" s="23">
        <f>E18*E20</f>
        <v>554.82804326029691</v>
      </c>
      <c r="F22" s="23">
        <f>F18*F20</f>
        <v>3752.5898538828765</v>
      </c>
      <c r="G22" s="23"/>
      <c r="H22" s="23"/>
      <c r="I22" s="23"/>
      <c r="J22" s="23">
        <f>J18*J20</f>
        <v>4.5990900655746101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1524.0719800644802</v>
      </c>
      <c r="C30" s="39">
        <f>IF(ISERROR(B30*3.6/1000000/'E Balans VL '!Z18*100),0,B30*3.6/1000000/'E Balans VL '!Z18*100)</f>
        <v>0.14996479229701987</v>
      </c>
      <c r="D30" s="239" t="s">
        <v>692</v>
      </c>
    </row>
    <row r="31" spans="1:18">
      <c r="A31" s="6" t="s">
        <v>33</v>
      </c>
      <c r="B31" s="37">
        <f>IF( ISERROR(IND_ander_ele_kWh/1000),0,IND_ander_ele_kWh/1000)</f>
        <v>6316.92747221219</v>
      </c>
      <c r="C31" s="39">
        <f>IF(ISERROR(B31*3.6/1000000/'E Balans VL '!Z19*100),0,B31*3.6/1000000/'E Balans VL '!Z19*100)</f>
        <v>0.27509715245143335</v>
      </c>
      <c r="D31" s="239" t="s">
        <v>692</v>
      </c>
    </row>
    <row r="32" spans="1:18">
      <c r="A32" s="173" t="s">
        <v>41</v>
      </c>
      <c r="B32" s="37">
        <f>IF( ISERROR(IND_voed_ele_kWh/1000),0,IND_voed_ele_kWh/1000)</f>
        <v>5517.3463036950798</v>
      </c>
      <c r="C32" s="39">
        <f>IF(ISERROR(B32*3.6/1000000/'E Balans VL '!Z20*100),0,B32*3.6/1000000/'E Balans VL '!Z20*100)</f>
        <v>1.0468368923363922</v>
      </c>
      <c r="D32" s="239" t="s">
        <v>692</v>
      </c>
    </row>
    <row r="33" spans="1:5">
      <c r="A33" s="173" t="s">
        <v>40</v>
      </c>
      <c r="B33" s="37">
        <f>IF( ISERROR(IND_textiel_ele_kWh/1000),0,IND_textiel_ele_kWh/1000)</f>
        <v>2380.8790754063798</v>
      </c>
      <c r="C33" s="39">
        <f>IF(ISERROR(B33*3.6/1000000/'E Balans VL '!Z21*100),0,B33*3.6/1000000/'E Balans VL '!Z21*100)</f>
        <v>0.13593612115991913</v>
      </c>
      <c r="D33" s="239" t="s">
        <v>692</v>
      </c>
    </row>
    <row r="34" spans="1:5">
      <c r="A34" s="173" t="s">
        <v>37</v>
      </c>
      <c r="B34" s="37">
        <f>IF( ISERROR(IND_min_ele_kWh/1000),0,IND_min_ele_kWh/1000)</f>
        <v>372.26939683564103</v>
      </c>
      <c r="C34" s="39">
        <f>IF(ISERROR(B34*3.6/1000000/'E Balans VL '!Z22*100),0,B34*3.6/1000000/'E Balans VL '!Z22*100)</f>
        <v>5.234481540785544E-2</v>
      </c>
      <c r="D34" s="239" t="s">
        <v>692</v>
      </c>
    </row>
    <row r="35" spans="1:5">
      <c r="A35" s="173" t="s">
        <v>39</v>
      </c>
      <c r="B35" s="37">
        <f>IF( ISERROR(IND_papier_ele_kWh/1000),0,IND_papier_ele_kWh/1000)</f>
        <v>52.990493719346603</v>
      </c>
      <c r="C35" s="39">
        <f>IF(ISERROR(B35*3.6/1000000/'E Balans VL '!Z22*100),0,B35*3.6/1000000/'E Balans VL '!Z22*100)</f>
        <v>7.450995530892267E-3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4241.5435751646501</v>
      </c>
      <c r="C37" s="39">
        <f>IF(ISERROR(B37*3.6/1000000/'E Balans VL '!Z15*100),0,B37*3.6/1000000/'E Balans VL '!Z15*100)</f>
        <v>3.268630293601963E-2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1123.8675959212999</v>
      </c>
      <c r="C5" s="17">
        <f>'Eigen informatie GS &amp; warmtenet'!B60</f>
        <v>0</v>
      </c>
      <c r="D5" s="30">
        <f>IF(ISERROR(SUM(LB_lb_gas_kWh,LB_rest_gas_kWh)/1000),0,SUM(LB_lb_gas_kWh,LB_rest_gas_kWh)/1000)*0.902</f>
        <v>63.524228212454382</v>
      </c>
      <c r="E5" s="17">
        <f>B17*'E Balans VL '!I25/3.6*1000000/100</f>
        <v>14.162179544446742</v>
      </c>
      <c r="F5" s="17">
        <f>B17*('E Balans VL '!L25/3.6*1000000+'E Balans VL '!N25/3.6*1000000)/100</f>
        <v>3877.6247515843056</v>
      </c>
      <c r="G5" s="18"/>
      <c r="H5" s="17"/>
      <c r="I5" s="17"/>
      <c r="J5" s="17">
        <f>('E Balans VL '!D25+'E Balans VL '!E25)/3.6*1000000*landbouw!B17/100</f>
        <v>169.01691075062863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1123.8675959212999</v>
      </c>
      <c r="C8" s="21">
        <f>C5+C6</f>
        <v>0</v>
      </c>
      <c r="D8" s="21">
        <f>MAX((D5+D6),0)</f>
        <v>63.524228212454382</v>
      </c>
      <c r="E8" s="21">
        <f>MAX((E5+E6),0)</f>
        <v>14.162179544446742</v>
      </c>
      <c r="F8" s="21">
        <f>MAX((F5+F6),0)</f>
        <v>3877.6247515843056</v>
      </c>
      <c r="G8" s="21"/>
      <c r="H8" s="21"/>
      <c r="I8" s="21"/>
      <c r="J8" s="21">
        <f>MAX((J5+J6),0)</f>
        <v>169.01691075062863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0.20672113263312719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232.32718235852082</v>
      </c>
      <c r="C12" s="23">
        <f ca="1">C8*C10</f>
        <v>0</v>
      </c>
      <c r="D12" s="23">
        <f>D8*D10</f>
        <v>12.831894098915786</v>
      </c>
      <c r="E12" s="23">
        <f>E8*E10</f>
        <v>3.2148147565894107</v>
      </c>
      <c r="F12" s="23">
        <f>F8*F10</f>
        <v>1035.3258086730098</v>
      </c>
      <c r="G12" s="23"/>
      <c r="H12" s="23"/>
      <c r="I12" s="23"/>
      <c r="J12" s="23">
        <f>J8*J10</f>
        <v>59.831986405722532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0.15674410738052846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278.12753280756874</v>
      </c>
      <c r="C26" s="249">
        <f>B26*'GWP N2O_CH4'!B5</f>
        <v>5840.6781889589438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140.11998938496401</v>
      </c>
      <c r="C27" s="249">
        <f>B27*'GWP N2O_CH4'!B5</f>
        <v>2942.5197770842442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4.2465279408092407</v>
      </c>
      <c r="C28" s="249">
        <f>B28*'GWP N2O_CH4'!B4</f>
        <v>1316.4236616508647</v>
      </c>
      <c r="D28" s="50"/>
    </row>
    <row r="29" spans="1:4">
      <c r="A29" s="41" t="s">
        <v>277</v>
      </c>
      <c r="B29" s="249">
        <f>B34*'ha_N2O bodem landbouw'!B4</f>
        <v>10.602790997107709</v>
      </c>
      <c r="C29" s="249">
        <f>B29*'GWP N2O_CH4'!B4</f>
        <v>3286.8652091033896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2.6474109659331752E-3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1.3056030399220457E-5</v>
      </c>
      <c r="C5" s="448" t="s">
        <v>211</v>
      </c>
      <c r="D5" s="433">
        <f>SUM(D6:D11)</f>
        <v>2.3139450056646593E-5</v>
      </c>
      <c r="E5" s="433">
        <f>SUM(E6:E11)</f>
        <v>7.0045959575509333E-4</v>
      </c>
      <c r="F5" s="446" t="s">
        <v>211</v>
      </c>
      <c r="G5" s="433">
        <f>SUM(G6:G11)</f>
        <v>0.18513833199091778</v>
      </c>
      <c r="H5" s="433">
        <f>SUM(H6:H11)</f>
        <v>3.4458381359093099E-2</v>
      </c>
      <c r="I5" s="448" t="s">
        <v>211</v>
      </c>
      <c r="J5" s="448" t="s">
        <v>211</v>
      </c>
      <c r="K5" s="448" t="s">
        <v>211</v>
      </c>
      <c r="L5" s="448" t="s">
        <v>211</v>
      </c>
      <c r="M5" s="433">
        <f>SUM(M6:M11)</f>
        <v>9.9277589107150191E-3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8.8550570086061817E-6</v>
      </c>
      <c r="C6" s="887"/>
      <c r="D6" s="887">
        <f>vkm_2011_GW_PW*SUMIFS(TableVerdeelsleutelVkm[CNG],TableVerdeelsleutelVkm[Voertuigtype],"Lichte voertuigen")*SUMIFS(TableECFTransport[EnergieConsumptieFactor (PJ per km)],TableECFTransport[Index],CONCATENATE($A6,"_CNG_CNG"))</f>
        <v>1.254049260167705E-5</v>
      </c>
      <c r="E6" s="887">
        <f>vkm_2011_GW_PW*SUMIFS(TableVerdeelsleutelVkm[LPG],TableVerdeelsleutelVkm[Voertuigtype],"Lichte voertuigen")*SUMIFS(TableECFTransport[EnergieConsumptieFactor (PJ per km)],TableECFTransport[Index],CONCATENATE($A6,"_LPG_LPG"))</f>
        <v>3.93855588227115E-4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7.0786633773582824E-2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1.8967848111536949E-2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4.0607795507031572E-3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5.2875832970992832E-2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1.8786235303391669E-5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2.3861190015117238E-3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4.2009733906142754E-6</v>
      </c>
      <c r="C8" s="887"/>
      <c r="D8" s="436">
        <f>vkm_2011_NGW_PW*SUMIFS(TableVerdeelsleutelVkm[CNG],TableVerdeelsleutelVkm[Voertuigtype],"Lichte voertuigen")*SUMIFS(TableECFTransport[EnergieConsumptieFactor (PJ per km)],TableECFTransport[Index],CONCATENATE($A8,"_CNG_CNG"))</f>
        <v>1.0598957454969543E-5</v>
      </c>
      <c r="E8" s="436">
        <f>vkm_2011_NGW_PW*SUMIFS(TableVerdeelsleutelVkm[LPG],TableVerdeelsleutelVkm[Voertuigtype],"Lichte voertuigen")*SUMIFS(TableECFTransport[EnergieConsumptieFactor (PJ per km)],TableECFTransport[Index],CONCATENATE($A8,"_LPG_LPG"))</f>
        <v>3.0660400752797833E-4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5.1972352414009909E-2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1.5468551861138618E-2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3.0520051954529689E-3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9.5035128323322296E-3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3.1951511141365593E-6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4.2885516304716769E-4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3.6266751108945714</v>
      </c>
      <c r="C14" s="21"/>
      <c r="D14" s="21">
        <f t="shared" ref="D14:M14" si="0">((D5)*10^9/3600)+D12</f>
        <v>6.4276250157351651</v>
      </c>
      <c r="E14" s="21">
        <f t="shared" si="0"/>
        <v>194.57210993197037</v>
      </c>
      <c r="F14" s="21"/>
      <c r="G14" s="21">
        <f t="shared" si="0"/>
        <v>51427.314441921604</v>
      </c>
      <c r="H14" s="21">
        <f t="shared" si="0"/>
        <v>9571.7725997480829</v>
      </c>
      <c r="I14" s="21"/>
      <c r="J14" s="21"/>
      <c r="K14" s="21"/>
      <c r="L14" s="21"/>
      <c r="M14" s="21">
        <f t="shared" si="0"/>
        <v>2757.7108085319496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0.20672113263312719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0.74971038661649791</v>
      </c>
      <c r="C18" s="23"/>
      <c r="D18" s="23">
        <f t="shared" ref="D18:M18" si="1">D14*D16</f>
        <v>1.2983802531785034</v>
      </c>
      <c r="E18" s="23">
        <f t="shared" si="1"/>
        <v>44.167868954557278</v>
      </c>
      <c r="F18" s="23"/>
      <c r="G18" s="23">
        <f t="shared" si="1"/>
        <v>13731.092955993068</v>
      </c>
      <c r="H18" s="23">
        <f t="shared" si="1"/>
        <v>2383.3713773372729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2.1631323573708798E-3</v>
      </c>
      <c r="H50" s="323">
        <f t="shared" si="2"/>
        <v>0</v>
      </c>
      <c r="I50" s="323">
        <f t="shared" si="2"/>
        <v>0</v>
      </c>
      <c r="J50" s="323">
        <f t="shared" si="2"/>
        <v>0</v>
      </c>
      <c r="K50" s="323">
        <f t="shared" si="2"/>
        <v>0</v>
      </c>
      <c r="L50" s="323">
        <f t="shared" si="2"/>
        <v>0</v>
      </c>
      <c r="M50" s="323">
        <f t="shared" si="2"/>
        <v>9.6199786773144537E-5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2.1631323573708798E-3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9.6199786773144537E-5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600.87009926968892</v>
      </c>
      <c r="H54" s="21">
        <f t="shared" si="3"/>
        <v>0</v>
      </c>
      <c r="I54" s="21">
        <f t="shared" si="3"/>
        <v>0</v>
      </c>
      <c r="J54" s="21">
        <f t="shared" si="3"/>
        <v>0</v>
      </c>
      <c r="K54" s="21">
        <f t="shared" si="3"/>
        <v>0</v>
      </c>
      <c r="L54" s="21">
        <f t="shared" si="3"/>
        <v>0</v>
      </c>
      <c r="M54" s="21">
        <f t="shared" si="3"/>
        <v>26.722162992540152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0.20672113263312719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160.43231650500695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19036.748218659435</v>
      </c>
      <c r="D10" s="690">
        <f ca="1">tertiair!C16</f>
        <v>0</v>
      </c>
      <c r="E10" s="690">
        <f ca="1">tertiair!D16</f>
        <v>11451.202459340209</v>
      </c>
      <c r="F10" s="690">
        <f>tertiair!E16</f>
        <v>231.20422135775283</v>
      </c>
      <c r="G10" s="690">
        <f ca="1">tertiair!F16</f>
        <v>3537.4774793221245</v>
      </c>
      <c r="H10" s="690">
        <f>tertiair!G16</f>
        <v>0</v>
      </c>
      <c r="I10" s="690">
        <f>tertiair!H16</f>
        <v>0</v>
      </c>
      <c r="J10" s="690">
        <f>tertiair!I16</f>
        <v>0</v>
      </c>
      <c r="K10" s="690">
        <f>tertiair!J16</f>
        <v>0</v>
      </c>
      <c r="L10" s="690">
        <f>tertiair!K16</f>
        <v>0</v>
      </c>
      <c r="M10" s="690">
        <f ca="1">tertiair!L16</f>
        <v>0</v>
      </c>
      <c r="N10" s="690">
        <f>tertiair!M16</f>
        <v>0</v>
      </c>
      <c r="O10" s="690">
        <f ca="1">tertiair!N16</f>
        <v>1549.5622823582587</v>
      </c>
      <c r="P10" s="690">
        <f>tertiair!O16</f>
        <v>1.5633333333333335</v>
      </c>
      <c r="Q10" s="691">
        <f>tertiair!P16</f>
        <v>19.066666666666666</v>
      </c>
      <c r="R10" s="693">
        <f ca="1">SUM(C10:Q10)</f>
        <v>35826.824661037776</v>
      </c>
      <c r="S10" s="67"/>
    </row>
    <row r="11" spans="1:19" s="458" customFormat="1">
      <c r="A11" s="805" t="s">
        <v>225</v>
      </c>
      <c r="B11" s="810"/>
      <c r="C11" s="690">
        <f>huishoudens!B8</f>
        <v>31343.183407459801</v>
      </c>
      <c r="D11" s="690">
        <f>huishoudens!C8</f>
        <v>0</v>
      </c>
      <c r="E11" s="690">
        <f>huishoudens!D8</f>
        <v>38129.655199460358</v>
      </c>
      <c r="F11" s="690">
        <f>huishoudens!E8</f>
        <v>6049.203218679314</v>
      </c>
      <c r="G11" s="690">
        <f>huishoudens!F8</f>
        <v>47587.378177701488</v>
      </c>
      <c r="H11" s="690">
        <f>huishoudens!G8</f>
        <v>0</v>
      </c>
      <c r="I11" s="690">
        <f>huishoudens!H8</f>
        <v>0</v>
      </c>
      <c r="J11" s="690">
        <f>huishoudens!I8</f>
        <v>0</v>
      </c>
      <c r="K11" s="690">
        <f>huishoudens!J8</f>
        <v>0</v>
      </c>
      <c r="L11" s="690">
        <f>huishoudens!K8</f>
        <v>0</v>
      </c>
      <c r="M11" s="690">
        <f>huishoudens!L8</f>
        <v>0</v>
      </c>
      <c r="N11" s="690">
        <f>huishoudens!M8</f>
        <v>0</v>
      </c>
      <c r="O11" s="690">
        <f>huishoudens!N8</f>
        <v>16894.366523671964</v>
      </c>
      <c r="P11" s="690">
        <f>huishoudens!O8</f>
        <v>281.40000000000003</v>
      </c>
      <c r="Q11" s="691">
        <f>huishoudens!P8</f>
        <v>419.4666666666667</v>
      </c>
      <c r="R11" s="693">
        <f>SUM(C11:Q11)</f>
        <v>140704.65319363956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20406.028297097768</v>
      </c>
      <c r="D13" s="690">
        <f>industrie!C18</f>
        <v>0</v>
      </c>
      <c r="E13" s="690">
        <f>industrie!D18</f>
        <v>12779.901184659338</v>
      </c>
      <c r="F13" s="690">
        <f>industrie!E18</f>
        <v>2444.1764020277396</v>
      </c>
      <c r="G13" s="690">
        <f>industrie!F18</f>
        <v>14054.643647501409</v>
      </c>
      <c r="H13" s="690">
        <f>industrie!G18</f>
        <v>0</v>
      </c>
      <c r="I13" s="690">
        <f>industrie!H18</f>
        <v>0</v>
      </c>
      <c r="J13" s="690">
        <f>industrie!I18</f>
        <v>0</v>
      </c>
      <c r="K13" s="690">
        <f>industrie!J18</f>
        <v>12.991779846255961</v>
      </c>
      <c r="L13" s="690">
        <f>industrie!K18</f>
        <v>0</v>
      </c>
      <c r="M13" s="690">
        <f>industrie!L18</f>
        <v>0</v>
      </c>
      <c r="N13" s="690">
        <f>industrie!M18</f>
        <v>0</v>
      </c>
      <c r="O13" s="690">
        <f>industrie!N18</f>
        <v>4681.3035363440376</v>
      </c>
      <c r="P13" s="690">
        <f>industrie!O18</f>
        <v>0</v>
      </c>
      <c r="Q13" s="691">
        <f>industrie!P18</f>
        <v>0</v>
      </c>
      <c r="R13" s="693">
        <f>SUM(C13:Q13)</f>
        <v>54379.044847476551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70785.959923217</v>
      </c>
      <c r="D16" s="725">
        <f t="shared" ref="D16:R16" ca="1" si="0">SUM(D9:D15)</f>
        <v>0</v>
      </c>
      <c r="E16" s="725">
        <f t="shared" ca="1" si="0"/>
        <v>62360.758843459902</v>
      </c>
      <c r="F16" s="725">
        <f t="shared" si="0"/>
        <v>8724.583842064807</v>
      </c>
      <c r="G16" s="725">
        <f t="shared" ca="1" si="0"/>
        <v>65179.499304525016</v>
      </c>
      <c r="H16" s="725">
        <f t="shared" si="0"/>
        <v>0</v>
      </c>
      <c r="I16" s="725">
        <f t="shared" si="0"/>
        <v>0</v>
      </c>
      <c r="J16" s="725">
        <f t="shared" si="0"/>
        <v>0</v>
      </c>
      <c r="K16" s="725">
        <f t="shared" si="0"/>
        <v>12.991779846255961</v>
      </c>
      <c r="L16" s="725">
        <f t="shared" si="0"/>
        <v>0</v>
      </c>
      <c r="M16" s="725">
        <f t="shared" ca="1" si="0"/>
        <v>0</v>
      </c>
      <c r="N16" s="725">
        <f t="shared" si="0"/>
        <v>0</v>
      </c>
      <c r="O16" s="725">
        <f t="shared" ca="1" si="0"/>
        <v>23125.232342374264</v>
      </c>
      <c r="P16" s="725">
        <f t="shared" si="0"/>
        <v>282.96333333333337</v>
      </c>
      <c r="Q16" s="725">
        <f t="shared" si="0"/>
        <v>438.53333333333336</v>
      </c>
      <c r="R16" s="725">
        <f t="shared" ca="1" si="0"/>
        <v>230910.52270215389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600.87009926968892</v>
      </c>
      <c r="I19" s="690">
        <f>transport!H54</f>
        <v>0</v>
      </c>
      <c r="J19" s="690">
        <f>transport!I54</f>
        <v>0</v>
      </c>
      <c r="K19" s="690">
        <f>transport!J54</f>
        <v>0</v>
      </c>
      <c r="L19" s="690">
        <f>transport!K54</f>
        <v>0</v>
      </c>
      <c r="M19" s="690">
        <f>transport!L54</f>
        <v>0</v>
      </c>
      <c r="N19" s="690">
        <f>transport!M54</f>
        <v>26.722162992540152</v>
      </c>
      <c r="O19" s="690">
        <f>transport!N54</f>
        <v>0</v>
      </c>
      <c r="P19" s="690">
        <f>transport!O54</f>
        <v>0</v>
      </c>
      <c r="Q19" s="691">
        <f>transport!P54</f>
        <v>0</v>
      </c>
      <c r="R19" s="693">
        <f>SUM(C19:Q19)</f>
        <v>627.59226226222904</v>
      </c>
      <c r="S19" s="67"/>
    </row>
    <row r="20" spans="1:19" s="458" customFormat="1">
      <c r="A20" s="805" t="s">
        <v>307</v>
      </c>
      <c r="B20" s="810"/>
      <c r="C20" s="690">
        <f>transport!B14</f>
        <v>3.6266751108945714</v>
      </c>
      <c r="D20" s="690">
        <f>transport!C14</f>
        <v>0</v>
      </c>
      <c r="E20" s="690">
        <f>transport!D14</f>
        <v>6.4276250157351651</v>
      </c>
      <c r="F20" s="690">
        <f>transport!E14</f>
        <v>194.57210993197037</v>
      </c>
      <c r="G20" s="690">
        <f>transport!F14</f>
        <v>0</v>
      </c>
      <c r="H20" s="690">
        <f>transport!G14</f>
        <v>51427.314441921604</v>
      </c>
      <c r="I20" s="690">
        <f>transport!H14</f>
        <v>9571.7725997480829</v>
      </c>
      <c r="J20" s="690">
        <f>transport!I14</f>
        <v>0</v>
      </c>
      <c r="K20" s="690">
        <f>transport!J14</f>
        <v>0</v>
      </c>
      <c r="L20" s="690">
        <f>transport!K14</f>
        <v>0</v>
      </c>
      <c r="M20" s="690">
        <f>transport!L14</f>
        <v>0</v>
      </c>
      <c r="N20" s="690">
        <f>transport!M14</f>
        <v>2757.7108085319496</v>
      </c>
      <c r="O20" s="690">
        <f>transport!N14</f>
        <v>0</v>
      </c>
      <c r="P20" s="690">
        <f>transport!O14</f>
        <v>0</v>
      </c>
      <c r="Q20" s="691">
        <f>transport!P14</f>
        <v>0</v>
      </c>
      <c r="R20" s="693">
        <f>SUM(C20:Q20)</f>
        <v>63961.424260260232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3.6266751108945714</v>
      </c>
      <c r="D22" s="808">
        <f t="shared" ref="D22:R22" si="1">SUM(D18:D21)</f>
        <v>0</v>
      </c>
      <c r="E22" s="808">
        <f t="shared" si="1"/>
        <v>6.4276250157351651</v>
      </c>
      <c r="F22" s="808">
        <f t="shared" si="1"/>
        <v>194.57210993197037</v>
      </c>
      <c r="G22" s="808">
        <f t="shared" si="1"/>
        <v>0</v>
      </c>
      <c r="H22" s="808">
        <f t="shared" si="1"/>
        <v>52028.184541191295</v>
      </c>
      <c r="I22" s="808">
        <f t="shared" si="1"/>
        <v>9571.7725997480829</v>
      </c>
      <c r="J22" s="808">
        <f t="shared" si="1"/>
        <v>0</v>
      </c>
      <c r="K22" s="808">
        <f t="shared" si="1"/>
        <v>0</v>
      </c>
      <c r="L22" s="808">
        <f t="shared" si="1"/>
        <v>0</v>
      </c>
      <c r="M22" s="808">
        <f t="shared" si="1"/>
        <v>0</v>
      </c>
      <c r="N22" s="808">
        <f t="shared" si="1"/>
        <v>2784.4329715244899</v>
      </c>
      <c r="O22" s="808">
        <f t="shared" si="1"/>
        <v>0</v>
      </c>
      <c r="P22" s="808">
        <f t="shared" si="1"/>
        <v>0</v>
      </c>
      <c r="Q22" s="808">
        <f t="shared" si="1"/>
        <v>0</v>
      </c>
      <c r="R22" s="808">
        <f t="shared" si="1"/>
        <v>64589.016522522463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1123.8675959212999</v>
      </c>
      <c r="D24" s="690">
        <f>+landbouw!C8</f>
        <v>0</v>
      </c>
      <c r="E24" s="690">
        <f>+landbouw!D8</f>
        <v>63.524228212454382</v>
      </c>
      <c r="F24" s="690">
        <f>+landbouw!E8</f>
        <v>14.162179544446742</v>
      </c>
      <c r="G24" s="690">
        <f>+landbouw!F8</f>
        <v>3877.6247515843056</v>
      </c>
      <c r="H24" s="690">
        <f>+landbouw!G8</f>
        <v>0</v>
      </c>
      <c r="I24" s="690">
        <f>+landbouw!H8</f>
        <v>0</v>
      </c>
      <c r="J24" s="690">
        <f>+landbouw!I8</f>
        <v>0</v>
      </c>
      <c r="K24" s="690">
        <f>+landbouw!J8</f>
        <v>169.01691075062863</v>
      </c>
      <c r="L24" s="690">
        <f>+landbouw!K8</f>
        <v>0</v>
      </c>
      <c r="M24" s="690">
        <f>+landbouw!L8</f>
        <v>0</v>
      </c>
      <c r="N24" s="690">
        <f>+landbouw!M8</f>
        <v>0</v>
      </c>
      <c r="O24" s="690">
        <f>+landbouw!N8</f>
        <v>0</v>
      </c>
      <c r="P24" s="690">
        <f>+landbouw!O8</f>
        <v>0</v>
      </c>
      <c r="Q24" s="691">
        <f>+landbouw!P8</f>
        <v>0</v>
      </c>
      <c r="R24" s="693">
        <f>SUM(C24:Q24)</f>
        <v>5248.1956660131355</v>
      </c>
      <c r="S24" s="67"/>
    </row>
    <row r="25" spans="1:19" s="458" customFormat="1" ht="15" thickBot="1">
      <c r="A25" s="827" t="s">
        <v>872</v>
      </c>
      <c r="B25" s="1004"/>
      <c r="C25" s="1005">
        <f>IF(Onbekend_ele_kWh="---",0,Onbekend_ele_kWh)/1000+IF(REST_rest_ele_kWh="---",0,REST_rest_ele_kWh)/1000</f>
        <v>1034.46507955526</v>
      </c>
      <c r="D25" s="1005"/>
      <c r="E25" s="1005">
        <f>IF(onbekend_gas_kWh="---",0,onbekend_gas_kWh)/1000+IF(REST_rest_gas_kWh="---",0,REST_rest_gas_kWh)/1000</f>
        <v>2385.0523335209</v>
      </c>
      <c r="F25" s="1005"/>
      <c r="G25" s="1005"/>
      <c r="H25" s="1005"/>
      <c r="I25" s="1005"/>
      <c r="J25" s="1005"/>
      <c r="K25" s="1005"/>
      <c r="L25" s="1005"/>
      <c r="M25" s="1005"/>
      <c r="N25" s="1005"/>
      <c r="O25" s="1005"/>
      <c r="P25" s="1005"/>
      <c r="Q25" s="1006"/>
      <c r="R25" s="693">
        <f>SUM(C25:Q25)</f>
        <v>3419.5174130761598</v>
      </c>
      <c r="S25" s="67"/>
    </row>
    <row r="26" spans="1:19" s="458" customFormat="1" ht="15.75" thickBot="1">
      <c r="A26" s="698" t="s">
        <v>873</v>
      </c>
      <c r="B26" s="813"/>
      <c r="C26" s="808">
        <f>SUM(C24:C25)</f>
        <v>2158.3326754765599</v>
      </c>
      <c r="D26" s="808">
        <f t="shared" ref="D26:R26" si="2">SUM(D24:D25)</f>
        <v>0</v>
      </c>
      <c r="E26" s="808">
        <f t="shared" si="2"/>
        <v>2448.5765617333545</v>
      </c>
      <c r="F26" s="808">
        <f t="shared" si="2"/>
        <v>14.162179544446742</v>
      </c>
      <c r="G26" s="808">
        <f t="shared" si="2"/>
        <v>3877.6247515843056</v>
      </c>
      <c r="H26" s="808">
        <f t="shared" si="2"/>
        <v>0</v>
      </c>
      <c r="I26" s="808">
        <f t="shared" si="2"/>
        <v>0</v>
      </c>
      <c r="J26" s="808">
        <f t="shared" si="2"/>
        <v>0</v>
      </c>
      <c r="K26" s="808">
        <f t="shared" si="2"/>
        <v>169.01691075062863</v>
      </c>
      <c r="L26" s="808">
        <f t="shared" si="2"/>
        <v>0</v>
      </c>
      <c r="M26" s="808">
        <f t="shared" si="2"/>
        <v>0</v>
      </c>
      <c r="N26" s="808">
        <f t="shared" si="2"/>
        <v>0</v>
      </c>
      <c r="O26" s="808">
        <f t="shared" si="2"/>
        <v>0</v>
      </c>
      <c r="P26" s="808">
        <f t="shared" si="2"/>
        <v>0</v>
      </c>
      <c r="Q26" s="808">
        <f t="shared" si="2"/>
        <v>0</v>
      </c>
      <c r="R26" s="808">
        <f t="shared" si="2"/>
        <v>8667.7130790892952</v>
      </c>
      <c r="S26" s="67"/>
    </row>
    <row r="27" spans="1:19" s="458" customFormat="1" ht="17.25" thickTop="1" thickBot="1">
      <c r="A27" s="699" t="s">
        <v>116</v>
      </c>
      <c r="B27" s="800"/>
      <c r="C27" s="700">
        <f ca="1">C22+C16+C26</f>
        <v>72947.919273804451</v>
      </c>
      <c r="D27" s="700">
        <f t="shared" ref="D27:R27" ca="1" si="3">D22+D16+D26</f>
        <v>0</v>
      </c>
      <c r="E27" s="700">
        <f t="shared" ca="1" si="3"/>
        <v>64815.763030208989</v>
      </c>
      <c r="F27" s="700">
        <f t="shared" si="3"/>
        <v>8933.3181315412239</v>
      </c>
      <c r="G27" s="700">
        <f t="shared" ca="1" si="3"/>
        <v>69057.124056109315</v>
      </c>
      <c r="H27" s="700">
        <f t="shared" si="3"/>
        <v>52028.184541191295</v>
      </c>
      <c r="I27" s="700">
        <f t="shared" si="3"/>
        <v>9571.7725997480829</v>
      </c>
      <c r="J27" s="700">
        <f t="shared" si="3"/>
        <v>0</v>
      </c>
      <c r="K27" s="700">
        <f t="shared" si="3"/>
        <v>182.00869059688458</v>
      </c>
      <c r="L27" s="700">
        <f t="shared" si="3"/>
        <v>0</v>
      </c>
      <c r="M27" s="700">
        <f t="shared" ca="1" si="3"/>
        <v>0</v>
      </c>
      <c r="N27" s="700">
        <f t="shared" si="3"/>
        <v>2784.4329715244899</v>
      </c>
      <c r="O27" s="700">
        <f t="shared" ca="1" si="3"/>
        <v>23125.232342374264</v>
      </c>
      <c r="P27" s="700">
        <f t="shared" si="3"/>
        <v>282.96333333333337</v>
      </c>
      <c r="Q27" s="700">
        <f t="shared" si="3"/>
        <v>438.53333333333336</v>
      </c>
      <c r="R27" s="700">
        <f t="shared" ca="1" si="3"/>
        <v>304167.25230376562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3935.2981534129449</v>
      </c>
      <c r="D40" s="690">
        <f ca="1">tertiair!C20</f>
        <v>0</v>
      </c>
      <c r="E40" s="690">
        <f ca="1">tertiair!D20</f>
        <v>2313.1428967867223</v>
      </c>
      <c r="F40" s="690">
        <f>tertiair!E20</f>
        <v>52.483358248209896</v>
      </c>
      <c r="G40" s="690">
        <f ca="1">tertiair!F20</f>
        <v>944.50648697900726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7245.4308954268845</v>
      </c>
    </row>
    <row r="41" spans="1:18">
      <c r="A41" s="818" t="s">
        <v>225</v>
      </c>
      <c r="B41" s="825"/>
      <c r="C41" s="690">
        <f ca="1">huishoudens!B12</f>
        <v>6479.2983743179293</v>
      </c>
      <c r="D41" s="690">
        <f ca="1">huishoudens!C12</f>
        <v>0</v>
      </c>
      <c r="E41" s="690">
        <f>huishoudens!D12</f>
        <v>7702.1903502909927</v>
      </c>
      <c r="F41" s="690">
        <f>huishoudens!E12</f>
        <v>1373.1691306402042</v>
      </c>
      <c r="G41" s="690">
        <f>huishoudens!F12</f>
        <v>12705.829973446298</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28260.487828695426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4218.357282119694</v>
      </c>
      <c r="D43" s="690">
        <f ca="1">industrie!C22</f>
        <v>0</v>
      </c>
      <c r="E43" s="690">
        <f>industrie!D22</f>
        <v>2581.5400393011864</v>
      </c>
      <c r="F43" s="690">
        <f>industrie!E22</f>
        <v>554.82804326029691</v>
      </c>
      <c r="G43" s="690">
        <f>industrie!F22</f>
        <v>3752.5898538828765</v>
      </c>
      <c r="H43" s="690">
        <f>industrie!G22</f>
        <v>0</v>
      </c>
      <c r="I43" s="690">
        <f>industrie!H22</f>
        <v>0</v>
      </c>
      <c r="J43" s="690">
        <f>industrie!I22</f>
        <v>0</v>
      </c>
      <c r="K43" s="690">
        <f>industrie!J22</f>
        <v>4.5990900655746101</v>
      </c>
      <c r="L43" s="690">
        <f>industrie!K22</f>
        <v>0</v>
      </c>
      <c r="M43" s="690">
        <f>industrie!L22</f>
        <v>0</v>
      </c>
      <c r="N43" s="690">
        <f>industrie!M22</f>
        <v>0</v>
      </c>
      <c r="O43" s="690">
        <f>industrie!N22</f>
        <v>0</v>
      </c>
      <c r="P43" s="690">
        <f>industrie!O22</f>
        <v>0</v>
      </c>
      <c r="Q43" s="767">
        <f>industrie!P22</f>
        <v>0</v>
      </c>
      <c r="R43" s="845">
        <f t="shared" ca="1" si="4"/>
        <v>11111.914308629628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14632.953809850569</v>
      </c>
      <c r="D46" s="725">
        <f t="shared" ref="D46:Q46" ca="1" si="5">SUM(D39:D45)</f>
        <v>0</v>
      </c>
      <c r="E46" s="725">
        <f t="shared" ca="1" si="5"/>
        <v>12596.873286378901</v>
      </c>
      <c r="F46" s="725">
        <f t="shared" si="5"/>
        <v>1980.4805321487111</v>
      </c>
      <c r="G46" s="725">
        <f t="shared" ca="1" si="5"/>
        <v>17402.926314308181</v>
      </c>
      <c r="H46" s="725">
        <f t="shared" si="5"/>
        <v>0</v>
      </c>
      <c r="I46" s="725">
        <f t="shared" si="5"/>
        <v>0</v>
      </c>
      <c r="J46" s="725">
        <f t="shared" si="5"/>
        <v>0</v>
      </c>
      <c r="K46" s="725">
        <f t="shared" si="5"/>
        <v>4.5990900655746101</v>
      </c>
      <c r="L46" s="725">
        <f t="shared" si="5"/>
        <v>0</v>
      </c>
      <c r="M46" s="725">
        <f t="shared" ca="1" si="5"/>
        <v>0</v>
      </c>
      <c r="N46" s="725">
        <f t="shared" si="5"/>
        <v>0</v>
      </c>
      <c r="O46" s="725">
        <f t="shared" ca="1" si="5"/>
        <v>0</v>
      </c>
      <c r="P46" s="725">
        <f t="shared" si="5"/>
        <v>0</v>
      </c>
      <c r="Q46" s="725">
        <f t="shared" si="5"/>
        <v>0</v>
      </c>
      <c r="R46" s="725">
        <f ca="1">SUM(R39:R45)</f>
        <v>46617.833032751936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160.43231650500695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160.43231650500695</v>
      </c>
    </row>
    <row r="50" spans="1:18">
      <c r="A50" s="821" t="s">
        <v>307</v>
      </c>
      <c r="B50" s="831"/>
      <c r="C50" s="696">
        <f ca="1">transport!B18</f>
        <v>0.74971038661649791</v>
      </c>
      <c r="D50" s="696">
        <f>transport!C18</f>
        <v>0</v>
      </c>
      <c r="E50" s="696">
        <f>transport!D18</f>
        <v>1.2983802531785034</v>
      </c>
      <c r="F50" s="696">
        <f>transport!E18</f>
        <v>44.167868954557278</v>
      </c>
      <c r="G50" s="696">
        <f>transport!F18</f>
        <v>0</v>
      </c>
      <c r="H50" s="696">
        <f>transport!G18</f>
        <v>13731.092955993068</v>
      </c>
      <c r="I50" s="696">
        <f>transport!H18</f>
        <v>2383.3713773372729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16160.680292924693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0.74971038661649791</v>
      </c>
      <c r="D52" s="725">
        <f t="shared" ref="D52:Q52" ca="1" si="6">SUM(D48:D51)</f>
        <v>0</v>
      </c>
      <c r="E52" s="725">
        <f t="shared" si="6"/>
        <v>1.2983802531785034</v>
      </c>
      <c r="F52" s="725">
        <f t="shared" si="6"/>
        <v>44.167868954557278</v>
      </c>
      <c r="G52" s="725">
        <f t="shared" si="6"/>
        <v>0</v>
      </c>
      <c r="H52" s="725">
        <f t="shared" si="6"/>
        <v>13891.525272498075</v>
      </c>
      <c r="I52" s="725">
        <f t="shared" si="6"/>
        <v>2383.3713773372729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16321.1126094297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232.32718235852082</v>
      </c>
      <c r="D54" s="696">
        <f ca="1">+landbouw!C12</f>
        <v>0</v>
      </c>
      <c r="E54" s="696">
        <f>+landbouw!D12</f>
        <v>12.831894098915786</v>
      </c>
      <c r="F54" s="696">
        <f>+landbouw!E12</f>
        <v>3.2148147565894107</v>
      </c>
      <c r="G54" s="696">
        <f>+landbouw!F12</f>
        <v>1035.3258086730098</v>
      </c>
      <c r="H54" s="696">
        <f>+landbouw!G12</f>
        <v>0</v>
      </c>
      <c r="I54" s="696">
        <f>+landbouw!H12</f>
        <v>0</v>
      </c>
      <c r="J54" s="696">
        <f>+landbouw!I12</f>
        <v>0</v>
      </c>
      <c r="K54" s="696">
        <f>+landbouw!J12</f>
        <v>59.831986405722532</v>
      </c>
      <c r="L54" s="696">
        <f>+landbouw!K12</f>
        <v>0</v>
      </c>
      <c r="M54" s="696">
        <f>+landbouw!L12</f>
        <v>0</v>
      </c>
      <c r="N54" s="696">
        <f>+landbouw!M12</f>
        <v>0</v>
      </c>
      <c r="O54" s="696">
        <f>+landbouw!N12</f>
        <v>0</v>
      </c>
      <c r="P54" s="696">
        <f>+landbouw!O12</f>
        <v>0</v>
      </c>
      <c r="Q54" s="697">
        <f>+landbouw!P12</f>
        <v>0</v>
      </c>
      <c r="R54" s="724">
        <f ca="1">SUM(C54:Q54)</f>
        <v>1343.5316862927584</v>
      </c>
    </row>
    <row r="55" spans="1:18" ht="15" thickBot="1">
      <c r="A55" s="821" t="s">
        <v>872</v>
      </c>
      <c r="B55" s="831"/>
      <c r="C55" s="696">
        <f ca="1">C25*'EF ele_warmte'!B12</f>
        <v>213.84579291508138</v>
      </c>
      <c r="D55" s="696"/>
      <c r="E55" s="696">
        <f>E25*EF_CO2_aardgas</f>
        <v>481.78057137122181</v>
      </c>
      <c r="F55" s="696"/>
      <c r="G55" s="696"/>
      <c r="H55" s="696"/>
      <c r="I55" s="696"/>
      <c r="J55" s="696"/>
      <c r="K55" s="696"/>
      <c r="L55" s="696"/>
      <c r="M55" s="696"/>
      <c r="N55" s="696"/>
      <c r="O55" s="696"/>
      <c r="P55" s="696"/>
      <c r="Q55" s="697"/>
      <c r="R55" s="724">
        <f ca="1">SUM(C55:Q55)</f>
        <v>695.62636428630321</v>
      </c>
    </row>
    <row r="56" spans="1:18" ht="15.75" thickBot="1">
      <c r="A56" s="819" t="s">
        <v>873</v>
      </c>
      <c r="B56" s="832"/>
      <c r="C56" s="725">
        <f ca="1">SUM(C54:C55)</f>
        <v>446.17297527360222</v>
      </c>
      <c r="D56" s="725">
        <f t="shared" ref="D56:Q56" ca="1" si="7">SUM(D54:D55)</f>
        <v>0</v>
      </c>
      <c r="E56" s="725">
        <f t="shared" si="7"/>
        <v>494.61246547013758</v>
      </c>
      <c r="F56" s="725">
        <f t="shared" si="7"/>
        <v>3.2148147565894107</v>
      </c>
      <c r="G56" s="725">
        <f t="shared" si="7"/>
        <v>1035.3258086730098</v>
      </c>
      <c r="H56" s="725">
        <f t="shared" si="7"/>
        <v>0</v>
      </c>
      <c r="I56" s="725">
        <f t="shared" si="7"/>
        <v>0</v>
      </c>
      <c r="J56" s="725">
        <f t="shared" si="7"/>
        <v>0</v>
      </c>
      <c r="K56" s="725">
        <f t="shared" si="7"/>
        <v>59.831986405722532</v>
      </c>
      <c r="L56" s="725">
        <f t="shared" si="7"/>
        <v>0</v>
      </c>
      <c r="M56" s="725">
        <f t="shared" si="7"/>
        <v>0</v>
      </c>
      <c r="N56" s="725">
        <f t="shared" si="7"/>
        <v>0</v>
      </c>
      <c r="O56" s="725">
        <f t="shared" si="7"/>
        <v>0</v>
      </c>
      <c r="P56" s="725">
        <f t="shared" si="7"/>
        <v>0</v>
      </c>
      <c r="Q56" s="726">
        <f t="shared" si="7"/>
        <v>0</v>
      </c>
      <c r="R56" s="727">
        <f ca="1">SUM(R54:R55)</f>
        <v>2039.1580505790616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15079.876495510789</v>
      </c>
      <c r="D61" s="733">
        <f t="shared" ref="D61:Q61" ca="1" si="8">D46+D52+D56</f>
        <v>0</v>
      </c>
      <c r="E61" s="733">
        <f t="shared" ca="1" si="8"/>
        <v>13092.784132102217</v>
      </c>
      <c r="F61" s="733">
        <f t="shared" si="8"/>
        <v>2027.8632158598577</v>
      </c>
      <c r="G61" s="733">
        <f t="shared" ca="1" si="8"/>
        <v>18438.25212298119</v>
      </c>
      <c r="H61" s="733">
        <f t="shared" si="8"/>
        <v>13891.525272498075</v>
      </c>
      <c r="I61" s="733">
        <f t="shared" si="8"/>
        <v>2383.3713773372729</v>
      </c>
      <c r="J61" s="733">
        <f t="shared" si="8"/>
        <v>0</v>
      </c>
      <c r="K61" s="733">
        <f t="shared" si="8"/>
        <v>64.431076471297146</v>
      </c>
      <c r="L61" s="733">
        <f t="shared" si="8"/>
        <v>0</v>
      </c>
      <c r="M61" s="733">
        <f t="shared" ca="1" si="8"/>
        <v>0</v>
      </c>
      <c r="N61" s="733">
        <f t="shared" si="8"/>
        <v>0</v>
      </c>
      <c r="O61" s="733">
        <f t="shared" ca="1" si="8"/>
        <v>0</v>
      </c>
      <c r="P61" s="733">
        <f t="shared" si="8"/>
        <v>0</v>
      </c>
      <c r="Q61" s="733">
        <f t="shared" si="8"/>
        <v>0</v>
      </c>
      <c r="R61" s="733">
        <f ca="1">R46+R52+R56</f>
        <v>64978.103692760698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0.20672113263312725</v>
      </c>
      <c r="D63" s="776">
        <f t="shared" ca="1" si="9"/>
        <v>0</v>
      </c>
      <c r="E63" s="1011">
        <f t="shared" ca="1" si="9"/>
        <v>0.20200000000000001</v>
      </c>
      <c r="F63" s="776">
        <f t="shared" si="9"/>
        <v>0.22699999999999998</v>
      </c>
      <c r="G63" s="776">
        <f t="shared" ca="1" si="9"/>
        <v>0.26700000000000007</v>
      </c>
      <c r="H63" s="776">
        <f t="shared" si="9"/>
        <v>0.26699999999999996</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4713.1840000000002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4713.1840000000002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4713.1840000000002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4713.1840000000002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31343.183407459801</v>
      </c>
      <c r="C4" s="462">
        <f>huishoudens!C8</f>
        <v>0</v>
      </c>
      <c r="D4" s="462">
        <f>huishoudens!D8</f>
        <v>38129.655199460358</v>
      </c>
      <c r="E4" s="462">
        <f>huishoudens!E8</f>
        <v>6049.203218679314</v>
      </c>
      <c r="F4" s="462">
        <f>huishoudens!F8</f>
        <v>47587.378177701488</v>
      </c>
      <c r="G4" s="462">
        <f>huishoudens!G8</f>
        <v>0</v>
      </c>
      <c r="H4" s="462">
        <f>huishoudens!H8</f>
        <v>0</v>
      </c>
      <c r="I4" s="462">
        <f>huishoudens!I8</f>
        <v>0</v>
      </c>
      <c r="J4" s="462">
        <f>huishoudens!J8</f>
        <v>0</v>
      </c>
      <c r="K4" s="462">
        <f>huishoudens!K8</f>
        <v>0</v>
      </c>
      <c r="L4" s="462">
        <f>huishoudens!L8</f>
        <v>0</v>
      </c>
      <c r="M4" s="462">
        <f>huishoudens!M8</f>
        <v>0</v>
      </c>
      <c r="N4" s="462">
        <f>huishoudens!N8</f>
        <v>16894.366523671964</v>
      </c>
      <c r="O4" s="462">
        <f>huishoudens!O8</f>
        <v>281.40000000000003</v>
      </c>
      <c r="P4" s="463">
        <f>huishoudens!P8</f>
        <v>419.4666666666667</v>
      </c>
      <c r="Q4" s="464">
        <f>SUM(B4:P4)</f>
        <v>140704.65319363956</v>
      </c>
    </row>
    <row r="5" spans="1:17">
      <c r="A5" s="461" t="s">
        <v>156</v>
      </c>
      <c r="B5" s="462">
        <f ca="1">tertiair!B16</f>
        <v>18027.677218659435</v>
      </c>
      <c r="C5" s="462">
        <f ca="1">tertiair!C16</f>
        <v>0</v>
      </c>
      <c r="D5" s="462">
        <f ca="1">tertiair!D16</f>
        <v>11451.202459340209</v>
      </c>
      <c r="E5" s="462">
        <f>tertiair!E16</f>
        <v>231.20422135775283</v>
      </c>
      <c r="F5" s="462">
        <f ca="1">tertiair!F16</f>
        <v>3537.4774793221245</v>
      </c>
      <c r="G5" s="462">
        <f>tertiair!G16</f>
        <v>0</v>
      </c>
      <c r="H5" s="462">
        <f>tertiair!H16</f>
        <v>0</v>
      </c>
      <c r="I5" s="462">
        <f>tertiair!I16</f>
        <v>0</v>
      </c>
      <c r="J5" s="462">
        <f>tertiair!J16</f>
        <v>0</v>
      </c>
      <c r="K5" s="462">
        <f>tertiair!K16</f>
        <v>0</v>
      </c>
      <c r="L5" s="462">
        <f ca="1">tertiair!L16</f>
        <v>0</v>
      </c>
      <c r="M5" s="462">
        <f>tertiair!M16</f>
        <v>0</v>
      </c>
      <c r="N5" s="462">
        <f ca="1">tertiair!N16</f>
        <v>1549.5622823582587</v>
      </c>
      <c r="O5" s="462">
        <f>tertiair!O16</f>
        <v>1.5633333333333335</v>
      </c>
      <c r="P5" s="463">
        <f>tertiair!P16</f>
        <v>19.066666666666666</v>
      </c>
      <c r="Q5" s="461">
        <f t="shared" ref="Q5:Q14" ca="1" si="0">SUM(B5:P5)</f>
        <v>34817.753661037779</v>
      </c>
    </row>
    <row r="6" spans="1:17">
      <c r="A6" s="461" t="s">
        <v>194</v>
      </c>
      <c r="B6" s="462">
        <f>'openbare verlichting'!B8</f>
        <v>1009.071</v>
      </c>
      <c r="C6" s="462"/>
      <c r="D6" s="462"/>
      <c r="E6" s="462"/>
      <c r="F6" s="462"/>
      <c r="G6" s="462"/>
      <c r="H6" s="462"/>
      <c r="I6" s="462"/>
      <c r="J6" s="462"/>
      <c r="K6" s="462"/>
      <c r="L6" s="462"/>
      <c r="M6" s="462"/>
      <c r="N6" s="462"/>
      <c r="O6" s="462"/>
      <c r="P6" s="463"/>
      <c r="Q6" s="461">
        <f t="shared" si="0"/>
        <v>1009.071</v>
      </c>
    </row>
    <row r="7" spans="1:17">
      <c r="A7" s="461" t="s">
        <v>112</v>
      </c>
      <c r="B7" s="462">
        <f>landbouw!B8</f>
        <v>1123.8675959212999</v>
      </c>
      <c r="C7" s="462">
        <f>landbouw!C8</f>
        <v>0</v>
      </c>
      <c r="D7" s="462">
        <f>landbouw!D8</f>
        <v>63.524228212454382</v>
      </c>
      <c r="E7" s="462">
        <f>landbouw!E8</f>
        <v>14.162179544446742</v>
      </c>
      <c r="F7" s="462">
        <f>landbouw!F8</f>
        <v>3877.6247515843056</v>
      </c>
      <c r="G7" s="462">
        <f>landbouw!G8</f>
        <v>0</v>
      </c>
      <c r="H7" s="462">
        <f>landbouw!H8</f>
        <v>0</v>
      </c>
      <c r="I7" s="462">
        <f>landbouw!I8</f>
        <v>0</v>
      </c>
      <c r="J7" s="462">
        <f>landbouw!J8</f>
        <v>169.01691075062863</v>
      </c>
      <c r="K7" s="462">
        <f>landbouw!K8</f>
        <v>0</v>
      </c>
      <c r="L7" s="462">
        <f>landbouw!L8</f>
        <v>0</v>
      </c>
      <c r="M7" s="462">
        <f>landbouw!M8</f>
        <v>0</v>
      </c>
      <c r="N7" s="462">
        <f>landbouw!N8</f>
        <v>0</v>
      </c>
      <c r="O7" s="462">
        <f>landbouw!O8</f>
        <v>0</v>
      </c>
      <c r="P7" s="463">
        <f>landbouw!P8</f>
        <v>0</v>
      </c>
      <c r="Q7" s="461">
        <f t="shared" si="0"/>
        <v>5248.1956660131355</v>
      </c>
    </row>
    <row r="8" spans="1:17">
      <c r="A8" s="461" t="s">
        <v>657</v>
      </c>
      <c r="B8" s="462">
        <f>industrie!B18</f>
        <v>20406.028297097768</v>
      </c>
      <c r="C8" s="462">
        <f>industrie!C18</f>
        <v>0</v>
      </c>
      <c r="D8" s="462">
        <f>industrie!D18</f>
        <v>12779.901184659338</v>
      </c>
      <c r="E8" s="462">
        <f>industrie!E18</f>
        <v>2444.1764020277396</v>
      </c>
      <c r="F8" s="462">
        <f>industrie!F18</f>
        <v>14054.643647501409</v>
      </c>
      <c r="G8" s="462">
        <f>industrie!G18</f>
        <v>0</v>
      </c>
      <c r="H8" s="462">
        <f>industrie!H18</f>
        <v>0</v>
      </c>
      <c r="I8" s="462">
        <f>industrie!I18</f>
        <v>0</v>
      </c>
      <c r="J8" s="462">
        <f>industrie!J18</f>
        <v>12.991779846255961</v>
      </c>
      <c r="K8" s="462">
        <f>industrie!K18</f>
        <v>0</v>
      </c>
      <c r="L8" s="462">
        <f>industrie!L18</f>
        <v>0</v>
      </c>
      <c r="M8" s="462">
        <f>industrie!M18</f>
        <v>0</v>
      </c>
      <c r="N8" s="462">
        <f>industrie!N18</f>
        <v>4681.3035363440376</v>
      </c>
      <c r="O8" s="462">
        <f>industrie!O18</f>
        <v>0</v>
      </c>
      <c r="P8" s="463">
        <f>industrie!P18</f>
        <v>0</v>
      </c>
      <c r="Q8" s="461">
        <f t="shared" si="0"/>
        <v>54379.044847476551</v>
      </c>
    </row>
    <row r="9" spans="1:17" s="467" customFormat="1">
      <c r="A9" s="465" t="s">
        <v>574</v>
      </c>
      <c r="B9" s="466">
        <f>transport!B14</f>
        <v>3.6266751108945714</v>
      </c>
      <c r="C9" s="466">
        <f>transport!C14</f>
        <v>0</v>
      </c>
      <c r="D9" s="466">
        <f>transport!D14</f>
        <v>6.4276250157351651</v>
      </c>
      <c r="E9" s="466">
        <f>transport!E14</f>
        <v>194.57210993197037</v>
      </c>
      <c r="F9" s="466">
        <f>transport!F14</f>
        <v>0</v>
      </c>
      <c r="G9" s="466">
        <f>transport!G14</f>
        <v>51427.314441921604</v>
      </c>
      <c r="H9" s="466">
        <f>transport!H14</f>
        <v>9571.7725997480829</v>
      </c>
      <c r="I9" s="466">
        <f>transport!I14</f>
        <v>0</v>
      </c>
      <c r="J9" s="466">
        <f>transport!J14</f>
        <v>0</v>
      </c>
      <c r="K9" s="466">
        <f>transport!K14</f>
        <v>0</v>
      </c>
      <c r="L9" s="466">
        <f>transport!L14</f>
        <v>0</v>
      </c>
      <c r="M9" s="466">
        <f>transport!M14</f>
        <v>2757.7108085319496</v>
      </c>
      <c r="N9" s="466">
        <f>transport!N14</f>
        <v>0</v>
      </c>
      <c r="O9" s="466">
        <f>transport!O14</f>
        <v>0</v>
      </c>
      <c r="P9" s="466">
        <f>transport!P14</f>
        <v>0</v>
      </c>
      <c r="Q9" s="465">
        <f>SUM(B9:P9)</f>
        <v>63961.424260260232</v>
      </c>
    </row>
    <row r="10" spans="1:17">
      <c r="A10" s="461" t="s">
        <v>564</v>
      </c>
      <c r="B10" s="462">
        <f>transport!B54</f>
        <v>0</v>
      </c>
      <c r="C10" s="462">
        <f>transport!C54</f>
        <v>0</v>
      </c>
      <c r="D10" s="462">
        <f>transport!D54</f>
        <v>0</v>
      </c>
      <c r="E10" s="462">
        <f>transport!E54</f>
        <v>0</v>
      </c>
      <c r="F10" s="462">
        <f>transport!F54</f>
        <v>0</v>
      </c>
      <c r="G10" s="462">
        <f>transport!G54</f>
        <v>600.87009926968892</v>
      </c>
      <c r="H10" s="462">
        <f>transport!H54</f>
        <v>0</v>
      </c>
      <c r="I10" s="462">
        <f>transport!I54</f>
        <v>0</v>
      </c>
      <c r="J10" s="462">
        <f>transport!J54</f>
        <v>0</v>
      </c>
      <c r="K10" s="462">
        <f>transport!K54</f>
        <v>0</v>
      </c>
      <c r="L10" s="462">
        <f>transport!L54</f>
        <v>0</v>
      </c>
      <c r="M10" s="462">
        <f>transport!M54</f>
        <v>26.722162992540152</v>
      </c>
      <c r="N10" s="462">
        <f>transport!N54</f>
        <v>0</v>
      </c>
      <c r="O10" s="462">
        <f>transport!O54</f>
        <v>0</v>
      </c>
      <c r="P10" s="463">
        <f>transport!P54</f>
        <v>0</v>
      </c>
      <c r="Q10" s="461">
        <f t="shared" si="0"/>
        <v>627.59226226222904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1034.46507955526</v>
      </c>
      <c r="C14" s="469"/>
      <c r="D14" s="469">
        <f>'SEAP template'!E25</f>
        <v>2385.0523335209</v>
      </c>
      <c r="E14" s="469"/>
      <c r="F14" s="469"/>
      <c r="G14" s="469"/>
      <c r="H14" s="469"/>
      <c r="I14" s="469"/>
      <c r="J14" s="469"/>
      <c r="K14" s="469"/>
      <c r="L14" s="469"/>
      <c r="M14" s="469"/>
      <c r="N14" s="469"/>
      <c r="O14" s="469"/>
      <c r="P14" s="470"/>
      <c r="Q14" s="461">
        <f t="shared" si="0"/>
        <v>3419.5174130761598</v>
      </c>
    </row>
    <row r="15" spans="1:17" s="474" customFormat="1">
      <c r="A15" s="471" t="s">
        <v>568</v>
      </c>
      <c r="B15" s="472">
        <f ca="1">SUM(B4:B14)</f>
        <v>72947.919273804451</v>
      </c>
      <c r="C15" s="472">
        <f t="shared" ref="C15:Q15" ca="1" si="1">SUM(C4:C14)</f>
        <v>0</v>
      </c>
      <c r="D15" s="472">
        <f t="shared" ca="1" si="1"/>
        <v>64815.763030208989</v>
      </c>
      <c r="E15" s="472">
        <f t="shared" si="1"/>
        <v>8933.3181315412239</v>
      </c>
      <c r="F15" s="472">
        <f t="shared" ca="1" si="1"/>
        <v>69057.124056109329</v>
      </c>
      <c r="G15" s="472">
        <f t="shared" si="1"/>
        <v>52028.184541191295</v>
      </c>
      <c r="H15" s="472">
        <f t="shared" si="1"/>
        <v>9571.7725997480829</v>
      </c>
      <c r="I15" s="472">
        <f t="shared" si="1"/>
        <v>0</v>
      </c>
      <c r="J15" s="472">
        <f t="shared" si="1"/>
        <v>182.00869059688458</v>
      </c>
      <c r="K15" s="472">
        <f t="shared" si="1"/>
        <v>0</v>
      </c>
      <c r="L15" s="472">
        <f t="shared" ca="1" si="1"/>
        <v>0</v>
      </c>
      <c r="M15" s="472">
        <f t="shared" si="1"/>
        <v>2784.4329715244899</v>
      </c>
      <c r="N15" s="472">
        <f t="shared" ca="1" si="1"/>
        <v>23125.232342374264</v>
      </c>
      <c r="O15" s="472">
        <f t="shared" si="1"/>
        <v>282.96333333333337</v>
      </c>
      <c r="P15" s="472">
        <f t="shared" si="1"/>
        <v>438.53333333333336</v>
      </c>
      <c r="Q15" s="472">
        <f t="shared" ca="1" si="1"/>
        <v>304167.25230376568</v>
      </c>
    </row>
    <row r="17" spans="1:17">
      <c r="A17" s="475" t="s">
        <v>569</v>
      </c>
      <c r="B17" s="781">
        <f ca="1">huishoudens!B10</f>
        <v>0.20672113263312719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6479.2983743179293</v>
      </c>
      <c r="C22" s="462">
        <f t="shared" ref="C22:C32" ca="1" si="3">C4*$C$17</f>
        <v>0</v>
      </c>
      <c r="D22" s="462">
        <f t="shared" ref="D22:D32" si="4">D4*$D$17</f>
        <v>7702.1903502909927</v>
      </c>
      <c r="E22" s="462">
        <f t="shared" ref="E22:E32" si="5">E4*$E$17</f>
        <v>1373.1691306402042</v>
      </c>
      <c r="F22" s="462">
        <f t="shared" ref="F22:F32" si="6">F4*$F$17</f>
        <v>12705.829973446298</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28260.487828695426</v>
      </c>
    </row>
    <row r="23" spans="1:17">
      <c r="A23" s="461" t="s">
        <v>156</v>
      </c>
      <c r="B23" s="462">
        <f t="shared" ca="1" si="2"/>
        <v>3726.7018533857026</v>
      </c>
      <c r="C23" s="462">
        <f t="shared" ca="1" si="3"/>
        <v>0</v>
      </c>
      <c r="D23" s="462">
        <f t="shared" ca="1" si="4"/>
        <v>2313.1428967867223</v>
      </c>
      <c r="E23" s="462">
        <f t="shared" si="5"/>
        <v>52.483358248209896</v>
      </c>
      <c r="F23" s="462">
        <f t="shared" ca="1" si="6"/>
        <v>944.50648697900726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7036.8345953996422</v>
      </c>
    </row>
    <row r="24" spans="1:17">
      <c r="A24" s="461" t="s">
        <v>194</v>
      </c>
      <c r="B24" s="462">
        <f t="shared" ca="1" si="2"/>
        <v>208.59630002724231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208.59630002724231</v>
      </c>
    </row>
    <row r="25" spans="1:17">
      <c r="A25" s="461" t="s">
        <v>112</v>
      </c>
      <c r="B25" s="462">
        <f t="shared" ca="1" si="2"/>
        <v>232.32718235852082</v>
      </c>
      <c r="C25" s="462">
        <f t="shared" ca="1" si="3"/>
        <v>0</v>
      </c>
      <c r="D25" s="462">
        <f t="shared" si="4"/>
        <v>12.831894098915786</v>
      </c>
      <c r="E25" s="462">
        <f t="shared" si="5"/>
        <v>3.2148147565894107</v>
      </c>
      <c r="F25" s="462">
        <f t="shared" si="6"/>
        <v>1035.3258086730098</v>
      </c>
      <c r="G25" s="462">
        <f t="shared" si="7"/>
        <v>0</v>
      </c>
      <c r="H25" s="462">
        <f t="shared" si="8"/>
        <v>0</v>
      </c>
      <c r="I25" s="462">
        <f t="shared" si="9"/>
        <v>0</v>
      </c>
      <c r="J25" s="462">
        <f t="shared" si="10"/>
        <v>59.831986405722532</v>
      </c>
      <c r="K25" s="462">
        <f t="shared" si="11"/>
        <v>0</v>
      </c>
      <c r="L25" s="462">
        <f t="shared" si="12"/>
        <v>0</v>
      </c>
      <c r="M25" s="462">
        <f t="shared" si="13"/>
        <v>0</v>
      </c>
      <c r="N25" s="462">
        <f t="shared" si="14"/>
        <v>0</v>
      </c>
      <c r="O25" s="462">
        <f t="shared" si="15"/>
        <v>0</v>
      </c>
      <c r="P25" s="463">
        <f t="shared" si="16"/>
        <v>0</v>
      </c>
      <c r="Q25" s="461">
        <f t="shared" ca="1" si="17"/>
        <v>1343.5316862927584</v>
      </c>
    </row>
    <row r="26" spans="1:17">
      <c r="A26" s="461" t="s">
        <v>657</v>
      </c>
      <c r="B26" s="462">
        <f t="shared" ca="1" si="2"/>
        <v>4218.357282119694</v>
      </c>
      <c r="C26" s="462">
        <f t="shared" ca="1" si="3"/>
        <v>0</v>
      </c>
      <c r="D26" s="462">
        <f t="shared" si="4"/>
        <v>2581.5400393011864</v>
      </c>
      <c r="E26" s="462">
        <f t="shared" si="5"/>
        <v>554.82804326029691</v>
      </c>
      <c r="F26" s="462">
        <f t="shared" si="6"/>
        <v>3752.5898538828765</v>
      </c>
      <c r="G26" s="462">
        <f t="shared" si="7"/>
        <v>0</v>
      </c>
      <c r="H26" s="462">
        <f t="shared" si="8"/>
        <v>0</v>
      </c>
      <c r="I26" s="462">
        <f t="shared" si="9"/>
        <v>0</v>
      </c>
      <c r="J26" s="462">
        <f t="shared" si="10"/>
        <v>4.5990900655746101</v>
      </c>
      <c r="K26" s="462">
        <f t="shared" si="11"/>
        <v>0</v>
      </c>
      <c r="L26" s="462">
        <f t="shared" si="12"/>
        <v>0</v>
      </c>
      <c r="M26" s="462">
        <f t="shared" si="13"/>
        <v>0</v>
      </c>
      <c r="N26" s="462">
        <f t="shared" si="14"/>
        <v>0</v>
      </c>
      <c r="O26" s="462">
        <f t="shared" si="15"/>
        <v>0</v>
      </c>
      <c r="P26" s="463">
        <f t="shared" si="16"/>
        <v>0</v>
      </c>
      <c r="Q26" s="461">
        <f t="shared" ca="1" si="17"/>
        <v>11111.914308629628</v>
      </c>
    </row>
    <row r="27" spans="1:17" s="467" customFormat="1">
      <c r="A27" s="465" t="s">
        <v>574</v>
      </c>
      <c r="B27" s="775">
        <f t="shared" ca="1" si="2"/>
        <v>0.74971038661649791</v>
      </c>
      <c r="C27" s="466">
        <f t="shared" ca="1" si="3"/>
        <v>0</v>
      </c>
      <c r="D27" s="466">
        <f t="shared" si="4"/>
        <v>1.2983802531785034</v>
      </c>
      <c r="E27" s="466">
        <f t="shared" si="5"/>
        <v>44.167868954557278</v>
      </c>
      <c r="F27" s="466">
        <f t="shared" si="6"/>
        <v>0</v>
      </c>
      <c r="G27" s="466">
        <f t="shared" si="7"/>
        <v>13731.092955993068</v>
      </c>
      <c r="H27" s="466">
        <f t="shared" si="8"/>
        <v>2383.3713773372729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16160.680292924693</v>
      </c>
    </row>
    <row r="28" spans="1:17">
      <c r="A28" s="461" t="s">
        <v>564</v>
      </c>
      <c r="B28" s="462">
        <f t="shared" ca="1" si="2"/>
        <v>0</v>
      </c>
      <c r="C28" s="462">
        <f t="shared" ca="1" si="3"/>
        <v>0</v>
      </c>
      <c r="D28" s="462">
        <f t="shared" si="4"/>
        <v>0</v>
      </c>
      <c r="E28" s="462">
        <f t="shared" si="5"/>
        <v>0</v>
      </c>
      <c r="F28" s="462">
        <f t="shared" si="6"/>
        <v>0</v>
      </c>
      <c r="G28" s="462">
        <f t="shared" si="7"/>
        <v>160.43231650500695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160.43231650500695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213.84579291508138</v>
      </c>
      <c r="C32" s="462">
        <f t="shared" ca="1" si="3"/>
        <v>0</v>
      </c>
      <c r="D32" s="462">
        <f t="shared" si="4"/>
        <v>481.78057137122181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695.62636428630321</v>
      </c>
    </row>
    <row r="33" spans="1:17" s="474" customFormat="1">
      <c r="A33" s="471" t="s">
        <v>568</v>
      </c>
      <c r="B33" s="472">
        <f ca="1">SUM(B22:B32)</f>
        <v>15079.876495510787</v>
      </c>
      <c r="C33" s="472">
        <f t="shared" ref="C33:Q33" ca="1" si="18">SUM(C22:C32)</f>
        <v>0</v>
      </c>
      <c r="D33" s="472">
        <f t="shared" ca="1" si="18"/>
        <v>13092.784132102217</v>
      </c>
      <c r="E33" s="472">
        <f t="shared" si="18"/>
        <v>2027.8632158598577</v>
      </c>
      <c r="F33" s="472">
        <f t="shared" ca="1" si="18"/>
        <v>18438.25212298119</v>
      </c>
      <c r="G33" s="472">
        <f t="shared" si="18"/>
        <v>13891.525272498075</v>
      </c>
      <c r="H33" s="472">
        <f t="shared" si="18"/>
        <v>2383.3713773372729</v>
      </c>
      <c r="I33" s="472">
        <f t="shared" si="18"/>
        <v>0</v>
      </c>
      <c r="J33" s="472">
        <f t="shared" si="18"/>
        <v>64.431076471297146</v>
      </c>
      <c r="K33" s="472">
        <f t="shared" si="18"/>
        <v>0</v>
      </c>
      <c r="L33" s="472">
        <f t="shared" ca="1" si="18"/>
        <v>0</v>
      </c>
      <c r="M33" s="472">
        <f t="shared" si="18"/>
        <v>0</v>
      </c>
      <c r="N33" s="472">
        <f t="shared" ca="1" si="18"/>
        <v>0</v>
      </c>
      <c r="O33" s="472">
        <f t="shared" si="18"/>
        <v>0</v>
      </c>
      <c r="P33" s="472">
        <f t="shared" si="18"/>
        <v>0</v>
      </c>
      <c r="Q33" s="472">
        <f t="shared" ca="1" si="18"/>
        <v>64978.103692760698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4713.1840000000002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4713.1840000000002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0.20672113263312719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0.20672113263312719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2019-08-12T08:04:18Z</dcterms:modified>
</cp:coreProperties>
</file>