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C98"/>
  <c r="B98"/>
  <c r="O9"/>
  <c r="O19"/>
  <c r="D102"/>
  <c r="H102"/>
  <c r="N6" i="17"/>
  <c r="I101" i="18" l="1"/>
  <c r="H8" s="1"/>
  <c r="H10" s="1"/>
  <c r="B101"/>
  <c r="C8" s="1"/>
  <c r="C10" s="1"/>
  <c r="C101"/>
  <c r="D101"/>
  <c r="F101"/>
  <c r="G101"/>
  <c r="I8" s="1"/>
  <c r="I10" s="1"/>
  <c r="H101"/>
  <c r="J8" s="1"/>
  <c r="J10" s="1"/>
  <c r="I102"/>
  <c r="H17" s="1"/>
  <c r="H20" s="1"/>
  <c r="F102"/>
  <c r="G102"/>
  <c r="B102"/>
  <c r="C17" s="1"/>
  <c r="C20" s="1"/>
  <c r="C102"/>
  <c r="E101"/>
  <c r="E8" s="1"/>
  <c r="E10" s="1"/>
  <c r="E102"/>
  <c r="E17" s="1"/>
  <c r="E20" s="1"/>
  <c r="J17"/>
  <c r="J20" s="1"/>
  <c r="L6" i="17"/>
  <c r="F6"/>
  <c r="D6"/>
  <c r="C6"/>
  <c r="N16" i="16"/>
  <c r="L16"/>
  <c r="F16"/>
  <c r="D16"/>
  <c r="C16"/>
  <c r="B16"/>
  <c r="B13" i="15"/>
  <c r="O8" i="18" l="1"/>
  <c r="O10" s="1"/>
  <c r="I17"/>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Q22"/>
  <c r="R12"/>
  <c r="K78" l="1"/>
  <c r="K8" i="59"/>
  <c r="K10" s="1"/>
  <c r="E90" i="14"/>
  <c r="E18" i="59"/>
  <c r="E20" s="1"/>
  <c r="L78" i="14"/>
  <c r="L9" i="59"/>
  <c r="D14" i="48"/>
  <c r="L10" i="59"/>
  <c r="G22" i="14"/>
  <c r="O22"/>
  <c r="P22"/>
  <c r="Q52"/>
  <c r="Q11" i="48"/>
  <c r="O17" i="18"/>
  <c r="O20" s="1"/>
  <c r="O28" i="48"/>
  <c r="K22" i="14"/>
  <c r="D22"/>
  <c r="L22"/>
  <c r="K20" i="59"/>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8"/>
  <c r="H29"/>
  <c r="H26"/>
  <c r="H22"/>
  <c r="H30"/>
  <c r="H25"/>
  <c r="H24"/>
  <c r="H23"/>
  <c r="C4"/>
  <c r="D11" i="14"/>
  <c r="G32" i="48"/>
  <c r="G26"/>
  <c r="G22"/>
  <c r="G30"/>
  <c r="G25"/>
  <c r="G29"/>
  <c r="G24"/>
  <c r="G23"/>
  <c r="B4"/>
  <c r="C11" i="14"/>
  <c r="F29" i="48"/>
  <c r="F32"/>
  <c r="F31"/>
  <c r="F28"/>
  <c r="F24"/>
  <c r="F27"/>
  <c r="F30"/>
  <c r="N31"/>
  <c r="N29"/>
  <c r="N32"/>
  <c r="N27"/>
  <c r="N30"/>
  <c r="N28"/>
  <c r="N24"/>
  <c r="C19" i="14"/>
  <c r="B10" i="48"/>
  <c r="E29"/>
  <c r="E32"/>
  <c r="E31"/>
  <c r="E28"/>
  <c r="E30"/>
  <c r="E24"/>
  <c r="M29"/>
  <c r="M26"/>
  <c r="M25"/>
  <c r="M32"/>
  <c r="M22"/>
  <c r="M30"/>
  <c r="M24"/>
  <c r="M23"/>
  <c r="K5"/>
  <c r="L10" i="14"/>
  <c r="L16" s="1"/>
  <c r="L27" s="1"/>
  <c r="D29" i="48"/>
  <c r="D30"/>
  <c r="D31"/>
  <c r="D24"/>
  <c r="D28"/>
  <c r="D32"/>
  <c r="L29"/>
  <c r="L32"/>
  <c r="L28"/>
  <c r="L30"/>
  <c r="L31"/>
  <c r="L27"/>
  <c r="L24"/>
  <c r="L22"/>
  <c r="Q10" i="14"/>
  <c r="P5" i="48"/>
  <c r="P23" s="1"/>
  <c r="K32"/>
  <c r="K26"/>
  <c r="K28"/>
  <c r="K25"/>
  <c r="K22"/>
  <c r="K31"/>
  <c r="K30"/>
  <c r="K29"/>
  <c r="K24"/>
  <c r="K27"/>
  <c r="C24" i="14"/>
  <c r="C26" s="1"/>
  <c r="B7" i="48"/>
  <c r="J32"/>
  <c r="J28"/>
  <c r="J24"/>
  <c r="J31"/>
  <c r="J27"/>
  <c r="J30"/>
  <c r="J29"/>
  <c r="Q11" i="14"/>
  <c r="P4" i="48"/>
  <c r="P11" i="14"/>
  <c r="O4" i="48"/>
  <c r="I26"/>
  <c r="I32"/>
  <c r="I28"/>
  <c r="I29"/>
  <c r="I27"/>
  <c r="I22"/>
  <c r="I30"/>
  <c r="I31"/>
  <c r="I24"/>
  <c r="I25"/>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P10"/>
  <c r="O5" i="48"/>
  <c r="O23" s="1"/>
  <c r="O22"/>
  <c r="K15"/>
  <c r="K23"/>
  <c r="C22" i="14"/>
  <c r="G11"/>
  <c r="F4" i="48"/>
  <c r="F22" s="1"/>
  <c r="J7"/>
  <c r="J25" s="1"/>
  <c r="K24" i="14"/>
  <c r="K26" s="1"/>
  <c r="I5" i="48"/>
  <c r="J10" i="14"/>
  <c r="J16" s="1"/>
  <c r="J27" s="1"/>
  <c r="M12" i="22"/>
  <c r="M13" i="48"/>
  <c r="M31" s="1"/>
  <c r="N18" i="14"/>
  <c r="H18"/>
  <c r="G13" i="48"/>
  <c r="I18" i="14"/>
  <c r="H13" i="48"/>
  <c r="H31" s="1"/>
  <c r="E9"/>
  <c r="F20" i="14"/>
  <c r="F22" s="1"/>
  <c r="P22" i="16"/>
  <c r="Q43" i="14" s="1"/>
  <c r="Q13"/>
  <c r="P8" i="48"/>
  <c r="P26" s="1"/>
  <c r="P15"/>
  <c r="P22"/>
  <c r="P33" s="1"/>
  <c r="E20" i="14"/>
  <c r="E22" s="1"/>
  <c r="D9" i="48"/>
  <c r="D27" s="1"/>
  <c r="Q16" i="14"/>
  <c r="Q27" s="1"/>
  <c r="L63"/>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G31" i="48"/>
  <c r="Q13"/>
  <c r="O11" i="14"/>
  <c r="N4" i="48"/>
  <c r="N22" s="1"/>
  <c r="J4"/>
  <c r="K11" i="14"/>
  <c r="I23" i="48"/>
  <c r="I33" s="1"/>
  <c r="I15"/>
  <c r="M9"/>
  <c r="N20" i="14"/>
  <c r="N22" s="1"/>
  <c r="N27" s="1"/>
  <c r="E27" i="48"/>
  <c r="P13" i="14"/>
  <c r="O8" i="48"/>
  <c r="N19" i="14"/>
  <c r="M10" i="48"/>
  <c r="M28" s="1"/>
  <c r="F24" i="14"/>
  <c r="F26" s="1"/>
  <c r="E7" i="48"/>
  <c r="E25" s="1"/>
  <c r="G10"/>
  <c r="H19" i="14"/>
  <c r="R19" s="1"/>
  <c r="G14" i="22"/>
  <c r="Q63" i="14"/>
  <c r="P16"/>
  <c r="P27"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G28" i="48"/>
  <c r="Q10"/>
  <c r="H9"/>
  <c r="I20" i="14"/>
  <c r="I22" s="1"/>
  <c r="I27" s="1"/>
  <c r="E20" i="15"/>
  <c r="F40" i="14" s="1"/>
  <c r="F10"/>
  <c r="E5" i="48"/>
  <c r="E23" s="1"/>
  <c r="J22"/>
  <c r="O26"/>
  <c r="O33" s="1"/>
  <c r="O15"/>
  <c r="J5"/>
  <c r="J23" s="1"/>
  <c r="K10" i="14"/>
  <c r="E22" i="48"/>
  <c r="Q4"/>
  <c r="G9"/>
  <c r="H20" i="14"/>
  <c r="M27" i="48"/>
  <c r="M33" s="1"/>
  <c r="M15"/>
  <c r="R11" i="14"/>
  <c r="M61"/>
  <c r="M27"/>
  <c r="E16"/>
  <c r="E27" s="1"/>
  <c r="E63" s="1"/>
  <c r="L15" i="48"/>
  <c r="R24" i="14"/>
  <c r="R26" s="1"/>
  <c r="L33" i="48"/>
  <c r="Q7"/>
  <c r="D23"/>
  <c r="D33" s="1"/>
  <c r="D15"/>
  <c r="C16" i="14"/>
  <c r="C27" s="1"/>
  <c r="B3" i="6" s="1"/>
  <c r="B12" s="1"/>
  <c r="F23" i="48"/>
  <c r="N23"/>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G27"/>
  <c r="G33" s="1"/>
  <c r="G15"/>
  <c r="Q9"/>
  <c r="J22" i="16"/>
  <c r="K43" i="14" s="1"/>
  <c r="K46" s="1"/>
  <c r="K61" s="1"/>
  <c r="K63" s="1"/>
  <c r="J8" i="48"/>
  <c r="J26" s="1"/>
  <c r="J33" s="1"/>
  <c r="K13" i="14"/>
  <c r="H22"/>
  <c r="H27" s="1"/>
  <c r="H63" s="1"/>
  <c r="R20"/>
  <c r="R22" s="1"/>
  <c r="H27" i="48"/>
  <c r="H33" s="1"/>
  <c r="H15"/>
  <c r="I63" i="14"/>
  <c r="Q5" i="48"/>
  <c r="K16" i="14"/>
  <c r="K27" s="1"/>
  <c r="F46"/>
  <c r="F61"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<sst xmlns="http://schemas.openxmlformats.org/spreadsheetml/2006/main" count="2459" uniqueCount="925">
  <si>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</si>
  <si>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</si>
  <si>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</si>
  <si>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</si>
  <si>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</si>
  <si>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</si>
  <si>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</si>
  <si>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</si>
  <si>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</si>
  <si>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</si>
  <si>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</si>
  <si>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</si>
  <si>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</si>
  <si>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</si>
  <si>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</si>
  <si>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</si>
  <si>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</si>
  <si>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</si>
  <si>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</si>
  <si>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</si>
  <si>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</si>
  <si>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</si>
  <si>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</si>
  <si>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</si>
  <si>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</si>
  <si>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</si>
  <si>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</si>
  <si>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</si>
  <si>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</si>
  <si>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</si>
  <si>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</si>
  <si>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</si>
  <si>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</si>
  <si>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</si>
  <si>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</si>
  <si>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</si>
  <si>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</si>
  <si>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</si>
  <si>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</si>
  <si>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</si>
  <si>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</si>
  <si>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</si>
  <si>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</si>
  <si>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</si>
  <si>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</si>
  <si>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</si>
  <si>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</si>
  <si>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</si>
  <si>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</si>
  <si>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</si>
  <si>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</si>
  <si>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</si>
  <si>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</si>
  <si>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</si>
  <si>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</si>
  <si>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</si>
  <si>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</si>
  <si>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</si>
  <si>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</si>
  <si>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</si>
  <si>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</si>
  <si>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</si>
  <si>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</si>
  <si>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</si>
  <si>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</si>
  <si>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</si>
  <si>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</si>
  <si>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</si>
  <si>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</si>
  <si>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</si>
  <si>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</si>
  <si>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</si>
  <si>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</si>
  <si>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</si>
  <si>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</si>
  <si>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</si>
  <si>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</si>
  <si>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</si>
  <si>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</si>
  <si>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</si>
  <si>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</si>
  <si>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</si>
  <si>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</si>
  <si>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</si>
  <si>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</si>
  <si>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</si>
  <si>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</si>
  <si>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</si>
  <si>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</si>
  <si>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</si>
  <si>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</si>
  <si>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</si>
  <si>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</si>
  <si>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</si>
  <si>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</si>
  <si>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</si>
  <si>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</si>
  <si>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</si>
  <si>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</si>
  <si>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</si>
  <si>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</si>
  <si>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</si>
  <si>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</si>
  <si>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</si>
  <si>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</si>
  <si>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</si>
  <si>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</si>
  <si>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</si>
  <si>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</si>
  <si>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</si>
  <si>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</si>
  <si>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</si>
  <si>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</si>
  <si>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</si>
  <si>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</si>
  <si>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</si>
  <si>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</si>
  <si>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</si>
  <si>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</si>
  <si>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</si>
  <si>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</si>
  <si>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</si>
  <si>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</si>
  <si>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</si>
  <si>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</si>
  <si>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</si>
  <si>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</si>
  <si>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</si>
  <si>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</si>
  <si>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</si>
  <si>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</si>
  <si>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</si>
  <si>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</si>
  <si>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</si>
  <si>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</si>
  <si>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</si>
  <si>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</si>
  <si>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</si>
  <si>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</si>
  <si>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</si>
  <si>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</si>
  <si>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</si>
  <si>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</si>
  <si>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</si>
  <si>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</si>
  <si>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</si>
  <si>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</si>
  <si>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</si>
  <si>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</si>
  <si>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</si>
  <si>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</si>
  <si>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</si>
  <si>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</si>
  <si>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</si>
  <si>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</si>
  <si>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</si>
  <si>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</si>
  <si>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</si>
  <si>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</si>
  <si>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</si>
  <si>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</si>
  <si>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</si>
  <si>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</si>
  <si>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</si>
  <si>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</si>
  <si>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</si>
  <si>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</si>
  <si>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</si>
  <si>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</si>
  <si>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</si>
  <si>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</si>
  <si>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</si>
  <si>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</si>
  <si>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</si>
  <si>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</si>
  <si>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</si>
  <si>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</si>
  <si>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</si>
  <si>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</si>
  <si>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</si>
  <si>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</si>
  <si>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</si>
  <si>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</si>
  <si>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</si>
  <si>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</si>
  <si>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</si>
  <si>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</si>
  <si>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</si>
  <si>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</si>
  <si>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</si>
  <si>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</si>
  <si>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</si>
  <si>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</si>
  <si>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</si>
  <si>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</si>
  <si>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</si>
  <si>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</si>
  <si>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</si>
  <si>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</si>
  <si>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</si>
  <si>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</si>
  <si>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</si>
  <si>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</si>
  <si>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</si>
  <si>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</si>
  <si>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</si>
  <si>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</si>
  <si>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</si>
  <si>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</si>
  <si>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</si>
  <si>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</si>
  <si>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</si>
  <si>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</si>
  <si>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</si>
  <si>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</si>
  <si>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</si>
  <si>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</si>
  <si>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</si>
  <si>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</si>
  <si>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</si>
  <si>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</si>
  <si>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</si>
  <si>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</si>
  <si>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</si>
  <si>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</si>
  <si>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</si>
  <si>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</si>
  <si>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</si>
  <si>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</si>
  <si>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</si>
  <si>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</si>
  <si>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</si>
  <si>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</si>
  <si>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</si>
  <si>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</si>
  <si>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</si>
  <si>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</si>
  <si>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</si>
  <si>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</si>
  <si>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</si>
  <si>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</si>
  <si>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</si>
  <si>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</si>
  <si>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</si>
  <si>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</si>
  <si>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</si>
  <si>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</si>
  <si>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</si>
  <si>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</si>
  <si>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</si>
  <si>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</si>
  <si>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</si>
  <si>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</si>
  <si>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</si>
  <si>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</si>
  <si>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</si>
  <si>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</si>
  <si>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</si>
  <si>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</si>
  <si>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</si>
  <si>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</si>
  <si>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</si>
  <si>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</si>
  <si>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</si>
  <si>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</si>
  <si>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</si>
  <si>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</si>
  <si>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</si>
  <si>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</si>
  <si>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</si>
  <si>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</si>
  <si>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</si>
  <si>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</si>
  <si>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</si>
  <si>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</si>
  <si>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</si>
  <si>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</si>
  <si>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</si>
  <si>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</si>
  <si>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</si>
  <si>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</si>
  <si>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</si>
  <si>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</si>
  <si>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</si>
  <si>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</si>
  <si>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</si>
  <si>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</si>
  <si>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</si>
  <si>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</si>
  <si>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</si>
  <si>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</si>
  <si>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</si>
  <si>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</si>
  <si>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</si>
  <si>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</si>
  <si>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</si>
  <si>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</si>
  <si>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</si>
  <si>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</si>
  <si>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</si>
  <si>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</si>
  <si>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</si>
  <si>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</si>
  <si>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</si>
  <si>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</si>
  <si>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</si>
  <si>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</si>
  <si>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</si>
  <si>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</si>
  <si>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</si>
  <si>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</si>
  <si>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</si>
  <si>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</si>
  <si>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</si>
  <si>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</si>
  <si>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</si>
  <si>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</si>
  <si>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</si>
  <si>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</si>
  <si>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</si>
  <si>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</si>
  <si>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</si>
  <si>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</si>
  <si>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</si>
  <si>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</si>
  <si>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</si>
  <si>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</si>
  <si>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</si>
  <si>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</si>
  <si>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</si>
  <si>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</si>
  <si>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</si>
  <si>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</si>
  <si>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</si>
  <si>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</si>
  <si>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</si>
  <si>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</si>
  <si>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</si>
  <si>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</si>
  <si>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</si>
  <si>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</si>
  <si>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</si>
  <si>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</si>
  <si>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</si>
  <si>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</si>
  <si>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</si>
  <si>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</si>
  <si>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</si>
  <si>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</si>
  <si>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</si>
  <si>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</si>
  <si>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</si>
  <si>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</si>
  <si>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</si>
  <si>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</si>
  <si>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</si>
  <si>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</si>
  <si>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</si>
  <si>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</si>
  <si>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</si>
  <si>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</si>
  <si>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</si>
  <si>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</si>
  <si>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</si>
  <si>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</si>
  <si>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</si>
  <si>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</si>
  <si>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</si>
  <si>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</si>
  <si>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</si>
  <si>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</si>
  <si>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</si>
  <si>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</si>
  <si>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</si>
  <si>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</si>
  <si>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</si>
  <si>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</si>
  <si>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</si>
  <si>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</si>
  <si>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</si>
  <si>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</si>
  <si>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</si>
  <si>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</si>
  <si>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</si>
  <si>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</si>
  <si>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</si>
  <si>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</si>
  <si>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</si>
  <si>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</si>
  <si>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</si>
  <si>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</si>
  <si>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</si>
  <si>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</si>
  <si>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</si>
  <si>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</si>
  <si>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</si>
  <si>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</si>
  <si>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</si>
  <si>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</si>
  <si>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</si>
  <si>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</si>
  <si>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</si>
  <si>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</si>
  <si>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</si>
  <si>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</si>
  <si>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</si>
  <si>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</si>
  <si>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</si>
  <si>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</si>
  <si>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</si>
  <si>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</si>
  <si>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</si>
  <si>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</si>
  <si>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</si>
  <si>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</si>
  <si>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</si>
  <si>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</si>
  <si>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</si>
  <si>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</si>
  <si>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</si>
  <si>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</si>
  <si>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</si>
  <si>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</si>
  <si>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</si>
  <si>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</si>
  <si>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</si>
  <si>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</si>
  <si>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</si>
  <si>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</si>
  <si>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</si>
  <si>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</si>
  <si>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</si>
  <si>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</si>
  <si>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</si>
  <si>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</si>
  <si>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</si>
  <si>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</si>
  <si>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</si>
  <si>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</si>
  <si>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</si>
  <si>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</si>
  <si>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</si>
  <si>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</si>
  <si>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</si>
  <si>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</si>
  <si>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</si>
  <si>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</si>
  <si>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</si>
  <si>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</si>
  <si>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</si>
  <si>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</si>
  <si>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</si>
  <si>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</si>
  <si>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</si>
  <si>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</si>
  <si>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</si>
  <si>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</si>
  <si>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</si>
  <si>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</si>
  <si>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</si>
  <si>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</si>
  <si>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</si>
  <si>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</si>
  <si>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</si>
  <si>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</si>
  <si>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</si>
  <si>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</si>
  <si>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</si>
  <si>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</si>
  <si>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</si>
  <si>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</si>
  <si>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</si>
  <si>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</si>
  <si>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</si>
  <si>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</si>
  <si>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</si>
  <si>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</si>
  <si>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</si>
  <si>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</si>
  <si>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</si>
  <si>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</si>
  <si>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</si>
  <si>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</si>
  <si>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</si>
  <si>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</si>
  <si>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</si>
  <si>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</si>
  <si>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</si>
  <si>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</si>
  <si>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</si>
  <si>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</si>
  <si>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</si>
  <si>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</si>
  <si>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</si>
  <si>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</si>
  <si>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</si>
  <si>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</si>
  <si>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</si>
  <si>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</si>
  <si>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</si>
  <si>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</si>
  <si>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</si>
  <si>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</si>
  <si>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</si>
  <si>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</si>
  <si>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</si>
  <si>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</si>
  <si>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</si>
  <si>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</si>
  <si>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</si>
  <si>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</si>
  <si>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</si>
  <si>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</si>
  <si>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</si>
  <si>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</si>
  <si>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</si>
  <si>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</si>
  <si>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</si>
  <si>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</si>
  <si>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</si>
  <si>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</si>
  <si>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</si>
  <si>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</si>
  <si>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</si>
  <si>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</si>
  <si>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</si>
  <si>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</si>
  <si>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</si>
  <si>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</si>
  <si>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</si>
  <si>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</si>
  <si>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</si>
  <si>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</si>
  <si>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</si>
  <si>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</si>
  <si>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</si>
  <si>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</si>
  <si>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</si>
  <si>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</si>
  <si>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</si>
  <si>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</si>
  <si>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</si>
  <si>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</si>
  <si>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</si>
  <si>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</si>
  <si>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</si>
  <si>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</si>
  <si>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</si>
  <si>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</si>
  <si>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</si>
  <si>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</si>
  <si>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</si>
  <si>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</si>
  <si>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</si>
  <si>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</si>
  <si>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</si>
  <si>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</si>
  <si>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</si>
  <si>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</si>
  <si>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</si>
  <si>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</si>
  <si>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</si>
  <si>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</si>
  <si>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</si>
  <si>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</si>
  <si>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</si>
  <si>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</si>
  <si>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</si>
  <si>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</si>
  <si>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</si>
  <si>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</si>
  <si>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</si>
  <si>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</si>
  <si>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</si>
  <si>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</si>
  <si>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</si>
  <si>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</si>
  <si>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</si>
  <si>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</si>
  <si>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</si>
  <si>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</si>
  <si>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</si>
  <si>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</si>
  <si>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</si>
  <si>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</si>
  <si>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</si>
  <si>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</si>
  <si>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</si>
  <si>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</si>
  <si>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</si>
  <si>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</si>
  <si>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</si>
  <si>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</si>
  <si>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</si>
  <si>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</si>
  <si>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</si>
  <si>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</si>
  <si>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</si>
  <si>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</si>
  <si>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</si>
  <si>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</si>
  <si>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</si>
  <si>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</si>
  <si>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</si>
  <si>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</si>
  <si>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</si>
  <si>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</si>
  <si>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</si>
  <si>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</si>
  <si>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</si>
  <si>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</si>
  <si>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</si>
  <si>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</si>
  <si>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</si>
  <si>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</si>
  <si>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</si>
  <si>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</si>
  <si>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</si>
  <si>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</si>
  <si>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</si>
  <si>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</si>
  <si>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</si>
  <si>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</si>
  <si>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</si>
  <si>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</si>
  <si>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</si>
  <si>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</si>
  <si>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</si>
  <si>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</si>
  <si>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</si>
  <si>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</si>
  <si>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</si>
  <si>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</si>
  <si>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</si>
  <si>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</si>
  <si>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</si>
  <si>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</si>
  <si>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</si>
  <si>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</si>
  <si>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</si>
  <si>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</si>
  <si>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</si>
  <si>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</si>
  <si>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</si>
  <si>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</si>
  <si>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</si>
  <si>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</si>
  <si>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</si>
  <si>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</si>
  <si>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</si>
  <si>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</si>
  <si>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</si>
  <si>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</si>
  <si>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</si>
  <si>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</si>
  <si>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</si>
  <si>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</si>
  <si>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</si>
  <si>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</si>
  <si>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</si>
  <si>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</si>
  <si>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</si>
  <si>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</si>
  <si>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</si>
  <si>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</si>
  <si>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</si>
  <si>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</si>
  <si>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</si>
  <si>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</si>
  <si>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</si>
  <si>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</si>
  <si>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</si>
  <si>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</si>
  <si>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</si>
  <si>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</si>
  <si>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</si>
  <si>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</si>
  <si>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</si>
  <si>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</si>
  <si>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</si>
  <si>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</si>
  <si>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</si>
  <si>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</si>
  <si>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</si>
  <si>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</si>
  <si>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</si>
  <si>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</si>
  <si>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</si>
  <si>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</si>
  <si>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</si>
  <si>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</si>
  <si>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</si>
  <si>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</si>
  <si>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</si>
  <si>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</si>
  <si>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</si>
  <si>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</si>
  <si>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</si>
  <si>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</si>
  <si>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</si>
  <si>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</si>
  <si>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</si>
  <si>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</si>
  <si>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</si>
  <si>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</si>
  <si>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</si>
  <si>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</si>
  <si>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</si>
  <si>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</si>
  <si>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</si>
  <si>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</si>
  <si>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</si>
  <si>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</si>
  <si>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</si>
  <si>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</si>
  <si>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</si>
  <si>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</si>
  <si>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</si>
  <si>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</si>
  <si>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</si>
  <si>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</si>
  <si>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</si>
  <si>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</si>
  <si>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</si>
  <si>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</si>
  <si>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</si>
  <si>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</si>
  <si>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</si>
  <si>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</si>
  <si>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</si>
  <si>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</si>
  <si>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</si>
  <si>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</si>
  <si>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</si>
  <si>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</si>
  <si>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</si>
  <si>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</si>
  <si>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</si>
  <si>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</si>
  <si>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</si>
  <si>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</si>
  <si>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</si>
  <si>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</si>
  <si>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</si>
  <si>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</si>
  <si>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</si>
  <si>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</si>
  <si>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</si>
  <si>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</si>
  <si>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</si>
  <si>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</si>
  <si>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</si>
  <si>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</si>
  <si>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</si>
  <si>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</si>
  <si>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</si>
  <si>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</si>
  <si>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</si>
  <si>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</si>
  <si>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</si>
  <si>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</si>
  <si>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</si>
  <si>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</si>
  <si>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</si>
  <si>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</si>
  <si>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</si>
  <si>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</si>
  <si>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</si>
  <si>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</si>
  <si>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</si>
  <si>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</si>
  <si>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</si>
  <si>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</si>
  <si>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</si>
  <si>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</si>
  <si>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</si>
  <si>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</si>
  <si>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</si>
  <si>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</si>
  <si>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</si>
  <si>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</si>
  <si>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</si>
  <si>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</si>
  <si>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</si>
  <si>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</si>
  <si>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</si>
  <si>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</si>
  <si>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</si>
  <si>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</si>
  <si>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</si>
  <si>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</si>
  <si>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</si>
  <si>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</si>
  <si>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</si>
  <si>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</si>
  <si>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</si>
  <si>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</si>
  <si>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</si>
  <si>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</si>
  <si>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</si>
  <si>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</si>
  <si>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</si>
  <si>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</si>
  <si>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</si>
  <si>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</si>
  <si>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</si>
  <si>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</si>
  <si>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</si>
  <si>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</si>
  <si>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</si>
  <si>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</si>
  <si>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</si>
  <si>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</si>
  <si>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</si>
  <si>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</si>
  <si>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</si>
  <si>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</si>
  <si>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</si>
  <si>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</si>
  <si>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</si>
  <si>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</si>
  <si>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</si>
  <si>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</si>
  <si>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</si>
  <si>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</si>
  <si>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</si>
  <si>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</si>
  <si>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</si>
  <si>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</si>
  <si>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</si>
  <si>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</si>
  <si>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</si>
  <si>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</si>
  <si>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</si>
  <si>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</si>
  <si>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</si>
  <si>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</si>
  <si>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</si>
  <si>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</si>
  <si>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</si>
  <si>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</si>
  <si>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</si>
  <si>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</si>
  <si>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</si>
  <si>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</si>
  <si>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</si>
  <si>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</si>
  <si>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</si>
  <si>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</si>
  <si>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</si>
  <si>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</si>
  <si>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</si>
  <si>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</si>
  <si>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</si>
  <si>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</si>
  <si>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</si>
  <si>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</si>
  <si>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</si>
  <si>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</si>
  <si>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</si>
  <si>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</si>
  <si>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</si>
  <si>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</si>
  <si>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</si>
  <si>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</si>
  <si>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</si>
  <si>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</si>
  <si>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</si>
  <si>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</si>
  <si>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</si>
  <si>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</si>
  <si>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</si>
  <si>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</si>
  <si>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</si>
  <si>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</si>
  <si>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</si>
  <si>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</si>
  <si>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</si>
  <si>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</si>
  <si>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</si>
  <si>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</si>
  <si>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</si>
  <si>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</si>
  <si>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</si>
  <si>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</si>
  <si>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</si>
  <si>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</si>
  <si>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</si>
  <si>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</si>
  <si>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</si>
  <si>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</si>
  <si>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</si>
  <si>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</si>
  <si>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</si>
  <si>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</si>
  <si>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</si>
  <si>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</si>
  <si>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</si>
  <si>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</si>
  <si>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</si>
  <si>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</si>
  <si>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</si>
  <si>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</si>
  <si>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</si>
  <si>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</si>
  <si>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</si>
  <si>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44080</t>
  </si>
  <si>
    <t>ZOMERGEM</t>
  </si>
  <si>
    <t>Cultuurgrond (ha)</t>
  </si>
  <si>
    <t>Paarden&amp;pony's 200 - 600 kg</t>
  </si>
  <si>
    <t>Paarden&amp;pony's &lt; 200 kg</t>
  </si>
  <si>
    <t>op basis van VEA (maart 2018) en Inventaris Hernieuwbare Energiebronnen (juni 2018)</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</si>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</sst>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82032.197928241003</c:v>
                </c:pt>
                <c:pt idx="1">
                  <c:v>16914.027313730472</c:v>
                </c:pt>
                <c:pt idx="2">
                  <c:v>668.44500000000005</c:v>
                </c:pt>
                <c:pt idx="3">
                  <c:v>35755.162123295973</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82032.197928241003</c:v>
                </c:pt>
                <c:pt idx="1">
                  <c:v>16914.027313730472</c:v>
                </c:pt>
                <c:pt idx="2">
                  <c:v>668.44500000000005</c:v>
                </c:pt>
                <c:pt idx="3">
                  <c:v>35755.162123295973</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14167.126849068824</c:v>
                </c:pt>
                <c:pt idx="2">
                  <c:v>2436.4151497452322</c:v>
                </c:pt>
                <c:pt idx="3">
                  <c:v>46.616504527005731</c:v>
                </c:pt>
                <c:pt idx="4">
                  <c:v>2410.8978726748087</c:v>
                </c:pt>
                <c:pt idx="5">
                  <c:v>690.99743000531771</c:v>
                </c:pt>
                <c:pt idx="6">
                  <c:v>8782.6288521416172</c:v>
                </c:pt>
                <c:pt idx="7">
                  <c:v>162.75764604589838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14167.126849068824</c:v>
                </c:pt>
                <c:pt idx="2">
                  <c:v>2436.4151497452322</c:v>
                </c:pt>
                <c:pt idx="3">
                  <c:v>46.616504527005731</c:v>
                </c:pt>
                <c:pt idx="4">
                  <c:v>2410.8978726748087</c:v>
                </c:pt>
                <c:pt idx="5">
                  <c:v>690.99743000531771</c:v>
                </c:pt>
                <c:pt idx="6">
                  <c:v>8782.6288521416172</c:v>
                </c:pt>
                <c:pt idx="7">
                  <c:v>162.75764604589838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44080</v>
      </c>
      <c r="B6" s="398"/>
      <c r="C6" s="399"/>
    </row>
    <row r="7" spans="1:7" s="396" customFormat="1" ht="15.75" customHeight="1">
      <c r="A7" s="400" t="str">
        <f>txtMunicipality</f>
        <v>ZOMERGEM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6.9738728731617003E-2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6.9738728731617003E-2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3376</v>
      </c>
      <c r="C9" s="338">
        <v>3320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2793</v>
      </c>
    </row>
    <row r="15" spans="1:6">
      <c r="A15" s="1295" t="s">
        <v>184</v>
      </c>
      <c r="B15" s="335">
        <v>47</v>
      </c>
    </row>
    <row r="16" spans="1:6">
      <c r="A16" s="1295" t="s">
        <v>6</v>
      </c>
      <c r="B16" s="335">
        <v>2413</v>
      </c>
    </row>
    <row r="17" spans="1:6">
      <c r="A17" s="1295" t="s">
        <v>7</v>
      </c>
      <c r="B17" s="335">
        <v>680</v>
      </c>
    </row>
    <row r="18" spans="1:6">
      <c r="A18" s="1295" t="s">
        <v>8</v>
      </c>
      <c r="B18" s="335">
        <v>1879</v>
      </c>
    </row>
    <row r="19" spans="1:6">
      <c r="A19" s="1295" t="s">
        <v>9</v>
      </c>
      <c r="B19" s="335">
        <v>1800</v>
      </c>
    </row>
    <row r="20" spans="1:6">
      <c r="A20" s="1295" t="s">
        <v>10</v>
      </c>
      <c r="B20" s="335">
        <v>1217</v>
      </c>
    </row>
    <row r="21" spans="1:6">
      <c r="A21" s="1295" t="s">
        <v>11</v>
      </c>
      <c r="B21" s="335">
        <v>3870</v>
      </c>
    </row>
    <row r="22" spans="1:6">
      <c r="A22" s="1295" t="s">
        <v>12</v>
      </c>
      <c r="B22" s="335">
        <v>14288</v>
      </c>
    </row>
    <row r="23" spans="1:6">
      <c r="A23" s="1295" t="s">
        <v>13</v>
      </c>
      <c r="B23" s="335">
        <v>119</v>
      </c>
    </row>
    <row r="24" spans="1:6">
      <c r="A24" s="1295" t="s">
        <v>14</v>
      </c>
      <c r="B24" s="335">
        <v>11</v>
      </c>
    </row>
    <row r="25" spans="1:6">
      <c r="A25" s="1295" t="s">
        <v>15</v>
      </c>
      <c r="B25" s="335">
        <v>957</v>
      </c>
    </row>
    <row r="26" spans="1:6">
      <c r="A26" s="1295" t="s">
        <v>16</v>
      </c>
      <c r="B26" s="335">
        <v>90</v>
      </c>
    </row>
    <row r="27" spans="1:6">
      <c r="A27" s="1295" t="s">
        <v>17</v>
      </c>
      <c r="B27" s="335">
        <v>0</v>
      </c>
    </row>
    <row r="28" spans="1:6" s="341" customFormat="1">
      <c r="A28" s="1296" t="s">
        <v>18</v>
      </c>
      <c r="B28" s="1296">
        <v>102146</v>
      </c>
    </row>
    <row r="29" spans="1:6">
      <c r="A29" s="1296" t="s">
        <v>909</v>
      </c>
      <c r="B29" s="1296">
        <v>67</v>
      </c>
      <c r="C29" s="341"/>
      <c r="D29" s="341"/>
      <c r="E29" s="341"/>
      <c r="F29" s="341"/>
    </row>
    <row r="30" spans="1:6">
      <c r="A30" s="1291" t="s">
        <v>910</v>
      </c>
      <c r="B30" s="1291">
        <v>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44080.827134166801</v>
      </c>
    </row>
    <row r="39" spans="1:6">
      <c r="A39" s="1295" t="s">
        <v>30</v>
      </c>
      <c r="B39" s="1295" t="s">
        <v>31</v>
      </c>
      <c r="C39" s="335">
        <v>1374</v>
      </c>
      <c r="D39" s="335">
        <v>24807439.962219499</v>
      </c>
      <c r="E39" s="335">
        <v>3114</v>
      </c>
      <c r="F39" s="335">
        <v>14861306.0267359</v>
      </c>
    </row>
    <row r="40" spans="1:6">
      <c r="A40" s="1295" t="s">
        <v>30</v>
      </c>
      <c r="B40" s="1295" t="s">
        <v>29</v>
      </c>
      <c r="C40" s="335">
        <v>0</v>
      </c>
      <c r="D40" s="335">
        <v>0</v>
      </c>
      <c r="E40" s="335">
        <v>0</v>
      </c>
      <c r="F40" s="335">
        <v>0</v>
      </c>
    </row>
    <row r="41" spans="1:6">
      <c r="A41" s="1295" t="s">
        <v>32</v>
      </c>
      <c r="B41" s="1295" t="s">
        <v>33</v>
      </c>
      <c r="C41" s="335">
        <v>24</v>
      </c>
      <c r="D41" s="335">
        <v>713317.61220457905</v>
      </c>
      <c r="E41" s="335">
        <v>90</v>
      </c>
      <c r="F41" s="335">
        <v>796812.96350966301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103170.01036944101</v>
      </c>
      <c r="E44" s="335">
        <v>7</v>
      </c>
      <c r="F44" s="335">
        <v>126667.58535527901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23</v>
      </c>
      <c r="D48" s="335">
        <v>684829.80434585095</v>
      </c>
      <c r="E48" s="335">
        <v>32</v>
      </c>
      <c r="F48" s="335">
        <v>465570.31139931898</v>
      </c>
    </row>
    <row r="49" spans="1:6">
      <c r="A49" s="1295" t="s">
        <v>32</v>
      </c>
      <c r="B49" s="1295" t="s">
        <v>40</v>
      </c>
      <c r="C49" s="335">
        <v>0</v>
      </c>
      <c r="D49" s="335">
        <v>0</v>
      </c>
      <c r="E49" s="335">
        <v>0</v>
      </c>
      <c r="F49" s="335">
        <v>0</v>
      </c>
    </row>
    <row r="50" spans="1:6">
      <c r="A50" s="1295" t="s">
        <v>32</v>
      </c>
      <c r="B50" s="1295" t="s">
        <v>41</v>
      </c>
      <c r="C50" s="335">
        <v>0</v>
      </c>
      <c r="D50" s="335">
        <v>0</v>
      </c>
      <c r="E50" s="335">
        <v>3</v>
      </c>
      <c r="F50" s="335">
        <v>174489.141865346</v>
      </c>
    </row>
    <row r="51" spans="1:6">
      <c r="A51" s="1295" t="s">
        <v>42</v>
      </c>
      <c r="B51" s="1295" t="s">
        <v>43</v>
      </c>
      <c r="C51" s="335">
        <v>0</v>
      </c>
      <c r="D51" s="335">
        <v>0</v>
      </c>
      <c r="E51" s="335">
        <v>101</v>
      </c>
      <c r="F51" s="335">
        <v>1966822.56837215</v>
      </c>
    </row>
    <row r="52" spans="1:6">
      <c r="A52" s="1295" t="s">
        <v>42</v>
      </c>
      <c r="B52" s="1295" t="s">
        <v>29</v>
      </c>
      <c r="C52" s="335">
        <v>5</v>
      </c>
      <c r="D52" s="335">
        <v>120913.285894391</v>
      </c>
      <c r="E52" s="335">
        <v>16</v>
      </c>
      <c r="F52" s="335">
        <v>314690.809230229</v>
      </c>
    </row>
    <row r="53" spans="1:6">
      <c r="A53" s="1295" t="s">
        <v>44</v>
      </c>
      <c r="B53" s="1295" t="s">
        <v>45</v>
      </c>
      <c r="C53" s="335">
        <v>42</v>
      </c>
      <c r="D53" s="335">
        <v>1329192.7322788499</v>
      </c>
      <c r="E53" s="335">
        <v>115</v>
      </c>
      <c r="F53" s="335">
        <v>713135.11437818699</v>
      </c>
    </row>
    <row r="54" spans="1:6">
      <c r="A54" s="1295" t="s">
        <v>46</v>
      </c>
      <c r="B54" s="1295" t="s">
        <v>47</v>
      </c>
      <c r="C54" s="335">
        <v>0</v>
      </c>
      <c r="D54" s="335">
        <v>0</v>
      </c>
      <c r="E54" s="335">
        <v>3</v>
      </c>
      <c r="F54" s="335">
        <v>668445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1625341.6248693201</v>
      </c>
      <c r="E57" s="335">
        <v>25</v>
      </c>
      <c r="F57" s="335">
        <v>846918.89584497898</v>
      </c>
    </row>
    <row r="58" spans="1:6">
      <c r="A58" s="1295" t="s">
        <v>49</v>
      </c>
      <c r="B58" s="1295" t="s">
        <v>51</v>
      </c>
      <c r="C58" s="335">
        <v>0</v>
      </c>
      <c r="D58" s="335">
        <v>0</v>
      </c>
      <c r="E58" s="335">
        <v>13</v>
      </c>
      <c r="F58" s="335">
        <v>93126.490123837299</v>
      </c>
    </row>
    <row r="59" spans="1:6">
      <c r="A59" s="1295" t="s">
        <v>49</v>
      </c>
      <c r="B59" s="1295" t="s">
        <v>52</v>
      </c>
      <c r="C59" s="335">
        <v>10</v>
      </c>
      <c r="D59" s="335">
        <v>514596.07577814499</v>
      </c>
      <c r="E59" s="335">
        <v>63</v>
      </c>
      <c r="F59" s="335">
        <v>1766450.6988794301</v>
      </c>
    </row>
    <row r="60" spans="1:6">
      <c r="A60" s="1295" t="s">
        <v>49</v>
      </c>
      <c r="B60" s="1295" t="s">
        <v>53</v>
      </c>
      <c r="C60" s="335">
        <v>11</v>
      </c>
      <c r="D60" s="335">
        <v>640642.32850639697</v>
      </c>
      <c r="E60" s="335">
        <v>22</v>
      </c>
      <c r="F60" s="335">
        <v>498139.88942163403</v>
      </c>
    </row>
    <row r="61" spans="1:6">
      <c r="A61" s="1295" t="s">
        <v>49</v>
      </c>
      <c r="B61" s="1295" t="s">
        <v>54</v>
      </c>
      <c r="C61" s="335">
        <v>66</v>
      </c>
      <c r="D61" s="335">
        <v>1696793.8618135301</v>
      </c>
      <c r="E61" s="335">
        <v>153</v>
      </c>
      <c r="F61" s="335">
        <v>1337180.28916125</v>
      </c>
    </row>
    <row r="62" spans="1:6">
      <c r="A62" s="1295" t="s">
        <v>49</v>
      </c>
      <c r="B62" s="1295" t="s">
        <v>55</v>
      </c>
      <c r="C62" s="335">
        <v>0</v>
      </c>
      <c r="D62" s="335">
        <v>0</v>
      </c>
      <c r="E62" s="335">
        <v>0</v>
      </c>
      <c r="F62" s="335">
        <v>0</v>
      </c>
    </row>
    <row r="63" spans="1:6">
      <c r="A63" s="1295" t="s">
        <v>49</v>
      </c>
      <c r="B63" s="1295" t="s">
        <v>29</v>
      </c>
      <c r="C63" s="335">
        <v>74</v>
      </c>
      <c r="D63" s="335">
        <v>4118365.9905658402</v>
      </c>
      <c r="E63" s="335">
        <v>139</v>
      </c>
      <c r="F63" s="335">
        <v>2336629.34702738</v>
      </c>
    </row>
    <row r="64" spans="1:6">
      <c r="A64" s="1295" t="s">
        <v>56</v>
      </c>
      <c r="B64" s="1295" t="s">
        <v>57</v>
      </c>
      <c r="C64" s="335">
        <v>0</v>
      </c>
      <c r="D64" s="335">
        <v>0</v>
      </c>
      <c r="E64" s="335">
        <v>0</v>
      </c>
      <c r="F64" s="335">
        <v>0</v>
      </c>
    </row>
    <row r="65" spans="1:6">
      <c r="A65" s="1295" t="s">
        <v>56</v>
      </c>
      <c r="B65" s="1295" t="s">
        <v>29</v>
      </c>
      <c r="C65" s="335">
        <v>3</v>
      </c>
      <c r="D65" s="335">
        <v>70460.727796321604</v>
      </c>
      <c r="E65" s="335">
        <v>2</v>
      </c>
      <c r="F65" s="335">
        <v>11243.461284347301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90827.668106559795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12000985</v>
      </c>
      <c r="E73" s="335">
        <v>13048210.962295987</v>
      </c>
    </row>
    <row r="74" spans="1:6">
      <c r="A74" s="1295" t="s">
        <v>64</v>
      </c>
      <c r="B74" s="1295" t="s">
        <v>727</v>
      </c>
      <c r="C74" s="1295" t="s">
        <v>728</v>
      </c>
      <c r="D74" s="335">
        <v>864970.22203697625</v>
      </c>
      <c r="E74" s="335">
        <v>920432.09836481698</v>
      </c>
    </row>
    <row r="75" spans="1:6">
      <c r="A75" s="1295" t="s">
        <v>65</v>
      </c>
      <c r="B75" s="1295" t="s">
        <v>725</v>
      </c>
      <c r="C75" s="1295" t="s">
        <v>729</v>
      </c>
      <c r="D75" s="335">
        <v>25171585</v>
      </c>
      <c r="E75" s="335">
        <v>27463800.887292933</v>
      </c>
    </row>
    <row r="76" spans="1:6">
      <c r="A76" s="1295" t="s">
        <v>65</v>
      </c>
      <c r="B76" s="1295" t="s">
        <v>727</v>
      </c>
      <c r="C76" s="1295" t="s">
        <v>730</v>
      </c>
      <c r="D76" s="335">
        <v>669312.22203697625</v>
      </c>
      <c r="E76" s="335">
        <v>733995.24718981539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168205.5559260475</v>
      </c>
      <c r="C83" s="335">
        <v>167864.64160896273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1449.9110000000001</v>
      </c>
    </row>
    <row r="92" spans="1:6">
      <c r="A92" s="1291" t="s">
        <v>69</v>
      </c>
      <c r="B92" s="338">
        <v>416.08199999999999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570</v>
      </c>
    </row>
    <row r="98" spans="1:6">
      <c r="A98" s="1295" t="s">
        <v>72</v>
      </c>
      <c r="B98" s="335">
        <v>0</v>
      </c>
    </row>
    <row r="99" spans="1:6">
      <c r="A99" s="1295" t="s">
        <v>73</v>
      </c>
      <c r="B99" s="335">
        <v>92</v>
      </c>
    </row>
    <row r="100" spans="1:6">
      <c r="A100" s="1295" t="s">
        <v>74</v>
      </c>
      <c r="B100" s="335">
        <v>401</v>
      </c>
    </row>
    <row r="101" spans="1:6">
      <c r="A101" s="1295" t="s">
        <v>75</v>
      </c>
      <c r="B101" s="335">
        <v>96</v>
      </c>
    </row>
    <row r="102" spans="1:6">
      <c r="A102" s="1295" t="s">
        <v>76</v>
      </c>
      <c r="B102" s="335">
        <v>61</v>
      </c>
    </row>
    <row r="103" spans="1:6">
      <c r="A103" s="1295" t="s">
        <v>77</v>
      </c>
      <c r="B103" s="335">
        <v>146</v>
      </c>
    </row>
    <row r="104" spans="1:6">
      <c r="A104" s="1295" t="s">
        <v>78</v>
      </c>
      <c r="B104" s="335">
        <v>1746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94</v>
      </c>
    </row>
    <row r="130" spans="1:6">
      <c r="A130" s="1295" t="s">
        <v>295</v>
      </c>
      <c r="B130" s="335">
        <v>3</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28418.325900309304</v>
      </c>
      <c r="C3" s="43" t="s">
        <v>170</v>
      </c>
      <c r="D3" s="43"/>
      <c r="E3" s="156"/>
      <c r="F3" s="43"/>
      <c r="G3" s="43"/>
      <c r="H3" s="43"/>
      <c r="I3" s="43"/>
      <c r="J3" s="43"/>
      <c r="K3" s="96"/>
    </row>
    <row r="4" spans="1:11">
      <c r="A4" s="366" t="s">
        <v>171</v>
      </c>
      <c r="B4" s="49">
        <f>IF(ISERROR('SEAP template'!B78+'SEAP template'!C78),0,'SEAP template'!B78+'SEAP template'!C78)</f>
        <v>19450.643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6.9738728731617003E-2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25120.928571428569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668.44500000000005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668.44500000000005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6.9738728731617003E-2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46.616504527005731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14861.3060267359</v>
      </c>
      <c r="C5" s="17">
        <f>IF(ISERROR('Eigen informatie GS &amp; warmtenet'!B57),0,'Eigen informatie GS &amp; warmtenet'!B57)</f>
        <v>0</v>
      </c>
      <c r="D5" s="30">
        <f>(SUM(HH_hh_gas_kWh,HH_rest_gas_kWh)/1000)*0.902</f>
        <v>22376.310845921987</v>
      </c>
      <c r="E5" s="17">
        <f>B46*B57</f>
        <v>2916.2878595498546</v>
      </c>
      <c r="F5" s="17">
        <f>B51*B62</f>
        <v>25853.305408832566</v>
      </c>
      <c r="G5" s="18"/>
      <c r="H5" s="17"/>
      <c r="I5" s="17"/>
      <c r="J5" s="17">
        <f>B50*B61+C50*C61</f>
        <v>2668.8096904135691</v>
      </c>
      <c r="K5" s="17"/>
      <c r="L5" s="17"/>
      <c r="M5" s="17"/>
      <c r="N5" s="17">
        <f>B48*B59+C48*C59</f>
        <v>11408.297096787121</v>
      </c>
      <c r="O5" s="17">
        <f>B69*B70*B71</f>
        <v>154.77000000000001</v>
      </c>
      <c r="P5" s="17">
        <f>B77*B78*B79/1000-B77*B78*B79/1000/B80</f>
        <v>343.2</v>
      </c>
    </row>
    <row r="6" spans="1:16">
      <c r="A6" s="16" t="s">
        <v>634</v>
      </c>
      <c r="B6" s="783">
        <f>kWh_PV_kleiner_dan_10kW</f>
        <v>1449.9110000000001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16311.2170267359</v>
      </c>
      <c r="C8" s="21">
        <f>C5</f>
        <v>0</v>
      </c>
      <c r="D8" s="21">
        <f>D5</f>
        <v>22376.310845921987</v>
      </c>
      <c r="E8" s="21">
        <f>E5</f>
        <v>2916.2878595498546</v>
      </c>
      <c r="F8" s="21">
        <f>F5</f>
        <v>25853.305408832566</v>
      </c>
      <c r="G8" s="21"/>
      <c r="H8" s="21"/>
      <c r="I8" s="21"/>
      <c r="J8" s="21">
        <f>J5</f>
        <v>2668.8096904135691</v>
      </c>
      <c r="K8" s="21"/>
      <c r="L8" s="21">
        <f>L5</f>
        <v>0</v>
      </c>
      <c r="M8" s="21">
        <f>M5</f>
        <v>0</v>
      </c>
      <c r="N8" s="21">
        <f>N5</f>
        <v>11408.297096787121</v>
      </c>
      <c r="O8" s="21">
        <f>O5</f>
        <v>154.77000000000001</v>
      </c>
      <c r="P8" s="21">
        <f>P5</f>
        <v>343.2</v>
      </c>
    </row>
    <row r="9" spans="1:16">
      <c r="B9" s="19"/>
      <c r="C9" s="19"/>
      <c r="D9" s="261"/>
      <c r="E9" s="19"/>
      <c r="F9" s="19"/>
      <c r="G9" s="19"/>
      <c r="H9" s="19"/>
      <c r="I9" s="19"/>
      <c r="J9" s="19"/>
      <c r="K9" s="19"/>
      <c r="L9" s="19"/>
      <c r="M9" s="19"/>
      <c r="N9" s="19"/>
      <c r="O9" s="19"/>
      <c r="P9" s="19"/>
    </row>
    <row r="10" spans="1:16">
      <c r="A10" s="24" t="s">
        <v>214</v>
      </c>
      <c r="B10" s="25">
        <f ca="1">'EF ele_warmte'!B12</f>
        <v>6.9738728731617003E-2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1137.5235395100674</v>
      </c>
      <c r="C12" s="23">
        <f ca="1">C10*C8</f>
        <v>0</v>
      </c>
      <c r="D12" s="23">
        <f>D8*D10</f>
        <v>4520.0147908762419</v>
      </c>
      <c r="E12" s="23">
        <f>E10*E8</f>
        <v>661.99734411781697</v>
      </c>
      <c r="F12" s="23">
        <f>F10*F8</f>
        <v>6902.8325441582956</v>
      </c>
      <c r="G12" s="23"/>
      <c r="H12" s="23"/>
      <c r="I12" s="23"/>
      <c r="J12" s="23">
        <f>J10*J8</f>
        <v>944.75863040640343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570</v>
      </c>
      <c r="C18" s="168" t="s">
        <v>111</v>
      </c>
      <c r="D18" s="230"/>
      <c r="E18" s="15"/>
    </row>
    <row r="19" spans="1:7">
      <c r="A19" s="173" t="s">
        <v>72</v>
      </c>
      <c r="B19" s="37">
        <f>aantalw2001_ander</f>
        <v>0</v>
      </c>
      <c r="C19" s="168" t="s">
        <v>111</v>
      </c>
      <c r="D19" s="231"/>
      <c r="E19" s="15"/>
    </row>
    <row r="20" spans="1:7">
      <c r="A20" s="173" t="s">
        <v>73</v>
      </c>
      <c r="B20" s="37">
        <f>aantalw2001_propaan</f>
        <v>92</v>
      </c>
      <c r="C20" s="169">
        <f>IF(ISERROR(B20/SUM($B$20,$B$21,$B$22)*100),0,B20/SUM($B$20,$B$21,$B$22)*100)</f>
        <v>15.619694397283531</v>
      </c>
      <c r="D20" s="231"/>
      <c r="E20" s="15"/>
    </row>
    <row r="21" spans="1:7">
      <c r="A21" s="173" t="s">
        <v>74</v>
      </c>
      <c r="B21" s="37">
        <f>aantalw2001_elektriciteit</f>
        <v>401</v>
      </c>
      <c r="C21" s="169">
        <f>IF(ISERROR(B21/SUM($B$20,$B$21,$B$22)*100),0,B21/SUM($B$20,$B$21,$B$22)*100)</f>
        <v>68.081494057724953</v>
      </c>
      <c r="D21" s="231"/>
      <c r="E21" s="15"/>
    </row>
    <row r="22" spans="1:7">
      <c r="A22" s="173" t="s">
        <v>75</v>
      </c>
      <c r="B22" s="37">
        <f>aantalw2001_hout</f>
        <v>96</v>
      </c>
      <c r="C22" s="169">
        <f>IF(ISERROR(B22/SUM($B$20,$B$21,$B$22)*100),0,B22/SUM($B$20,$B$21,$B$22)*100)</f>
        <v>16.298811544991512</v>
      </c>
      <c r="D22" s="231"/>
      <c r="E22" s="15"/>
    </row>
    <row r="23" spans="1:7">
      <c r="A23" s="173" t="s">
        <v>76</v>
      </c>
      <c r="B23" s="37">
        <f>aantalw2001_niet_gespec</f>
        <v>61</v>
      </c>
      <c r="C23" s="168" t="s">
        <v>111</v>
      </c>
      <c r="D23" s="230"/>
      <c r="E23" s="15"/>
    </row>
    <row r="24" spans="1:7">
      <c r="A24" s="173" t="s">
        <v>77</v>
      </c>
      <c r="B24" s="37">
        <f>aantalw2001_steenkool</f>
        <v>146</v>
      </c>
      <c r="C24" s="168" t="s">
        <v>111</v>
      </c>
      <c r="D24" s="231"/>
      <c r="E24" s="15"/>
    </row>
    <row r="25" spans="1:7">
      <c r="A25" s="173" t="s">
        <v>78</v>
      </c>
      <c r="B25" s="37">
        <f>aantalw2001_stookolie</f>
        <v>1746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3376</v>
      </c>
      <c r="C28" s="36"/>
      <c r="D28" s="230"/>
    </row>
    <row r="29" spans="1:7" s="15" customFormat="1">
      <c r="A29" s="232" t="s">
        <v>746</v>
      </c>
      <c r="B29" s="37">
        <f>SUM(HH_hh_gas_aantal,HH_rest_gas_aantal)</f>
        <v>1374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1374</v>
      </c>
      <c r="C32" s="169">
        <f>IF(ISERROR(B32/SUM($B$32,$B$34,$B$35,$B$36,$B$38,$B$39)*100),0,B32/SUM($B$32,$B$34,$B$35,$B$36,$B$38,$B$39)*100)</f>
        <v>40.917212626563433</v>
      </c>
      <c r="D32" s="235"/>
      <c r="G32" s="15"/>
    </row>
    <row r="33" spans="1:7">
      <c r="A33" s="173" t="s">
        <v>72</v>
      </c>
      <c r="B33" s="34" t="s">
        <v>111</v>
      </c>
      <c r="C33" s="169"/>
      <c r="D33" s="235"/>
      <c r="G33" s="15"/>
    </row>
    <row r="34" spans="1:7">
      <c r="A34" s="173" t="s">
        <v>73</v>
      </c>
      <c r="B34" s="33">
        <f>IF((($B$28-$B$32-$B$39-$B$77-$B$38)*C20/100)&lt;0,0,($B$28-$B$32-$B$39-$B$77-$B$38)*C20/100)</f>
        <v>139.95246179966045</v>
      </c>
      <c r="C34" s="169">
        <f>IF(ISERROR(B34/SUM($B$32,$B$34,$B$35,$B$36,$B$38,$B$39)*100),0,B34/SUM($B$32,$B$34,$B$35,$B$36,$B$38,$B$39)*100)</f>
        <v>4.167732632509245</v>
      </c>
      <c r="D34" s="235"/>
      <c r="G34" s="15"/>
    </row>
    <row r="35" spans="1:7">
      <c r="A35" s="173" t="s">
        <v>74</v>
      </c>
      <c r="B35" s="33">
        <f>IF((($B$28-$B$32-$B$39-$B$77-$B$38)*C21/100)&lt;0,0,($B$28-$B$32-$B$39-$B$77-$B$38)*C21/100)</f>
        <v>610.01018675721559</v>
      </c>
      <c r="C35" s="169">
        <f>IF(ISERROR(B35/SUM($B$32,$B$34,$B$35,$B$36,$B$38,$B$39)*100),0,B35/SUM($B$32,$B$34,$B$35,$B$36,$B$38,$B$39)*100)</f>
        <v>18.165878104741381</v>
      </c>
      <c r="D35" s="235"/>
      <c r="G35" s="15"/>
    </row>
    <row r="36" spans="1:7">
      <c r="A36" s="173" t="s">
        <v>75</v>
      </c>
      <c r="B36" s="33">
        <f>IF((($B$28-$B$32-$B$39-$B$77-$B$38)*C22/100)&lt;0,0,($B$28-$B$32-$B$39-$B$77-$B$38)*C22/100)</f>
        <v>146.03735144312395</v>
      </c>
      <c r="C36" s="169">
        <f>IF(ISERROR(B36/SUM($B$32,$B$34,$B$35,$B$36,$B$38,$B$39)*100),0,B36/SUM($B$32,$B$34,$B$35,$B$36,$B$38,$B$39)*100)</f>
        <v>4.3489383991400823</v>
      </c>
      <c r="D36" s="235"/>
      <c r="G36" s="15"/>
    </row>
    <row r="37" spans="1:7">
      <c r="A37" s="173" t="s">
        <v>76</v>
      </c>
      <c r="B37" s="34" t="s">
        <v>111</v>
      </c>
      <c r="C37" s="169"/>
      <c r="D37" s="175"/>
      <c r="G37" s="15"/>
    </row>
    <row r="38" spans="1:7">
      <c r="A38" s="173" t="s">
        <v>77</v>
      </c>
      <c r="B38" s="33">
        <f>IF((B24-(B29-B18)*0.1)&lt;0,0,B24-(B29-B18)*0.1)</f>
        <v>65.599999999999994</v>
      </c>
      <c r="C38" s="169">
        <f>IF(ISERROR(B38/SUM($B$32,$B$34,$B$35,$B$36,$B$38,$B$39)*100),0,B38/SUM($B$32,$B$34,$B$35,$B$36,$B$38,$B$39)*100)</f>
        <v>1.9535437760571768</v>
      </c>
      <c r="D38" s="236"/>
      <c r="G38" s="15"/>
    </row>
    <row r="39" spans="1:7">
      <c r="A39" s="173" t="s">
        <v>78</v>
      </c>
      <c r="B39" s="33">
        <f>IF((B25-(B29-B18))&lt;0,0,B25-(B29-B18)*0.9)</f>
        <v>1022.4</v>
      </c>
      <c r="C39" s="169">
        <f>IF(ISERROR(B39/SUM($B$32,$B$34,$B$35,$B$36,$B$38,$B$39)*100),0,B39/SUM($B$32,$B$34,$B$35,$B$36,$B$38,$B$39)*100)</f>
        <v>30.446694460988681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1374</v>
      </c>
      <c r="C44" s="34" t="s">
        <v>111</v>
      </c>
      <c r="D44" s="176"/>
    </row>
    <row r="45" spans="1:7">
      <c r="A45" s="173" t="s">
        <v>72</v>
      </c>
      <c r="B45" s="33" t="str">
        <f t="shared" si="0"/>
        <v>-</v>
      </c>
      <c r="C45" s="34" t="s">
        <v>111</v>
      </c>
      <c r="D45" s="176"/>
    </row>
    <row r="46" spans="1:7">
      <c r="A46" s="173" t="s">
        <v>73</v>
      </c>
      <c r="B46" s="33">
        <f t="shared" si="0"/>
        <v>139.95246179966045</v>
      </c>
      <c r="C46" s="34" t="s">
        <v>111</v>
      </c>
      <c r="D46" s="176"/>
    </row>
    <row r="47" spans="1:7">
      <c r="A47" s="173" t="s">
        <v>74</v>
      </c>
      <c r="B47" s="33">
        <f t="shared" si="0"/>
        <v>610.01018675721559</v>
      </c>
      <c r="C47" s="34" t="s">
        <v>111</v>
      </c>
      <c r="D47" s="176"/>
    </row>
    <row r="48" spans="1:7">
      <c r="A48" s="173" t="s">
        <v>75</v>
      </c>
      <c r="B48" s="33">
        <f t="shared" si="0"/>
        <v>146.03735144312395</v>
      </c>
      <c r="C48" s="33">
        <f>B48*10</f>
        <v>1460.3735144312395</v>
      </c>
      <c r="D48" s="236"/>
    </row>
    <row r="49" spans="1:6">
      <c r="A49" s="173" t="s">
        <v>76</v>
      </c>
      <c r="B49" s="33" t="str">
        <f t="shared" si="0"/>
        <v>-</v>
      </c>
      <c r="C49" s="34" t="s">
        <v>111</v>
      </c>
      <c r="D49" s="236"/>
    </row>
    <row r="50" spans="1:6">
      <c r="A50" s="173" t="s">
        <v>77</v>
      </c>
      <c r="B50" s="33">
        <f t="shared" si="0"/>
        <v>65.599999999999994</v>
      </c>
      <c r="C50" s="33">
        <f>B50*2</f>
        <v>131.19999999999999</v>
      </c>
      <c r="D50" s="236"/>
    </row>
    <row r="51" spans="1:6">
      <c r="A51" s="173" t="s">
        <v>78</v>
      </c>
      <c r="B51" s="33">
        <f t="shared" si="0"/>
        <v>1022.4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6878.4456104585097</v>
      </c>
      <c r="C5" s="17">
        <f>IF(ISERROR('Eigen informatie GS &amp; warmtenet'!B58),0,'Eigen informatie GS &amp; warmtenet'!B58)</f>
        <v>0</v>
      </c>
      <c r="D5" s="30">
        <f>SUM(D6:D12)</f>
        <v>7753.357373142976</v>
      </c>
      <c r="E5" s="17">
        <f>SUM(E6:E12)</f>
        <v>91.05261595495125</v>
      </c>
      <c r="F5" s="17">
        <f>SUM(F6:F12)</f>
        <v>1385.2957454143429</v>
      </c>
      <c r="G5" s="18"/>
      <c r="H5" s="17"/>
      <c r="I5" s="17"/>
      <c r="J5" s="17">
        <f>SUM(J6:J12)</f>
        <v>0</v>
      </c>
      <c r="K5" s="17"/>
      <c r="L5" s="17"/>
      <c r="M5" s="17"/>
      <c r="N5" s="17">
        <f>SUM(N6:N12)</f>
        <v>782.11930209302409</v>
      </c>
      <c r="O5" s="17">
        <f>B38*B39*B40</f>
        <v>4.6900000000000004</v>
      </c>
      <c r="P5" s="17">
        <f>B46*B47*B48/1000-B46*B47*B48/1000/B49</f>
        <v>19.066666666666666</v>
      </c>
      <c r="R5" s="32"/>
    </row>
    <row r="6" spans="1:18">
      <c r="A6" s="32" t="s">
        <v>54</v>
      </c>
      <c r="B6" s="37">
        <f>B26</f>
        <v>1337.1802891612499</v>
      </c>
      <c r="C6" s="33"/>
      <c r="D6" s="37">
        <f>IF(ISERROR(TER_kantoor_gas_kWh/1000),0,TER_kantoor_gas_kWh/1000)*0.902</f>
        <v>1530.5080633558043</v>
      </c>
      <c r="E6" s="33">
        <f>$C$26*'E Balans VL '!I12/100/3.6*1000000</f>
        <v>5.1952285209533056</v>
      </c>
      <c r="F6" s="33">
        <f>$C$26*('E Balans VL '!L12+'E Balans VL '!N12)/100/3.6*1000000</f>
        <v>203.37295461086168</v>
      </c>
      <c r="G6" s="34"/>
      <c r="H6" s="33"/>
      <c r="I6" s="33"/>
      <c r="J6" s="33">
        <f>$C$26*('E Balans VL '!D12+'E Balans VL '!E12)/100/3.6*1000000</f>
        <v>0</v>
      </c>
      <c r="K6" s="33"/>
      <c r="L6" s="33"/>
      <c r="M6" s="33"/>
      <c r="N6" s="33">
        <f>$C$26*'E Balans VL '!Y12/100/3.6*1000000</f>
        <v>0.73694652958149398</v>
      </c>
      <c r="O6" s="33"/>
      <c r="P6" s="33"/>
      <c r="R6" s="32"/>
    </row>
    <row r="7" spans="1:18">
      <c r="A7" s="32" t="s">
        <v>53</v>
      </c>
      <c r="B7" s="37">
        <f t="shared" ref="B7:B12" si="0">B27</f>
        <v>498.13988942163405</v>
      </c>
      <c r="C7" s="33"/>
      <c r="D7" s="37">
        <f>IF(ISERROR(TER_horeca_gas_kWh/1000),0,TER_horeca_gas_kWh/1000)*0.902</f>
        <v>577.8593803127701</v>
      </c>
      <c r="E7" s="33">
        <f>$C$27*'E Balans VL '!I9/100/3.6*1000000</f>
        <v>28.060353151661392</v>
      </c>
      <c r="F7" s="33">
        <f>$C$27*('E Balans VL '!L9+'E Balans VL '!N9)/100/3.6*1000000</f>
        <v>143.63372108282675</v>
      </c>
      <c r="G7" s="34"/>
      <c r="H7" s="33"/>
      <c r="I7" s="33"/>
      <c r="J7" s="33">
        <f>$C$27*('E Balans VL '!D9+'E Balans VL '!E9)/100/3.6*1000000</f>
        <v>0</v>
      </c>
      <c r="K7" s="33"/>
      <c r="L7" s="33"/>
      <c r="M7" s="33"/>
      <c r="N7" s="33">
        <f>$C$27*'E Balans VL '!Y9/100/3.6*1000000</f>
        <v>0.13753383489089632</v>
      </c>
      <c r="O7" s="33"/>
      <c r="P7" s="33"/>
      <c r="R7" s="32"/>
    </row>
    <row r="8" spans="1:18">
      <c r="A8" s="6" t="s">
        <v>52</v>
      </c>
      <c r="B8" s="37">
        <f t="shared" si="0"/>
        <v>1766.4506988794301</v>
      </c>
      <c r="C8" s="33"/>
      <c r="D8" s="37">
        <f>IF(ISERROR(TER_handel_gas_kWh/1000),0,TER_handel_gas_kWh/1000)*0.902</f>
        <v>464.16566035188674</v>
      </c>
      <c r="E8" s="33">
        <f>$C$28*'E Balans VL '!I13/100/3.6*1000000</f>
        <v>25.460547541919034</v>
      </c>
      <c r="F8" s="33">
        <f>$C$28*('E Balans VL '!L13+'E Balans VL '!N13)/100/3.6*1000000</f>
        <v>306.87362425619824</v>
      </c>
      <c r="G8" s="34"/>
      <c r="H8" s="33"/>
      <c r="I8" s="33"/>
      <c r="J8" s="33">
        <f>$C$28*('E Balans VL '!D13+'E Balans VL '!E13)/100/3.6*1000000</f>
        <v>0</v>
      </c>
      <c r="K8" s="33"/>
      <c r="L8" s="33"/>
      <c r="M8" s="33"/>
      <c r="N8" s="33">
        <f>$C$28*'E Balans VL '!Y13/100/3.6*1000000</f>
        <v>5.2924829391854962</v>
      </c>
      <c r="O8" s="33"/>
      <c r="P8" s="33"/>
      <c r="R8" s="32"/>
    </row>
    <row r="9" spans="1:18">
      <c r="A9" s="32" t="s">
        <v>51</v>
      </c>
      <c r="B9" s="37">
        <f t="shared" si="0"/>
        <v>93.1264901238373</v>
      </c>
      <c r="C9" s="33"/>
      <c r="D9" s="37">
        <f>IF(ISERROR(TER_gezond_gas_kWh/1000),0,TER_gezond_gas_kWh/1000)*0.902</f>
        <v>0</v>
      </c>
      <c r="E9" s="33">
        <f>$C$29*'E Balans VL '!I10/100/3.6*1000000</f>
        <v>9.948322895207673E-2</v>
      </c>
      <c r="F9" s="33">
        <f>$C$29*('E Balans VL '!L10+'E Balans VL '!N10)/100/3.6*1000000</f>
        <v>15.191760759437418</v>
      </c>
      <c r="G9" s="34"/>
      <c r="H9" s="33"/>
      <c r="I9" s="33"/>
      <c r="J9" s="33">
        <f>$C$29*('E Balans VL '!D10+'E Balans VL '!E10)/100/3.6*1000000</f>
        <v>0</v>
      </c>
      <c r="K9" s="33"/>
      <c r="L9" s="33"/>
      <c r="M9" s="33"/>
      <c r="N9" s="33">
        <f>$C$29*'E Balans VL '!Y10/100/3.6*1000000</f>
        <v>0.95868407890973806</v>
      </c>
      <c r="O9" s="33"/>
      <c r="P9" s="33"/>
      <c r="R9" s="32"/>
    </row>
    <row r="10" spans="1:18">
      <c r="A10" s="32" t="s">
        <v>50</v>
      </c>
      <c r="B10" s="37">
        <f t="shared" si="0"/>
        <v>846.91889584497903</v>
      </c>
      <c r="C10" s="33"/>
      <c r="D10" s="37">
        <f>IF(ISERROR(TER_ander_gas_kWh/1000),0,TER_ander_gas_kWh/1000)*0.902</f>
        <v>1466.0581456321268</v>
      </c>
      <c r="E10" s="33">
        <f>$C$30*'E Balans VL '!I14/100/3.6*1000000</f>
        <v>3.8948511760637836</v>
      </c>
      <c r="F10" s="33">
        <f>$C$30*('E Balans VL '!L14+'E Balans VL '!N14)/100/3.6*1000000</f>
        <v>253.84830730774408</v>
      </c>
      <c r="G10" s="34"/>
      <c r="H10" s="33"/>
      <c r="I10" s="33"/>
      <c r="J10" s="33">
        <f>$C$30*('E Balans VL '!D14+'E Balans VL '!E14)/100/3.6*1000000</f>
        <v>0</v>
      </c>
      <c r="K10" s="33"/>
      <c r="L10" s="33"/>
      <c r="M10" s="33"/>
      <c r="N10" s="33">
        <f>$C$30*'E Balans VL '!Y14/100/3.6*1000000</f>
        <v>589.5114572754344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2336.6293470273799</v>
      </c>
      <c r="C12" s="33"/>
      <c r="D12" s="37">
        <f>IF(ISERROR(TER_rest_gas_kWh/1000),0,TER_rest_gas_kWh/1000)*0.902</f>
        <v>3714.7661234903881</v>
      </c>
      <c r="E12" s="33">
        <f>$C$32*'E Balans VL '!I8/100/3.6*1000000</f>
        <v>28.342152335401664</v>
      </c>
      <c r="F12" s="33">
        <f>$C$32*('E Balans VL '!L8+'E Balans VL '!N8)/100/3.6*1000000</f>
        <v>462.37537739727475</v>
      </c>
      <c r="G12" s="34"/>
      <c r="H12" s="33"/>
      <c r="I12" s="33"/>
      <c r="J12" s="33">
        <f>$C$32*('E Balans VL '!D8+'E Balans VL '!E8)/100/3.6*1000000</f>
        <v>0</v>
      </c>
      <c r="K12" s="33"/>
      <c r="L12" s="33"/>
      <c r="M12" s="33"/>
      <c r="N12" s="33">
        <f>$C$32*'E Balans VL '!Y8/100/3.6*1000000</f>
        <v>185.48219743502204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6878.4456104585097</v>
      </c>
      <c r="C16" s="21">
        <f t="shared" ca="1" si="1"/>
        <v>0</v>
      </c>
      <c r="D16" s="21">
        <f t="shared" ca="1" si="1"/>
        <v>7753.357373142976</v>
      </c>
      <c r="E16" s="21">
        <f t="shared" si="1"/>
        <v>91.05261595495125</v>
      </c>
      <c r="F16" s="21">
        <f t="shared" ca="1" si="1"/>
        <v>1385.2957454143429</v>
      </c>
      <c r="G16" s="21">
        <f t="shared" si="1"/>
        <v>0</v>
      </c>
      <c r="H16" s="21">
        <f t="shared" si="1"/>
        <v>0</v>
      </c>
      <c r="I16" s="21">
        <f t="shared" si="1"/>
        <v>0</v>
      </c>
      <c r="J16" s="21">
        <f t="shared" si="1"/>
        <v>0</v>
      </c>
      <c r="K16" s="21">
        <f t="shared" si="1"/>
        <v>0</v>
      </c>
      <c r="L16" s="21">
        <f t="shared" ca="1" si="1"/>
        <v>0</v>
      </c>
      <c r="M16" s="21">
        <f t="shared" si="1"/>
        <v>0</v>
      </c>
      <c r="N16" s="21">
        <f t="shared" ca="1" si="1"/>
        <v>782.11930209302409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6.9738728731617003E-2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479.69405252294774</v>
      </c>
      <c r="C20" s="23">
        <f t="shared" ref="C20:P20" ca="1" si="2">C16*C18</f>
        <v>0</v>
      </c>
      <c r="D20" s="23">
        <f t="shared" ca="1" si="2"/>
        <v>1566.1781893748812</v>
      </c>
      <c r="E20" s="23">
        <f t="shared" si="2"/>
        <v>20.668943821773933</v>
      </c>
      <c r="F20" s="23">
        <f t="shared" ca="1" si="2"/>
        <v>369.87396402562956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1337.1802891612499</v>
      </c>
      <c r="C26" s="39">
        <f>IF(ISERROR(B26*3.6/1000000/'E Balans VL '!Z12*100),0,B26*3.6/1000000/'E Balans VL '!Z12*100)</f>
        <v>2.8402371694795484E-2</v>
      </c>
      <c r="D26" s="239" t="s">
        <v>692</v>
      </c>
      <c r="F26" s="6"/>
    </row>
    <row r="27" spans="1:18">
      <c r="A27" s="233" t="s">
        <v>53</v>
      </c>
      <c r="B27" s="33">
        <f>IF(ISERROR(TER_horeca_ele_kWh/1000),0,TER_horeca_ele_kWh/1000)</f>
        <v>498.13988942163405</v>
      </c>
      <c r="C27" s="39">
        <f>IF(ISERROR(B27*3.6/1000000/'E Balans VL '!Z9*100),0,B27*3.6/1000000/'E Balans VL '!Z9*100)</f>
        <v>3.8733410113460875E-2</v>
      </c>
      <c r="D27" s="239" t="s">
        <v>692</v>
      </c>
      <c r="F27" s="6"/>
    </row>
    <row r="28" spans="1:18">
      <c r="A28" s="173" t="s">
        <v>52</v>
      </c>
      <c r="B28" s="33">
        <f>IF(ISERROR(TER_handel_ele_kWh/1000),0,TER_handel_ele_kWh/1000)</f>
        <v>1766.4506988794301</v>
      </c>
      <c r="C28" s="39">
        <f>IF(ISERROR(B28*3.6/1000000/'E Balans VL '!Z13*100),0,B28*3.6/1000000/'E Balans VL '!Z13*100)</f>
        <v>5.0540233399449692E-2</v>
      </c>
      <c r="D28" s="239" t="s">
        <v>692</v>
      </c>
      <c r="F28" s="6"/>
    </row>
    <row r="29" spans="1:18">
      <c r="A29" s="233" t="s">
        <v>51</v>
      </c>
      <c r="B29" s="33">
        <f>IF(ISERROR(TER_gezond_ele_kWh/1000),0,TER_gezond_ele_kWh/1000)</f>
        <v>93.1264901238373</v>
      </c>
      <c r="C29" s="39">
        <f>IF(ISERROR(B29*3.6/1000000/'E Balans VL '!Z10*100),0,B29*3.6/1000000/'E Balans VL '!Z10*100)</f>
        <v>1.0152951423596259E-2</v>
      </c>
      <c r="D29" s="239" t="s">
        <v>692</v>
      </c>
      <c r="F29" s="6"/>
    </row>
    <row r="30" spans="1:18">
      <c r="A30" s="233" t="s">
        <v>50</v>
      </c>
      <c r="B30" s="33">
        <f>IF(ISERROR(TER_ander_ele_kWh/1000),0,TER_ander_ele_kWh/1000)</f>
        <v>846.91889584497903</v>
      </c>
      <c r="C30" s="39">
        <f>IF(ISERROR(B30*3.6/1000000/'E Balans VL '!Z14*100),0,B30*3.6/1000000/'E Balans VL '!Z14*100)</f>
        <v>6.197560360796301E-2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2336.6293470273799</v>
      </c>
      <c r="C32" s="39">
        <f>IF(ISERROR(B32*3.6/1000000/'E Balans VL '!Z8*100),0,B32*3.6/1000000/'E Balans VL '!Z8*100)</f>
        <v>1.904211114997131E-2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1563.540002129607</v>
      </c>
      <c r="C5" s="17">
        <f>IF(ISERROR('Eigen informatie GS &amp; warmtenet'!B59),0,'Eigen informatie GS &amp; warmtenet'!B59)</f>
        <v>0</v>
      </c>
      <c r="D5" s="30">
        <f>SUM(D6:D15)</f>
        <v>1354.1883190817236</v>
      </c>
      <c r="E5" s="17">
        <f>SUM(E6:E15)</f>
        <v>259.52109513694683</v>
      </c>
      <c r="F5" s="17">
        <f>SUM(F6:F15)</f>
        <v>932.87478844623024</v>
      </c>
      <c r="G5" s="18"/>
      <c r="H5" s="17"/>
      <c r="I5" s="17"/>
      <c r="J5" s="17">
        <f>SUM(J6:J15)</f>
        <v>1.1955942656228842</v>
      </c>
      <c r="K5" s="17"/>
      <c r="L5" s="17"/>
      <c r="M5" s="17"/>
      <c r="N5" s="17">
        <f>SUM(N6:N15)</f>
        <v>406.21386224341416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126.667585355279</v>
      </c>
      <c r="C8" s="33"/>
      <c r="D8" s="37">
        <f>IF( ISERROR(IND_metaal_Gas_kWH/1000),0,IND_metaal_Gas_kWH/1000)*0.902</f>
        <v>93.059349353235788</v>
      </c>
      <c r="E8" s="33">
        <f>C30*'E Balans VL '!I18/100/3.6*1000000</f>
        <v>3.6383685031912969</v>
      </c>
      <c r="F8" s="33">
        <f>C30*'E Balans VL '!L18/100/3.6*1000000+C30*'E Balans VL '!N18/100/3.6*1000000</f>
        <v>32.487799475857884</v>
      </c>
      <c r="G8" s="34"/>
      <c r="H8" s="33"/>
      <c r="I8" s="33"/>
      <c r="J8" s="40">
        <f>C30*'E Balans VL '!D18/100/3.6*1000000+C30*'E Balans VL '!E18/100/3.6*1000000</f>
        <v>0</v>
      </c>
      <c r="K8" s="33"/>
      <c r="L8" s="33"/>
      <c r="M8" s="33"/>
      <c r="N8" s="33">
        <f>C30*'E Balans VL '!Y18/100/3.6*1000000</f>
        <v>3.4392835075704595</v>
      </c>
      <c r="O8" s="33"/>
      <c r="P8" s="33"/>
      <c r="R8" s="32"/>
    </row>
    <row r="9" spans="1:18">
      <c r="A9" s="6" t="s">
        <v>33</v>
      </c>
      <c r="B9" s="37">
        <f t="shared" si="0"/>
        <v>796.81296350966306</v>
      </c>
      <c r="C9" s="33"/>
      <c r="D9" s="37">
        <f>IF( ISERROR(IND_andere_gas_kWh/1000),0,IND_andere_gas_kWh/1000)*0.902</f>
        <v>643.41248620853037</v>
      </c>
      <c r="E9" s="33">
        <f>C31*'E Balans VL '!I19/100/3.6*1000000</f>
        <v>215.67767794950433</v>
      </c>
      <c r="F9" s="33">
        <f>C31*'E Balans VL '!L19/100/3.6*1000000+C31*'E Balans VL '!N19/100/3.6*1000000</f>
        <v>530.76175412268981</v>
      </c>
      <c r="G9" s="34"/>
      <c r="H9" s="33"/>
      <c r="I9" s="33"/>
      <c r="J9" s="40">
        <f>C31*'E Balans VL '!D19/100/3.6*1000000+C31*'E Balans VL '!E19/100/3.6*1000000</f>
        <v>0</v>
      </c>
      <c r="K9" s="33"/>
      <c r="L9" s="33"/>
      <c r="M9" s="33"/>
      <c r="N9" s="33">
        <f>C31*'E Balans VL '!Y19/100/3.6*1000000</f>
        <v>260.14619638941707</v>
      </c>
      <c r="O9" s="33"/>
      <c r="P9" s="33"/>
      <c r="R9" s="32"/>
    </row>
    <row r="10" spans="1:18">
      <c r="A10" s="6" t="s">
        <v>41</v>
      </c>
      <c r="B10" s="37">
        <f t="shared" si="0"/>
        <v>174.489141865346</v>
      </c>
      <c r="C10" s="33"/>
      <c r="D10" s="37">
        <f>IF( ISERROR(IND_voed_gas_kWh/1000),0,IND_voed_gas_kWh/1000)*0.902</f>
        <v>0</v>
      </c>
      <c r="E10" s="33">
        <f>C32*'E Balans VL '!I20/100/3.6*1000000</f>
        <v>14.231735288909656</v>
      </c>
      <c r="F10" s="33">
        <f>C32*'E Balans VL '!L20/100/3.6*1000000+C32*'E Balans VL '!N20/100/3.6*1000000</f>
        <v>260.17914156331722</v>
      </c>
      <c r="G10" s="34"/>
      <c r="H10" s="33"/>
      <c r="I10" s="33"/>
      <c r="J10" s="40">
        <f>C32*'E Balans VL '!D20/100/3.6*1000000+C32*'E Balans VL '!E20/100/3.6*1000000</f>
        <v>2.3082795454735907E-3</v>
      </c>
      <c r="K10" s="33"/>
      <c r="L10" s="33"/>
      <c r="M10" s="33"/>
      <c r="N10" s="33">
        <f>C32*'E Balans VL '!Y20/100/3.6*1000000</f>
        <v>51.258752822124599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465.570311399319</v>
      </c>
      <c r="C15" s="33"/>
      <c r="D15" s="37">
        <f>IF( ISERROR(IND_rest_gas_kWh/1000),0,IND_rest_gas_kWh/1000)*0.902</f>
        <v>617.71648351995748</v>
      </c>
      <c r="E15" s="33">
        <f>C37*'E Balans VL '!I15/100/3.6*1000000</f>
        <v>25.973313395341577</v>
      </c>
      <c r="F15" s="33">
        <f>C37*'E Balans VL '!L15/100/3.6*1000000+C37*'E Balans VL '!N15/100/3.6*1000000</f>
        <v>109.4460932843653</v>
      </c>
      <c r="G15" s="34"/>
      <c r="H15" s="33"/>
      <c r="I15" s="33"/>
      <c r="J15" s="40">
        <f>C37*'E Balans VL '!D15/100/3.6*1000000+C37*'E Balans VL '!E15/100/3.6*1000000</f>
        <v>1.1932859860774105</v>
      </c>
      <c r="K15" s="33"/>
      <c r="L15" s="33"/>
      <c r="M15" s="33"/>
      <c r="N15" s="33">
        <f>C37*'E Balans VL '!Y15/100/3.6*1000000</f>
        <v>91.369629524302013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1563.540002129607</v>
      </c>
      <c r="C18" s="21">
        <f>C5+C16</f>
        <v>0</v>
      </c>
      <c r="D18" s="21">
        <f>MAX((D5+D16),0)</f>
        <v>1354.1883190817236</v>
      </c>
      <c r="E18" s="21">
        <f>MAX((E5+E16),0)</f>
        <v>259.52109513694683</v>
      </c>
      <c r="F18" s="21">
        <f>MAX((F5+F16),0)</f>
        <v>932.87478844623024</v>
      </c>
      <c r="G18" s="21"/>
      <c r="H18" s="21"/>
      <c r="I18" s="21"/>
      <c r="J18" s="21">
        <f>MAX((J5+J16),0)</f>
        <v>1.1955942656228842</v>
      </c>
      <c r="K18" s="21"/>
      <c r="L18" s="21">
        <f>MAX((L5+L16),0)</f>
        <v>0</v>
      </c>
      <c r="M18" s="21"/>
      <c r="N18" s="21">
        <f>MAX((N5+N16),0)</f>
        <v>406.21386224341416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6.9738728731617003E-2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109.03929206954854</v>
      </c>
      <c r="C22" s="23">
        <f ca="1">C18*C20</f>
        <v>0</v>
      </c>
      <c r="D22" s="23">
        <f>D18*D20</f>
        <v>273.54604045450822</v>
      </c>
      <c r="E22" s="23">
        <f>E18*E20</f>
        <v>58.911288596086933</v>
      </c>
      <c r="F22" s="23">
        <f>F18*F20</f>
        <v>249.0775685151435</v>
      </c>
      <c r="G22" s="23"/>
      <c r="H22" s="23"/>
      <c r="I22" s="23"/>
      <c r="J22" s="23">
        <f>J18*J20</f>
        <v>0.42324037003050097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126.667585355279</v>
      </c>
      <c r="C30" s="39">
        <f>IF(ISERROR(B30*3.6/1000000/'E Balans VL '!Z18*100),0,B30*3.6/1000000/'E Balans VL '!Z18*100)</f>
        <v>1.2463767051058694E-2</v>
      </c>
      <c r="D30" s="239" t="s">
        <v>692</v>
      </c>
    </row>
    <row r="31" spans="1:18">
      <c r="A31" s="6" t="s">
        <v>33</v>
      </c>
      <c r="B31" s="37">
        <f>IF( ISERROR(IND_ander_ele_kWh/1000),0,IND_ander_ele_kWh/1000)</f>
        <v>796.81296350966306</v>
      </c>
      <c r="C31" s="39">
        <f>IF(ISERROR(B31*3.6/1000000/'E Balans VL '!Z19*100),0,B31*3.6/1000000/'E Balans VL '!Z19*100)</f>
        <v>3.4700568949406027E-2</v>
      </c>
      <c r="D31" s="239" t="s">
        <v>692</v>
      </c>
    </row>
    <row r="32" spans="1:18">
      <c r="A32" s="173" t="s">
        <v>41</v>
      </c>
      <c r="B32" s="37">
        <f>IF( ISERROR(IND_voed_ele_kWh/1000),0,IND_voed_ele_kWh/1000)</f>
        <v>174.489141865346</v>
      </c>
      <c r="C32" s="39">
        <f>IF(ISERROR(B32*3.6/1000000/'E Balans VL '!Z20*100),0,B32*3.6/1000000/'E Balans VL '!Z20*100)</f>
        <v>3.3106798261771313E-2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465.570311399319</v>
      </c>
      <c r="C37" s="39">
        <f>IF(ISERROR(B37*3.6/1000000/'E Balans VL '!Z15*100),0,B37*3.6/1000000/'E Balans VL '!Z15*100)</f>
        <v>3.5877910875463308E-3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2281.513377602379</v>
      </c>
      <c r="C5" s="17">
        <f>'Eigen informatie GS &amp; warmtenet'!B60</f>
        <v>0</v>
      </c>
      <c r="D5" s="30">
        <f>IF(ISERROR(SUM(LB_lb_gas_kWh,LB_rest_gas_kWh)/1000),0,SUM(LB_lb_gas_kWh,LB_rest_gas_kWh)/1000)*0.902</f>
        <v>109.06378387674069</v>
      </c>
      <c r="E5" s="17">
        <f>B17*'E Balans VL '!I25/3.6*1000000/100</f>
        <v>28.750007744617488</v>
      </c>
      <c r="F5" s="17">
        <f>B17*('E Balans VL '!L25/3.6*1000000+'E Balans VL '!N25/3.6*1000000)/100</f>
        <v>7871.7927059810054</v>
      </c>
      <c r="G5" s="18"/>
      <c r="H5" s="17"/>
      <c r="I5" s="17"/>
      <c r="J5" s="17">
        <f>('E Balans VL '!D25+'E Balans VL '!E25)/3.6*1000000*landbouw!B17/100</f>
        <v>343.11367666266415</v>
      </c>
      <c r="K5" s="17"/>
      <c r="L5" s="17">
        <f>L6*(-1)</f>
        <v>0</v>
      </c>
      <c r="M5" s="17"/>
      <c r="N5" s="17">
        <f>N6*(-1)</f>
        <v>50241.857142857138</v>
      </c>
      <c r="O5" s="17"/>
      <c r="P5" s="17"/>
      <c r="R5" s="32"/>
    </row>
    <row r="6" spans="1:18">
      <c r="A6" s="16" t="s">
        <v>497</v>
      </c>
      <c r="B6" s="17" t="s">
        <v>211</v>
      </c>
      <c r="C6" s="17">
        <f>'lokale energieproductie'!O92+'lokale energieproductie'!O61</f>
        <v>25120.928571428569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-50241.857142857138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2281.513377602379</v>
      </c>
      <c r="C8" s="21">
        <f>C5+C6</f>
        <v>25120.928571428569</v>
      </c>
      <c r="D8" s="21">
        <f>MAX((D5+D6),0)</f>
        <v>109.06378387674069</v>
      </c>
      <c r="E8" s="21">
        <f>MAX((E5+E6),0)</f>
        <v>28.750007744617488</v>
      </c>
      <c r="F8" s="21">
        <f>MAX((F5+F6),0)</f>
        <v>7871.7927059810054</v>
      </c>
      <c r="G8" s="21"/>
      <c r="H8" s="21"/>
      <c r="I8" s="21"/>
      <c r="J8" s="21">
        <f>MAX((J5+J6),0)</f>
        <v>343.11367666266415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6.9738728731617003E-2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159.10984253816758</v>
      </c>
      <c r="C12" s="23">
        <f ca="1">C8*C10</f>
        <v>0</v>
      </c>
      <c r="D12" s="23">
        <f>D8*D10</f>
        <v>22.030884343101619</v>
      </c>
      <c r="E12" s="23">
        <f>E8*E10</f>
        <v>6.5262517580281703</v>
      </c>
      <c r="F12" s="23">
        <f>F8*F10</f>
        <v>2101.7686524969286</v>
      </c>
      <c r="G12" s="23"/>
      <c r="H12" s="23"/>
      <c r="I12" s="23"/>
      <c r="J12" s="23">
        <f>J8*J10</f>
        <v>121.4622415385831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0.31819920704792864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644.99600922394154</v>
      </c>
      <c r="C26" s="249">
        <f>B26*'GWP N2O_CH4'!B5</f>
        <v>13544.916193702773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204.71666377441866</v>
      </c>
      <c r="C27" s="249">
        <f>B27*'GWP N2O_CH4'!B5</f>
        <v>4299.0499392627917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8.1046726215568388</v>
      </c>
      <c r="C28" s="249">
        <f>B28*'GWP N2O_CH4'!B4</f>
        <v>2512.4485126826198</v>
      </c>
      <c r="D28" s="50"/>
    </row>
    <row r="29" spans="1:4">
      <c r="A29" s="41" t="s">
        <v>277</v>
      </c>
      <c r="B29" s="249">
        <f>B34*'ha_N2O bodem landbouw'!B4</f>
        <v>16.636851266810016</v>
      </c>
      <c r="C29" s="249">
        <f>B29*'GWP N2O_CH4'!B4</f>
        <v>5157.4238927111046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4.1540555212648076E-3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7.3071684169998647E-6</v>
      </c>
      <c r="C5" s="448" t="s">
        <v>211</v>
      </c>
      <c r="D5" s="433">
        <f>SUM(D6:D11)</f>
        <v>1.5824825305858356E-5</v>
      </c>
      <c r="E5" s="433">
        <f>SUM(E6:E11)</f>
        <v>4.6605862024109122E-4</v>
      </c>
      <c r="F5" s="446" t="s">
        <v>211</v>
      </c>
      <c r="G5" s="433">
        <f>SUM(G6:G11)</f>
        <v>9.6298309536772583E-2</v>
      </c>
      <c r="H5" s="433">
        <f>SUM(H6:H11)</f>
        <v>2.3278368302204821E-2</v>
      </c>
      <c r="I5" s="448" t="s">
        <v>211</v>
      </c>
      <c r="J5" s="448" t="s">
        <v>211</v>
      </c>
      <c r="K5" s="448" t="s">
        <v>211</v>
      </c>
      <c r="L5" s="448" t="s">
        <v>211</v>
      </c>
      <c r="M5" s="433">
        <f>SUM(M6:M11)</f>
        <v>5.4087811166146577E-3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2.359084092514699E-6</v>
      </c>
      <c r="C6" s="887"/>
      <c r="D6" s="887">
        <f>vkm_2011_GW_PW*SUMIFS(TableVerdeelsleutelVkm[CNG],TableVerdeelsleutelVkm[Voertuigtype],"Lichte voertuigen")*SUMIFS(TableECFTransport[EnergieConsumptieFactor (PJ per km)],TableECFTransport[Index],CONCATENATE($A6,"_CNG_CNG"))</f>
        <v>3.3409244661171575E-6</v>
      </c>
      <c r="E6" s="887">
        <f>vkm_2011_GW_PW*SUMIFS(TableVerdeelsleutelVkm[LPG],TableVerdeelsleutelVkm[Voertuigtype],"Lichte voertuigen")*SUMIFS(TableECFTransport[EnergieConsumptieFactor (PJ per km)],TableECFTransport[Index],CONCATENATE($A6,"_LPG_LPG"))</f>
        <v>1.0492743886703181E-4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1.8858333891653631E-2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5.0532423117855335E-3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1.081836111496778E-3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8.1651012406274079E-3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2.9009758251296165E-6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3.6846517822643361E-4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4.9480843244851656E-6</v>
      </c>
      <c r="C8" s="887"/>
      <c r="D8" s="436">
        <f>vkm_2011_NGW_PW*SUMIFS(TableVerdeelsleutelVkm[CNG],TableVerdeelsleutelVkm[Voertuigtype],"Lichte voertuigen")*SUMIFS(TableECFTransport[EnergieConsumptieFactor (PJ per km)],TableECFTransport[Index],CONCATENATE($A8,"_CNG_CNG"))</f>
        <v>1.2483900839741197E-5</v>
      </c>
      <c r="E8" s="436">
        <f>vkm_2011_NGW_PW*SUMIFS(TableVerdeelsleutelVkm[LPG],TableVerdeelsleutelVkm[Voertuigtype],"Lichte voertuigen")*SUMIFS(TableECFTransport[EnergieConsumptieFactor (PJ per km)],TableECFTransport[Index],CONCATENATE($A8,"_LPG_LPG"))</f>
        <v>3.6113118137405943E-4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6.1215237130739876E-2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1.8219515305093144E-2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3.5947809380577713E-3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8.0596372737516738E-3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2.7097095010124316E-6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3.6369888883367504E-4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2.0297690047221844</v>
      </c>
      <c r="C14" s="21"/>
      <c r="D14" s="21">
        <f t="shared" ref="D14:M14" si="0">((D5)*10^9/3600)+D12</f>
        <v>4.3957848071828769</v>
      </c>
      <c r="E14" s="21">
        <f t="shared" si="0"/>
        <v>129.46072784474757</v>
      </c>
      <c r="F14" s="21"/>
      <c r="G14" s="21">
        <f t="shared" si="0"/>
        <v>26749.530426881272</v>
      </c>
      <c r="H14" s="21">
        <f t="shared" si="0"/>
        <v>6466.2134172791166</v>
      </c>
      <c r="I14" s="21"/>
      <c r="J14" s="21"/>
      <c r="K14" s="21"/>
      <c r="L14" s="21"/>
      <c r="M14" s="21">
        <f t="shared" si="0"/>
        <v>1502.4391990596271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6.9738728731617003E-2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0.14155351000816466</v>
      </c>
      <c r="C18" s="23"/>
      <c r="D18" s="23">
        <f t="shared" ref="D18:M18" si="1">D14*D16</f>
        <v>0.88794853105094118</v>
      </c>
      <c r="E18" s="23">
        <f t="shared" si="1"/>
        <v>29.3875852207577</v>
      </c>
      <c r="F18" s="23"/>
      <c r="G18" s="23">
        <f t="shared" si="1"/>
        <v>7142.1246239773</v>
      </c>
      <c r="H18" s="23">
        <f t="shared" si="1"/>
        <v>1610.0871409025001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2.1944851152255959E-3</v>
      </c>
      <c r="H50" s="323">
        <f t="shared" si="2"/>
        <v>0</v>
      </c>
      <c r="I50" s="323">
        <f t="shared" si="2"/>
        <v>0</v>
      </c>
      <c r="J50" s="323">
        <f t="shared" si="2"/>
        <v>0</v>
      </c>
      <c r="K50" s="323">
        <f t="shared" si="2"/>
        <v>0</v>
      </c>
      <c r="L50" s="323">
        <f t="shared" si="2"/>
        <v>0</v>
      </c>
      <c r="M50" s="323">
        <f t="shared" si="2"/>
        <v>9.7594120601167698E-5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2.1944851152255959E-3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9.7594120601167698E-5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609.57919867377666</v>
      </c>
      <c r="H54" s="21">
        <f t="shared" si="3"/>
        <v>0</v>
      </c>
      <c r="I54" s="21">
        <f t="shared" si="3"/>
        <v>0</v>
      </c>
      <c r="J54" s="21">
        <f t="shared" si="3"/>
        <v>0</v>
      </c>
      <c r="K54" s="21">
        <f t="shared" si="3"/>
        <v>0</v>
      </c>
      <c r="L54" s="21">
        <f t="shared" si="3"/>
        <v>0</v>
      </c>
      <c r="M54" s="21">
        <f t="shared" si="3"/>
        <v>27.109477944768805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6.9738728731617003E-2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162.75764604589838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7546.8906104585094</v>
      </c>
      <c r="D10" s="690">
        <f ca="1">tertiair!C16</f>
        <v>0</v>
      </c>
      <c r="E10" s="690">
        <f ca="1">tertiair!D16</f>
        <v>7753.357373142976</v>
      </c>
      <c r="F10" s="690">
        <f>tertiair!E16</f>
        <v>91.05261595495125</v>
      </c>
      <c r="G10" s="690">
        <f ca="1">tertiair!F16</f>
        <v>1385.2957454143429</v>
      </c>
      <c r="H10" s="690">
        <f>tertiair!G16</f>
        <v>0</v>
      </c>
      <c r="I10" s="690">
        <f>tertiair!H16</f>
        <v>0</v>
      </c>
      <c r="J10" s="690">
        <f>tertiair!I16</f>
        <v>0</v>
      </c>
      <c r="K10" s="690">
        <f>tertiair!J16</f>
        <v>0</v>
      </c>
      <c r="L10" s="690">
        <f>tertiair!K16</f>
        <v>0</v>
      </c>
      <c r="M10" s="690">
        <f ca="1">tertiair!L16</f>
        <v>0</v>
      </c>
      <c r="N10" s="690">
        <f>tertiair!M16</f>
        <v>0</v>
      </c>
      <c r="O10" s="690">
        <f ca="1">tertiair!N16</f>
        <v>782.11930209302409</v>
      </c>
      <c r="P10" s="690">
        <f>tertiair!O16</f>
        <v>4.6900000000000004</v>
      </c>
      <c r="Q10" s="691">
        <f>tertiair!P16</f>
        <v>19.066666666666666</v>
      </c>
      <c r="R10" s="693">
        <f ca="1">SUM(C10:Q10)</f>
        <v>17582.472313730472</v>
      </c>
      <c r="S10" s="67"/>
    </row>
    <row r="11" spans="1:19" s="458" customFormat="1">
      <c r="A11" s="805" t="s">
        <v>225</v>
      </c>
      <c r="B11" s="810"/>
      <c r="C11" s="690">
        <f>huishoudens!B8</f>
        <v>16311.2170267359</v>
      </c>
      <c r="D11" s="690">
        <f>huishoudens!C8</f>
        <v>0</v>
      </c>
      <c r="E11" s="690">
        <f>huishoudens!D8</f>
        <v>22376.310845921987</v>
      </c>
      <c r="F11" s="690">
        <f>huishoudens!E8</f>
        <v>2916.2878595498546</v>
      </c>
      <c r="G11" s="690">
        <f>huishoudens!F8</f>
        <v>25853.305408832566</v>
      </c>
      <c r="H11" s="690">
        <f>huishoudens!G8</f>
        <v>0</v>
      </c>
      <c r="I11" s="690">
        <f>huishoudens!H8</f>
        <v>0</v>
      </c>
      <c r="J11" s="690">
        <f>huishoudens!I8</f>
        <v>0</v>
      </c>
      <c r="K11" s="690">
        <f>huishoudens!J8</f>
        <v>2668.8096904135691</v>
      </c>
      <c r="L11" s="690">
        <f>huishoudens!K8</f>
        <v>0</v>
      </c>
      <c r="M11" s="690">
        <f>huishoudens!L8</f>
        <v>0</v>
      </c>
      <c r="N11" s="690">
        <f>huishoudens!M8</f>
        <v>0</v>
      </c>
      <c r="O11" s="690">
        <f>huishoudens!N8</f>
        <v>11408.297096787121</v>
      </c>
      <c r="P11" s="690">
        <f>huishoudens!O8</f>
        <v>154.77000000000001</v>
      </c>
      <c r="Q11" s="691">
        <f>huishoudens!P8</f>
        <v>343.2</v>
      </c>
      <c r="R11" s="693">
        <f>SUM(C11:Q11)</f>
        <v>82032.197928241003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1563.540002129607</v>
      </c>
      <c r="D13" s="690">
        <f>industrie!C18</f>
        <v>0</v>
      </c>
      <c r="E13" s="690">
        <f>industrie!D18</f>
        <v>1354.1883190817236</v>
      </c>
      <c r="F13" s="690">
        <f>industrie!E18</f>
        <v>259.52109513694683</v>
      </c>
      <c r="G13" s="690">
        <f>industrie!F18</f>
        <v>932.87478844623024</v>
      </c>
      <c r="H13" s="690">
        <f>industrie!G18</f>
        <v>0</v>
      </c>
      <c r="I13" s="690">
        <f>industrie!H18</f>
        <v>0</v>
      </c>
      <c r="J13" s="690">
        <f>industrie!I18</f>
        <v>0</v>
      </c>
      <c r="K13" s="690">
        <f>industrie!J18</f>
        <v>1.1955942656228842</v>
      </c>
      <c r="L13" s="690">
        <f>industrie!K18</f>
        <v>0</v>
      </c>
      <c r="M13" s="690">
        <f>industrie!L18</f>
        <v>0</v>
      </c>
      <c r="N13" s="690">
        <f>industrie!M18</f>
        <v>0</v>
      </c>
      <c r="O13" s="690">
        <f>industrie!N18</f>
        <v>406.21386224341416</v>
      </c>
      <c r="P13" s="690">
        <f>industrie!O18</f>
        <v>0</v>
      </c>
      <c r="Q13" s="691">
        <f>industrie!P18</f>
        <v>0</v>
      </c>
      <c r="R13" s="693">
        <f>SUM(C13:Q13)</f>
        <v>4517.5336613035452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25421.647639324015</v>
      </c>
      <c r="D16" s="725">
        <f t="shared" ref="D16:R16" ca="1" si="0">SUM(D9:D15)</f>
        <v>0</v>
      </c>
      <c r="E16" s="725">
        <f t="shared" ca="1" si="0"/>
        <v>31483.856538146687</v>
      </c>
      <c r="F16" s="725">
        <f t="shared" si="0"/>
        <v>3266.8615706417527</v>
      </c>
      <c r="G16" s="725">
        <f t="shared" ca="1" si="0"/>
        <v>28171.475942693141</v>
      </c>
      <c r="H16" s="725">
        <f t="shared" si="0"/>
        <v>0</v>
      </c>
      <c r="I16" s="725">
        <f t="shared" si="0"/>
        <v>0</v>
      </c>
      <c r="J16" s="725">
        <f t="shared" si="0"/>
        <v>0</v>
      </c>
      <c r="K16" s="725">
        <f t="shared" si="0"/>
        <v>2670.0052846791918</v>
      </c>
      <c r="L16" s="725">
        <f t="shared" si="0"/>
        <v>0</v>
      </c>
      <c r="M16" s="725">
        <f t="shared" ca="1" si="0"/>
        <v>0</v>
      </c>
      <c r="N16" s="725">
        <f t="shared" si="0"/>
        <v>0</v>
      </c>
      <c r="O16" s="725">
        <f t="shared" ca="1" si="0"/>
        <v>12596.630261123559</v>
      </c>
      <c r="P16" s="725">
        <f t="shared" si="0"/>
        <v>159.46</v>
      </c>
      <c r="Q16" s="725">
        <f t="shared" si="0"/>
        <v>362.26666666666665</v>
      </c>
      <c r="R16" s="725">
        <f t="shared" ca="1" si="0"/>
        <v>104132.20390327502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609.57919867377666</v>
      </c>
      <c r="I19" s="690">
        <f>transport!H54</f>
        <v>0</v>
      </c>
      <c r="J19" s="690">
        <f>transport!I54</f>
        <v>0</v>
      </c>
      <c r="K19" s="690">
        <f>transport!J54</f>
        <v>0</v>
      </c>
      <c r="L19" s="690">
        <f>transport!K54</f>
        <v>0</v>
      </c>
      <c r="M19" s="690">
        <f>transport!L54</f>
        <v>0</v>
      </c>
      <c r="N19" s="690">
        <f>transport!M54</f>
        <v>27.109477944768805</v>
      </c>
      <c r="O19" s="690">
        <f>transport!N54</f>
        <v>0</v>
      </c>
      <c r="P19" s="690">
        <f>transport!O54</f>
        <v>0</v>
      </c>
      <c r="Q19" s="691">
        <f>transport!P54</f>
        <v>0</v>
      </c>
      <c r="R19" s="693">
        <f>SUM(C19:Q19)</f>
        <v>636.68867661854551</v>
      </c>
      <c r="S19" s="67"/>
    </row>
    <row r="20" spans="1:19" s="458" customFormat="1">
      <c r="A20" s="805" t="s">
        <v>307</v>
      </c>
      <c r="B20" s="810"/>
      <c r="C20" s="690">
        <f>transport!B14</f>
        <v>2.0297690047221844</v>
      </c>
      <c r="D20" s="690">
        <f>transport!C14</f>
        <v>0</v>
      </c>
      <c r="E20" s="690">
        <f>transport!D14</f>
        <v>4.3957848071828769</v>
      </c>
      <c r="F20" s="690">
        <f>transport!E14</f>
        <v>129.46072784474757</v>
      </c>
      <c r="G20" s="690">
        <f>transport!F14</f>
        <v>0</v>
      </c>
      <c r="H20" s="690">
        <f>transport!G14</f>
        <v>26749.530426881272</v>
      </c>
      <c r="I20" s="690">
        <f>transport!H14</f>
        <v>6466.2134172791166</v>
      </c>
      <c r="J20" s="690">
        <f>transport!I14</f>
        <v>0</v>
      </c>
      <c r="K20" s="690">
        <f>transport!J14</f>
        <v>0</v>
      </c>
      <c r="L20" s="690">
        <f>transport!K14</f>
        <v>0</v>
      </c>
      <c r="M20" s="690">
        <f>transport!L14</f>
        <v>0</v>
      </c>
      <c r="N20" s="690">
        <f>transport!M14</f>
        <v>1502.4391990596271</v>
      </c>
      <c r="O20" s="690">
        <f>transport!N14</f>
        <v>0</v>
      </c>
      <c r="P20" s="690">
        <f>transport!O14</f>
        <v>0</v>
      </c>
      <c r="Q20" s="691">
        <f>transport!P14</f>
        <v>0</v>
      </c>
      <c r="R20" s="693">
        <f>SUM(C20:Q20)</f>
        <v>34854.069324876669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2.0297690047221844</v>
      </c>
      <c r="D22" s="808">
        <f t="shared" ref="D22:R22" si="1">SUM(D18:D21)</f>
        <v>0</v>
      </c>
      <c r="E22" s="808">
        <f t="shared" si="1"/>
        <v>4.3957848071828769</v>
      </c>
      <c r="F22" s="808">
        <f t="shared" si="1"/>
        <v>129.46072784474757</v>
      </c>
      <c r="G22" s="808">
        <f t="shared" si="1"/>
        <v>0</v>
      </c>
      <c r="H22" s="808">
        <f t="shared" si="1"/>
        <v>27359.109625555047</v>
      </c>
      <c r="I22" s="808">
        <f t="shared" si="1"/>
        <v>6466.2134172791166</v>
      </c>
      <c r="J22" s="808">
        <f t="shared" si="1"/>
        <v>0</v>
      </c>
      <c r="K22" s="808">
        <f t="shared" si="1"/>
        <v>0</v>
      </c>
      <c r="L22" s="808">
        <f t="shared" si="1"/>
        <v>0</v>
      </c>
      <c r="M22" s="808">
        <f t="shared" si="1"/>
        <v>0</v>
      </c>
      <c r="N22" s="808">
        <f t="shared" si="1"/>
        <v>1529.5486770043958</v>
      </c>
      <c r="O22" s="808">
        <f t="shared" si="1"/>
        <v>0</v>
      </c>
      <c r="P22" s="808">
        <f t="shared" si="1"/>
        <v>0</v>
      </c>
      <c r="Q22" s="808">
        <f t="shared" si="1"/>
        <v>0</v>
      </c>
      <c r="R22" s="808">
        <f t="shared" si="1"/>
        <v>35490.758001495218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2281.513377602379</v>
      </c>
      <c r="D24" s="690">
        <f>+landbouw!C8</f>
        <v>25120.928571428569</v>
      </c>
      <c r="E24" s="690">
        <f>+landbouw!D8</f>
        <v>109.06378387674069</v>
      </c>
      <c r="F24" s="690">
        <f>+landbouw!E8</f>
        <v>28.750007744617488</v>
      </c>
      <c r="G24" s="690">
        <f>+landbouw!F8</f>
        <v>7871.7927059810054</v>
      </c>
      <c r="H24" s="690">
        <f>+landbouw!G8</f>
        <v>0</v>
      </c>
      <c r="I24" s="690">
        <f>+landbouw!H8</f>
        <v>0</v>
      </c>
      <c r="J24" s="690">
        <f>+landbouw!I8</f>
        <v>0</v>
      </c>
      <c r="K24" s="690">
        <f>+landbouw!J8</f>
        <v>343.11367666266415</v>
      </c>
      <c r="L24" s="690">
        <f>+landbouw!K8</f>
        <v>0</v>
      </c>
      <c r="M24" s="690">
        <f>+landbouw!L8</f>
        <v>0</v>
      </c>
      <c r="N24" s="690">
        <f>+landbouw!M8</f>
        <v>0</v>
      </c>
      <c r="O24" s="690">
        <f>+landbouw!N8</f>
        <v>0</v>
      </c>
      <c r="P24" s="690">
        <f>+landbouw!O8</f>
        <v>0</v>
      </c>
      <c r="Q24" s="691">
        <f>+landbouw!P8</f>
        <v>0</v>
      </c>
      <c r="R24" s="693">
        <f>SUM(C24:Q24)</f>
        <v>35755.162123295973</v>
      </c>
      <c r="S24" s="67"/>
    </row>
    <row r="25" spans="1:19" s="458" customFormat="1" ht="15" thickBot="1">
      <c r="A25" s="827" t="s">
        <v>872</v>
      </c>
      <c r="B25" s="1004"/>
      <c r="C25" s="1005">
        <f>IF(Onbekend_ele_kWh="---",0,Onbekend_ele_kWh)/1000+IF(REST_rest_ele_kWh="---",0,REST_rest_ele_kWh)/1000</f>
        <v>713.13511437818704</v>
      </c>
      <c r="D25" s="1005"/>
      <c r="E25" s="1005">
        <f>IF(onbekend_gas_kWh="---",0,onbekend_gas_kWh)/1000+IF(REST_rest_gas_kWh="---",0,REST_rest_gas_kWh)/1000</f>
        <v>1329.1927322788499</v>
      </c>
      <c r="F25" s="1005"/>
      <c r="G25" s="1005"/>
      <c r="H25" s="1005"/>
      <c r="I25" s="1005"/>
      <c r="J25" s="1005"/>
      <c r="K25" s="1005"/>
      <c r="L25" s="1005"/>
      <c r="M25" s="1005"/>
      <c r="N25" s="1005"/>
      <c r="O25" s="1005"/>
      <c r="P25" s="1005"/>
      <c r="Q25" s="1006"/>
      <c r="R25" s="693">
        <f>SUM(C25:Q25)</f>
        <v>2042.3278466570368</v>
      </c>
      <c r="S25" s="67"/>
    </row>
    <row r="26" spans="1:19" s="458" customFormat="1" ht="15.75" thickBot="1">
      <c r="A26" s="698" t="s">
        <v>873</v>
      </c>
      <c r="B26" s="813"/>
      <c r="C26" s="808">
        <f>SUM(C24:C25)</f>
        <v>2994.6484919805662</v>
      </c>
      <c r="D26" s="808">
        <f t="shared" ref="D26:R26" si="2">SUM(D24:D25)</f>
        <v>25120.928571428569</v>
      </c>
      <c r="E26" s="808">
        <f t="shared" si="2"/>
        <v>1438.2565161555906</v>
      </c>
      <c r="F26" s="808">
        <f t="shared" si="2"/>
        <v>28.750007744617488</v>
      </c>
      <c r="G26" s="808">
        <f t="shared" si="2"/>
        <v>7871.7927059810054</v>
      </c>
      <c r="H26" s="808">
        <f t="shared" si="2"/>
        <v>0</v>
      </c>
      <c r="I26" s="808">
        <f t="shared" si="2"/>
        <v>0</v>
      </c>
      <c r="J26" s="808">
        <f t="shared" si="2"/>
        <v>0</v>
      </c>
      <c r="K26" s="808">
        <f t="shared" si="2"/>
        <v>343.11367666266415</v>
      </c>
      <c r="L26" s="808">
        <f t="shared" si="2"/>
        <v>0</v>
      </c>
      <c r="M26" s="808">
        <f t="shared" si="2"/>
        <v>0</v>
      </c>
      <c r="N26" s="808">
        <f t="shared" si="2"/>
        <v>0</v>
      </c>
      <c r="O26" s="808">
        <f t="shared" si="2"/>
        <v>0</v>
      </c>
      <c r="P26" s="808">
        <f t="shared" si="2"/>
        <v>0</v>
      </c>
      <c r="Q26" s="808">
        <f t="shared" si="2"/>
        <v>0</v>
      </c>
      <c r="R26" s="808">
        <f t="shared" si="2"/>
        <v>37797.489969953007</v>
      </c>
      <c r="S26" s="67"/>
    </row>
    <row r="27" spans="1:19" s="458" customFormat="1" ht="17.25" thickTop="1" thickBot="1">
      <c r="A27" s="699" t="s">
        <v>116</v>
      </c>
      <c r="B27" s="800"/>
      <c r="C27" s="700">
        <f ca="1">C22+C16+C26</f>
        <v>28418.325900309304</v>
      </c>
      <c r="D27" s="700">
        <f t="shared" ref="D27:R27" ca="1" si="3">D22+D16+D26</f>
        <v>25120.928571428569</v>
      </c>
      <c r="E27" s="700">
        <f t="shared" ca="1" si="3"/>
        <v>32926.508839109461</v>
      </c>
      <c r="F27" s="700">
        <f t="shared" si="3"/>
        <v>3425.0723062311176</v>
      </c>
      <c r="G27" s="700">
        <f t="shared" ca="1" si="3"/>
        <v>36043.268648674144</v>
      </c>
      <c r="H27" s="700">
        <f t="shared" si="3"/>
        <v>27359.109625555047</v>
      </c>
      <c r="I27" s="700">
        <f t="shared" si="3"/>
        <v>6466.2134172791166</v>
      </c>
      <c r="J27" s="700">
        <f t="shared" si="3"/>
        <v>0</v>
      </c>
      <c r="K27" s="700">
        <f t="shared" si="3"/>
        <v>3013.118961341856</v>
      </c>
      <c r="L27" s="700">
        <f t="shared" si="3"/>
        <v>0</v>
      </c>
      <c r="M27" s="700">
        <f t="shared" ca="1" si="3"/>
        <v>0</v>
      </c>
      <c r="N27" s="700">
        <f t="shared" si="3"/>
        <v>1529.5486770043958</v>
      </c>
      <c r="O27" s="700">
        <f t="shared" ca="1" si="3"/>
        <v>12596.630261123559</v>
      </c>
      <c r="P27" s="700">
        <f t="shared" si="3"/>
        <v>159.46</v>
      </c>
      <c r="Q27" s="700">
        <f t="shared" si="3"/>
        <v>362.26666666666665</v>
      </c>
      <c r="R27" s="700">
        <f t="shared" ca="1" si="3"/>
        <v>177420.45187472325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526.31055704995345</v>
      </c>
      <c r="D40" s="690">
        <f ca="1">tertiair!C20</f>
        <v>0</v>
      </c>
      <c r="E40" s="690">
        <f ca="1">tertiair!D20</f>
        <v>1566.1781893748812</v>
      </c>
      <c r="F40" s="690">
        <f>tertiair!E20</f>
        <v>20.668943821773933</v>
      </c>
      <c r="G40" s="690">
        <f ca="1">tertiair!F20</f>
        <v>369.87396402562956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2483.031654272238</v>
      </c>
    </row>
    <row r="41" spans="1:18">
      <c r="A41" s="818" t="s">
        <v>225</v>
      </c>
      <c r="B41" s="825"/>
      <c r="C41" s="690">
        <f ca="1">huishoudens!B12</f>
        <v>1137.5235395100674</v>
      </c>
      <c r="D41" s="690">
        <f ca="1">huishoudens!C12</f>
        <v>0</v>
      </c>
      <c r="E41" s="690">
        <f>huishoudens!D12</f>
        <v>4520.0147908762419</v>
      </c>
      <c r="F41" s="690">
        <f>huishoudens!E12</f>
        <v>661.99734411781697</v>
      </c>
      <c r="G41" s="690">
        <f>huishoudens!F12</f>
        <v>6902.8325441582956</v>
      </c>
      <c r="H41" s="690">
        <f>huishoudens!G12</f>
        <v>0</v>
      </c>
      <c r="I41" s="690">
        <f>huishoudens!H12</f>
        <v>0</v>
      </c>
      <c r="J41" s="690">
        <f>huishoudens!I12</f>
        <v>0</v>
      </c>
      <c r="K41" s="690">
        <f>huishoudens!J12</f>
        <v>944.75863040640343</v>
      </c>
      <c r="L41" s="690">
        <f>huishoudens!K12</f>
        <v>0</v>
      </c>
      <c r="M41" s="690">
        <f>huishoudens!L12</f>
        <v>0</v>
      </c>
      <c r="N41" s="690">
        <f>huishoudens!M12</f>
        <v>0</v>
      </c>
      <c r="O41" s="690">
        <f>huishoudens!N12</f>
        <v>0</v>
      </c>
      <c r="P41" s="690">
        <f>huishoudens!O12</f>
        <v>0</v>
      </c>
      <c r="Q41" s="767">
        <f>huishoudens!P12</f>
        <v>0</v>
      </c>
      <c r="R41" s="846">
        <f t="shared" ca="1" si="4"/>
        <v>14167.126849068824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109.03929206954854</v>
      </c>
      <c r="D43" s="690">
        <f ca="1">industrie!C22</f>
        <v>0</v>
      </c>
      <c r="E43" s="690">
        <f>industrie!D22</f>
        <v>273.54604045450822</v>
      </c>
      <c r="F43" s="690">
        <f>industrie!E22</f>
        <v>58.911288596086933</v>
      </c>
      <c r="G43" s="690">
        <f>industrie!F22</f>
        <v>249.0775685151435</v>
      </c>
      <c r="H43" s="690">
        <f>industrie!G22</f>
        <v>0</v>
      </c>
      <c r="I43" s="690">
        <f>industrie!H22</f>
        <v>0</v>
      </c>
      <c r="J43" s="690">
        <f>industrie!I22</f>
        <v>0</v>
      </c>
      <c r="K43" s="690">
        <f>industrie!J22</f>
        <v>0.42324037003050097</v>
      </c>
      <c r="L43" s="690">
        <f>industrie!K22</f>
        <v>0</v>
      </c>
      <c r="M43" s="690">
        <f>industrie!L22</f>
        <v>0</v>
      </c>
      <c r="N43" s="690">
        <f>industrie!M22</f>
        <v>0</v>
      </c>
      <c r="O43" s="690">
        <f>industrie!N22</f>
        <v>0</v>
      </c>
      <c r="P43" s="690">
        <f>industrie!O22</f>
        <v>0</v>
      </c>
      <c r="Q43" s="767">
        <f>industrie!P22</f>
        <v>0</v>
      </c>
      <c r="R43" s="845">
        <f t="shared" ca="1" si="4"/>
        <v>690.99743000531771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1772.8733886295695</v>
      </c>
      <c r="D46" s="725">
        <f t="shared" ref="D46:Q46" ca="1" si="5">SUM(D39:D45)</f>
        <v>0</v>
      </c>
      <c r="E46" s="725">
        <f t="shared" ca="1" si="5"/>
        <v>6359.7390207056314</v>
      </c>
      <c r="F46" s="725">
        <f t="shared" si="5"/>
        <v>741.57757653567785</v>
      </c>
      <c r="G46" s="725">
        <f t="shared" ca="1" si="5"/>
        <v>7521.7840766990694</v>
      </c>
      <c r="H46" s="725">
        <f t="shared" si="5"/>
        <v>0</v>
      </c>
      <c r="I46" s="725">
        <f t="shared" si="5"/>
        <v>0</v>
      </c>
      <c r="J46" s="725">
        <f t="shared" si="5"/>
        <v>0</v>
      </c>
      <c r="K46" s="725">
        <f t="shared" si="5"/>
        <v>945.18187077643393</v>
      </c>
      <c r="L46" s="725">
        <f t="shared" si="5"/>
        <v>0</v>
      </c>
      <c r="M46" s="725">
        <f t="shared" ca="1" si="5"/>
        <v>0</v>
      </c>
      <c r="N46" s="725">
        <f t="shared" si="5"/>
        <v>0</v>
      </c>
      <c r="O46" s="725">
        <f t="shared" ca="1" si="5"/>
        <v>0</v>
      </c>
      <c r="P46" s="725">
        <f t="shared" si="5"/>
        <v>0</v>
      </c>
      <c r="Q46" s="725">
        <f t="shared" si="5"/>
        <v>0</v>
      </c>
      <c r="R46" s="725">
        <f ca="1">SUM(R39:R45)</f>
        <v>17341.155933346381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162.75764604589838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162.75764604589838</v>
      </c>
    </row>
    <row r="50" spans="1:18">
      <c r="A50" s="821" t="s">
        <v>307</v>
      </c>
      <c r="B50" s="831"/>
      <c r="C50" s="696">
        <f ca="1">transport!B18</f>
        <v>0.14155351000816466</v>
      </c>
      <c r="D50" s="696">
        <f>transport!C18</f>
        <v>0</v>
      </c>
      <c r="E50" s="696">
        <f>transport!D18</f>
        <v>0.88794853105094118</v>
      </c>
      <c r="F50" s="696">
        <f>transport!E18</f>
        <v>29.3875852207577</v>
      </c>
      <c r="G50" s="696">
        <f>transport!F18</f>
        <v>0</v>
      </c>
      <c r="H50" s="696">
        <f>transport!G18</f>
        <v>7142.1246239773</v>
      </c>
      <c r="I50" s="696">
        <f>transport!H18</f>
        <v>1610.0871409025001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8782.6288521416172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0.14155351000816466</v>
      </c>
      <c r="D52" s="725">
        <f t="shared" ref="D52:Q52" ca="1" si="6">SUM(D48:D51)</f>
        <v>0</v>
      </c>
      <c r="E52" s="725">
        <f t="shared" si="6"/>
        <v>0.88794853105094118</v>
      </c>
      <c r="F52" s="725">
        <f t="shared" si="6"/>
        <v>29.3875852207577</v>
      </c>
      <c r="G52" s="725">
        <f t="shared" si="6"/>
        <v>0</v>
      </c>
      <c r="H52" s="725">
        <f t="shared" si="6"/>
        <v>7304.8822700231985</v>
      </c>
      <c r="I52" s="725">
        <f t="shared" si="6"/>
        <v>1610.0871409025001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8945.3864981875158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159.10984253816758</v>
      </c>
      <c r="D54" s="696">
        <f ca="1">+landbouw!C12</f>
        <v>0</v>
      </c>
      <c r="E54" s="696">
        <f>+landbouw!D12</f>
        <v>22.030884343101619</v>
      </c>
      <c r="F54" s="696">
        <f>+landbouw!E12</f>
        <v>6.5262517580281703</v>
      </c>
      <c r="G54" s="696">
        <f>+landbouw!F12</f>
        <v>2101.7686524969286</v>
      </c>
      <c r="H54" s="696">
        <f>+landbouw!G12</f>
        <v>0</v>
      </c>
      <c r="I54" s="696">
        <f>+landbouw!H12</f>
        <v>0</v>
      </c>
      <c r="J54" s="696">
        <f>+landbouw!I12</f>
        <v>0</v>
      </c>
      <c r="K54" s="696">
        <f>+landbouw!J12</f>
        <v>121.4622415385831</v>
      </c>
      <c r="L54" s="696">
        <f>+landbouw!K12</f>
        <v>0</v>
      </c>
      <c r="M54" s="696">
        <f>+landbouw!L12</f>
        <v>0</v>
      </c>
      <c r="N54" s="696">
        <f>+landbouw!M12</f>
        <v>0</v>
      </c>
      <c r="O54" s="696">
        <f>+landbouw!N12</f>
        <v>0</v>
      </c>
      <c r="P54" s="696">
        <f>+landbouw!O12</f>
        <v>0</v>
      </c>
      <c r="Q54" s="697">
        <f>+landbouw!P12</f>
        <v>0</v>
      </c>
      <c r="R54" s="724">
        <f ca="1">SUM(C54:Q54)</f>
        <v>2410.8978726748087</v>
      </c>
    </row>
    <row r="55" spans="1:18" ht="15" thickBot="1">
      <c r="A55" s="821" t="s">
        <v>872</v>
      </c>
      <c r="B55" s="831"/>
      <c r="C55" s="696">
        <f ca="1">C25*'EF ele_warmte'!B12</f>
        <v>49.73313629061105</v>
      </c>
      <c r="D55" s="696"/>
      <c r="E55" s="696">
        <f>E25*EF_CO2_aardgas</f>
        <v>268.49693192032771</v>
      </c>
      <c r="F55" s="696"/>
      <c r="G55" s="696"/>
      <c r="H55" s="696"/>
      <c r="I55" s="696"/>
      <c r="J55" s="696"/>
      <c r="K55" s="696"/>
      <c r="L55" s="696"/>
      <c r="M55" s="696"/>
      <c r="N55" s="696"/>
      <c r="O55" s="696"/>
      <c r="P55" s="696"/>
      <c r="Q55" s="697"/>
      <c r="R55" s="724">
        <f ca="1">SUM(C55:Q55)</f>
        <v>318.23006821093878</v>
      </c>
    </row>
    <row r="56" spans="1:18" ht="15.75" thickBot="1">
      <c r="A56" s="819" t="s">
        <v>873</v>
      </c>
      <c r="B56" s="832"/>
      <c r="C56" s="725">
        <f ca="1">SUM(C54:C55)</f>
        <v>208.84297882877863</v>
      </c>
      <c r="D56" s="725">
        <f t="shared" ref="D56:Q56" ca="1" si="7">SUM(D54:D55)</f>
        <v>0</v>
      </c>
      <c r="E56" s="725">
        <f t="shared" si="7"/>
        <v>290.52781626342932</v>
      </c>
      <c r="F56" s="725">
        <f t="shared" si="7"/>
        <v>6.5262517580281703</v>
      </c>
      <c r="G56" s="725">
        <f t="shared" si="7"/>
        <v>2101.7686524969286</v>
      </c>
      <c r="H56" s="725">
        <f t="shared" si="7"/>
        <v>0</v>
      </c>
      <c r="I56" s="725">
        <f t="shared" si="7"/>
        <v>0</v>
      </c>
      <c r="J56" s="725">
        <f t="shared" si="7"/>
        <v>0</v>
      </c>
      <c r="K56" s="725">
        <f t="shared" si="7"/>
        <v>121.4622415385831</v>
      </c>
      <c r="L56" s="725">
        <f t="shared" si="7"/>
        <v>0</v>
      </c>
      <c r="M56" s="725">
        <f t="shared" si="7"/>
        <v>0</v>
      </c>
      <c r="N56" s="725">
        <f t="shared" si="7"/>
        <v>0</v>
      </c>
      <c r="O56" s="725">
        <f t="shared" si="7"/>
        <v>0</v>
      </c>
      <c r="P56" s="725">
        <f t="shared" si="7"/>
        <v>0</v>
      </c>
      <c r="Q56" s="726">
        <f t="shared" si="7"/>
        <v>0</v>
      </c>
      <c r="R56" s="727">
        <f ca="1">SUM(R54:R55)</f>
        <v>2729.1279408857476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1981.8579209683562</v>
      </c>
      <c r="D61" s="733">
        <f t="shared" ref="D61:Q61" ca="1" si="8">D46+D52+D56</f>
        <v>0</v>
      </c>
      <c r="E61" s="733">
        <f t="shared" ca="1" si="8"/>
        <v>6651.1547855001118</v>
      </c>
      <c r="F61" s="733">
        <f t="shared" si="8"/>
        <v>777.49141351446372</v>
      </c>
      <c r="G61" s="733">
        <f t="shared" ca="1" si="8"/>
        <v>9623.5527291959988</v>
      </c>
      <c r="H61" s="733">
        <f t="shared" si="8"/>
        <v>7304.8822700231985</v>
      </c>
      <c r="I61" s="733">
        <f t="shared" si="8"/>
        <v>1610.0871409025001</v>
      </c>
      <c r="J61" s="733">
        <f t="shared" si="8"/>
        <v>0</v>
      </c>
      <c r="K61" s="733">
        <f t="shared" si="8"/>
        <v>1066.6441123150171</v>
      </c>
      <c r="L61" s="733">
        <f t="shared" si="8"/>
        <v>0</v>
      </c>
      <c r="M61" s="733">
        <f t="shared" ca="1" si="8"/>
        <v>0</v>
      </c>
      <c r="N61" s="733">
        <f t="shared" si="8"/>
        <v>0</v>
      </c>
      <c r="O61" s="733">
        <f t="shared" ca="1" si="8"/>
        <v>0</v>
      </c>
      <c r="P61" s="733">
        <f t="shared" si="8"/>
        <v>0</v>
      </c>
      <c r="Q61" s="733">
        <f t="shared" si="8"/>
        <v>0</v>
      </c>
      <c r="R61" s="733">
        <f ca="1">R46+R52+R56</f>
        <v>29015.670372419645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6.9738728731617003E-2</v>
      </c>
      <c r="D63" s="776">
        <f t="shared" ca="1" si="9"/>
        <v>0</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1865.9929999999999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17584.650000000001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20687.823529411766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19450.643</v>
      </c>
      <c r="C78" s="748">
        <f>SUM(C72:C77)</f>
        <v>0</v>
      </c>
      <c r="D78" s="749">
        <f t="shared" ref="D78:H78" si="10">SUM(D76:D77)</f>
        <v>0</v>
      </c>
      <c r="E78" s="749">
        <f t="shared" si="10"/>
        <v>0</v>
      </c>
      <c r="F78" s="749">
        <f t="shared" si="10"/>
        <v>0</v>
      </c>
      <c r="G78" s="749">
        <f t="shared" si="10"/>
        <v>0</v>
      </c>
      <c r="H78" s="749">
        <f t="shared" si="10"/>
        <v>0</v>
      </c>
      <c r="I78" s="749">
        <f>SUM(I76:I77)</f>
        <v>0</v>
      </c>
      <c r="J78" s="749">
        <f>SUM(J76:J77)</f>
        <v>20687.823529411766</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25120.928571428569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29554.033613445372</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25120.928571428569</v>
      </c>
      <c r="C90" s="748">
        <f>SUM(C87:C89)</f>
        <v>0</v>
      </c>
      <c r="D90" s="748">
        <f t="shared" ref="D90:H90" si="12">SUM(D87:D89)</f>
        <v>0</v>
      </c>
      <c r="E90" s="748">
        <f t="shared" si="12"/>
        <v>0</v>
      </c>
      <c r="F90" s="748">
        <f t="shared" si="12"/>
        <v>0</v>
      </c>
      <c r="G90" s="748">
        <f t="shared" si="12"/>
        <v>0</v>
      </c>
      <c r="H90" s="748">
        <f t="shared" si="12"/>
        <v>0</v>
      </c>
      <c r="I90" s="748">
        <f>SUM(I87:I89)</f>
        <v>0</v>
      </c>
      <c r="J90" s="748">
        <f>SUM(J87:J89)</f>
        <v>29554.033613445372</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1865.9929999999999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17584.650000000001</v>
      </c>
      <c r="C8" s="560">
        <f>B101</f>
        <v>0</v>
      </c>
      <c r="D8" s="1028"/>
      <c r="E8" s="1028">
        <f>E101</f>
        <v>0</v>
      </c>
      <c r="F8" s="1029"/>
      <c r="G8" s="561"/>
      <c r="H8" s="1028">
        <f>I101</f>
        <v>0</v>
      </c>
      <c r="I8" s="1028">
        <f>G101+F101</f>
        <v>0</v>
      </c>
      <c r="J8" s="1028">
        <f>H101+D101+C101</f>
        <v>20687.823529411766</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19450.643</v>
      </c>
      <c r="C10" s="573">
        <f t="shared" ref="C10:L10" si="0">SUM(C8:C9)</f>
        <v>0</v>
      </c>
      <c r="D10" s="573">
        <f t="shared" si="0"/>
        <v>0</v>
      </c>
      <c r="E10" s="573">
        <f t="shared" si="0"/>
        <v>0</v>
      </c>
      <c r="F10" s="573">
        <f t="shared" si="0"/>
        <v>0</v>
      </c>
      <c r="G10" s="573">
        <f t="shared" si="0"/>
        <v>0</v>
      </c>
      <c r="H10" s="573">
        <f t="shared" si="0"/>
        <v>0</v>
      </c>
      <c r="I10" s="573">
        <f t="shared" si="0"/>
        <v>0</v>
      </c>
      <c r="J10" s="573">
        <f t="shared" si="0"/>
        <v>20687.823529411766</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25120.928571428569</v>
      </c>
      <c r="C17" s="585">
        <f>B102</f>
        <v>0</v>
      </c>
      <c r="D17" s="586"/>
      <c r="E17" s="586">
        <f>E102</f>
        <v>0</v>
      </c>
      <c r="F17" s="1034"/>
      <c r="G17" s="587"/>
      <c r="H17" s="585">
        <f>I102</f>
        <v>0</v>
      </c>
      <c r="I17" s="586">
        <f>G102+F102</f>
        <v>0</v>
      </c>
      <c r="J17" s="586">
        <f>H102+D102+C102</f>
        <v>29554.033613445372</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25120.928571428569</v>
      </c>
      <c r="C20" s="572">
        <f>SUM(C17:C19)</f>
        <v>0</v>
      </c>
      <c r="D20" s="572">
        <f t="shared" ref="D20:L20" si="1">SUM(D17:D19)</f>
        <v>0</v>
      </c>
      <c r="E20" s="572">
        <f t="shared" si="1"/>
        <v>0</v>
      </c>
      <c r="F20" s="572">
        <f t="shared" si="1"/>
        <v>0</v>
      </c>
      <c r="G20" s="572">
        <f t="shared" si="1"/>
        <v>0</v>
      </c>
      <c r="H20" s="572">
        <f t="shared" si="1"/>
        <v>0</v>
      </c>
      <c r="I20" s="572">
        <f t="shared" si="1"/>
        <v>0</v>
      </c>
      <c r="J20" s="572">
        <f t="shared" si="1"/>
        <v>29554.033613445372</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44080</v>
      </c>
      <c r="C28" s="791">
        <v>9930</v>
      </c>
      <c r="D28" s="644" t="s">
        <v>913</v>
      </c>
      <c r="E28" s="643" t="s">
        <v>914</v>
      </c>
      <c r="F28" s="643" t="s">
        <v>915</v>
      </c>
      <c r="G28" s="643" t="s">
        <v>916</v>
      </c>
      <c r="H28" s="643" t="s">
        <v>917</v>
      </c>
      <c r="I28" s="643" t="s">
        <v>914</v>
      </c>
      <c r="J28" s="790">
        <v>39702</v>
      </c>
      <c r="K28" s="790">
        <v>39417</v>
      </c>
      <c r="L28" s="643" t="s">
        <v>918</v>
      </c>
      <c r="M28" s="643">
        <v>1038</v>
      </c>
      <c r="N28" s="643">
        <v>4671</v>
      </c>
      <c r="O28" s="643">
        <v>6672.8571428571431</v>
      </c>
      <c r="P28" s="643">
        <v>0</v>
      </c>
      <c r="Q28" s="643">
        <v>13345.714285714286</v>
      </c>
      <c r="R28" s="643">
        <v>0</v>
      </c>
      <c r="S28" s="643">
        <v>0</v>
      </c>
      <c r="T28" s="643">
        <v>0</v>
      </c>
      <c r="U28" s="643">
        <v>0</v>
      </c>
      <c r="V28" s="643">
        <v>0</v>
      </c>
      <c r="W28" s="643">
        <v>0</v>
      </c>
      <c r="X28" s="643">
        <v>10</v>
      </c>
      <c r="Y28" s="643" t="s">
        <v>112</v>
      </c>
      <c r="Z28" s="645" t="s">
        <v>112</v>
      </c>
    </row>
    <row r="29" spans="1:26" s="597" customFormat="1" ht="25.5">
      <c r="A29" s="596"/>
      <c r="B29" s="791">
        <v>44080</v>
      </c>
      <c r="C29" s="791">
        <v>9930</v>
      </c>
      <c r="D29" s="644" t="s">
        <v>919</v>
      </c>
      <c r="E29" s="643" t="s">
        <v>920</v>
      </c>
      <c r="F29" s="643" t="s">
        <v>921</v>
      </c>
      <c r="G29" s="643" t="s">
        <v>916</v>
      </c>
      <c r="H29" s="643" t="s">
        <v>917</v>
      </c>
      <c r="I29" s="643" t="s">
        <v>920</v>
      </c>
      <c r="J29" s="790">
        <v>40744</v>
      </c>
      <c r="K29" s="790">
        <v>40192</v>
      </c>
      <c r="L29" s="643" t="s">
        <v>918</v>
      </c>
      <c r="M29" s="643">
        <v>2860</v>
      </c>
      <c r="N29" s="643">
        <v>12870</v>
      </c>
      <c r="O29" s="643">
        <v>18385.714285714286</v>
      </c>
      <c r="P29" s="643">
        <v>0</v>
      </c>
      <c r="Q29" s="643">
        <v>36771.428571428572</v>
      </c>
      <c r="R29" s="643">
        <v>0</v>
      </c>
      <c r="S29" s="643">
        <v>0</v>
      </c>
      <c r="T29" s="643">
        <v>0</v>
      </c>
      <c r="U29" s="643">
        <v>0</v>
      </c>
      <c r="V29" s="643">
        <v>0</v>
      </c>
      <c r="W29" s="643">
        <v>0</v>
      </c>
      <c r="X29" s="643">
        <v>10</v>
      </c>
      <c r="Y29" s="643" t="s">
        <v>112</v>
      </c>
      <c r="Z29" s="645" t="s">
        <v>112</v>
      </c>
    </row>
    <row r="30" spans="1:26" s="597" customFormat="1" ht="25.5">
      <c r="A30" s="596"/>
      <c r="B30" s="791">
        <v>44080</v>
      </c>
      <c r="C30" s="791">
        <v>9931</v>
      </c>
      <c r="D30" s="644" t="s">
        <v>922</v>
      </c>
      <c r="E30" s="643" t="s">
        <v>923</v>
      </c>
      <c r="F30" s="643" t="s">
        <v>924</v>
      </c>
      <c r="G30" s="643" t="s">
        <v>916</v>
      </c>
      <c r="H30" s="643" t="s">
        <v>917</v>
      </c>
      <c r="I30" s="643" t="s">
        <v>923</v>
      </c>
      <c r="J30" s="790">
        <v>41124</v>
      </c>
      <c r="K30" s="790">
        <v>41244</v>
      </c>
      <c r="L30" s="643" t="s">
        <v>918</v>
      </c>
      <c r="M30" s="643">
        <v>9.6999999999999993</v>
      </c>
      <c r="N30" s="643">
        <v>43.649999999999991</v>
      </c>
      <c r="O30" s="643">
        <v>62.357142857142847</v>
      </c>
      <c r="P30" s="643">
        <v>0</v>
      </c>
      <c r="Q30" s="643">
        <v>124.71428571428569</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3907.7</v>
      </c>
      <c r="N58" s="601">
        <f>SUM(N28:N57)</f>
        <v>17584.650000000001</v>
      </c>
      <c r="O58" s="601">
        <f t="shared" ref="O58:W58" si="2">SUM(O28:O57)</f>
        <v>25120.928571428569</v>
      </c>
      <c r="P58" s="601">
        <f t="shared" si="2"/>
        <v>0</v>
      </c>
      <c r="Q58" s="601">
        <f t="shared" si="2"/>
        <v>50241.857142857138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3907.7</v>
      </c>
      <c r="N61" s="606">
        <f t="shared" si="4"/>
        <v>17584.650000000001</v>
      </c>
      <c r="O61" s="606">
        <f t="shared" si="4"/>
        <v>25120.928571428569</v>
      </c>
      <c r="P61" s="606">
        <f t="shared" si="4"/>
        <v>0</v>
      </c>
      <c r="Q61" s="606">
        <f t="shared" si="4"/>
        <v>50241.857142857138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20687.823529411766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29554.033613445372</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16311.2170267359</v>
      </c>
      <c r="C4" s="462">
        <f>huishoudens!C8</f>
        <v>0</v>
      </c>
      <c r="D4" s="462">
        <f>huishoudens!D8</f>
        <v>22376.310845921987</v>
      </c>
      <c r="E4" s="462">
        <f>huishoudens!E8</f>
        <v>2916.2878595498546</v>
      </c>
      <c r="F4" s="462">
        <f>huishoudens!F8</f>
        <v>25853.305408832566</v>
      </c>
      <c r="G4" s="462">
        <f>huishoudens!G8</f>
        <v>0</v>
      </c>
      <c r="H4" s="462">
        <f>huishoudens!H8</f>
        <v>0</v>
      </c>
      <c r="I4" s="462">
        <f>huishoudens!I8</f>
        <v>0</v>
      </c>
      <c r="J4" s="462">
        <f>huishoudens!J8</f>
        <v>2668.8096904135691</v>
      </c>
      <c r="K4" s="462">
        <f>huishoudens!K8</f>
        <v>0</v>
      </c>
      <c r="L4" s="462">
        <f>huishoudens!L8</f>
        <v>0</v>
      </c>
      <c r="M4" s="462">
        <f>huishoudens!M8</f>
        <v>0</v>
      </c>
      <c r="N4" s="462">
        <f>huishoudens!N8</f>
        <v>11408.297096787121</v>
      </c>
      <c r="O4" s="462">
        <f>huishoudens!O8</f>
        <v>154.77000000000001</v>
      </c>
      <c r="P4" s="463">
        <f>huishoudens!P8</f>
        <v>343.2</v>
      </c>
      <c r="Q4" s="464">
        <f>SUM(B4:P4)</f>
        <v>82032.197928241003</v>
      </c>
    </row>
    <row r="5" spans="1:17">
      <c r="A5" s="461" t="s">
        <v>156</v>
      </c>
      <c r="B5" s="462">
        <f ca="1">tertiair!B16</f>
        <v>6878.4456104585097</v>
      </c>
      <c r="C5" s="462">
        <f ca="1">tertiair!C16</f>
        <v>0</v>
      </c>
      <c r="D5" s="462">
        <f ca="1">tertiair!D16</f>
        <v>7753.357373142976</v>
      </c>
      <c r="E5" s="462">
        <f>tertiair!E16</f>
        <v>91.05261595495125</v>
      </c>
      <c r="F5" s="462">
        <f ca="1">tertiair!F16</f>
        <v>1385.2957454143429</v>
      </c>
      <c r="G5" s="462">
        <f>tertiair!G16</f>
        <v>0</v>
      </c>
      <c r="H5" s="462">
        <f>tertiair!H16</f>
        <v>0</v>
      </c>
      <c r="I5" s="462">
        <f>tertiair!I16</f>
        <v>0</v>
      </c>
      <c r="J5" s="462">
        <f>tertiair!J16</f>
        <v>0</v>
      </c>
      <c r="K5" s="462">
        <f>tertiair!K16</f>
        <v>0</v>
      </c>
      <c r="L5" s="462">
        <f ca="1">tertiair!L16</f>
        <v>0</v>
      </c>
      <c r="M5" s="462">
        <f>tertiair!M16</f>
        <v>0</v>
      </c>
      <c r="N5" s="462">
        <f ca="1">tertiair!N16</f>
        <v>782.11930209302409</v>
      </c>
      <c r="O5" s="462">
        <f>tertiair!O16</f>
        <v>4.6900000000000004</v>
      </c>
      <c r="P5" s="463">
        <f>tertiair!P16</f>
        <v>19.066666666666666</v>
      </c>
      <c r="Q5" s="461">
        <f t="shared" ref="Q5:Q14" ca="1" si="0">SUM(B5:P5)</f>
        <v>16914.027313730472</v>
      </c>
    </row>
    <row r="6" spans="1:17">
      <c r="A6" s="461" t="s">
        <v>194</v>
      </c>
      <c r="B6" s="462">
        <f>'openbare verlichting'!B8</f>
        <v>668.44500000000005</v>
      </c>
      <c r="C6" s="462"/>
      <c r="D6" s="462"/>
      <c r="E6" s="462"/>
      <c r="F6" s="462"/>
      <c r="G6" s="462"/>
      <c r="H6" s="462"/>
      <c r="I6" s="462"/>
      <c r="J6" s="462"/>
      <c r="K6" s="462"/>
      <c r="L6" s="462"/>
      <c r="M6" s="462"/>
      <c r="N6" s="462"/>
      <c r="O6" s="462"/>
      <c r="P6" s="463"/>
      <c r="Q6" s="461">
        <f t="shared" si="0"/>
        <v>668.44500000000005</v>
      </c>
    </row>
    <row r="7" spans="1:17">
      <c r="A7" s="461" t="s">
        <v>112</v>
      </c>
      <c r="B7" s="462">
        <f>landbouw!B8</f>
        <v>2281.513377602379</v>
      </c>
      <c r="C7" s="462">
        <f>landbouw!C8</f>
        <v>25120.928571428569</v>
      </c>
      <c r="D7" s="462">
        <f>landbouw!D8</f>
        <v>109.06378387674069</v>
      </c>
      <c r="E7" s="462">
        <f>landbouw!E8</f>
        <v>28.750007744617488</v>
      </c>
      <c r="F7" s="462">
        <f>landbouw!F8</f>
        <v>7871.7927059810054</v>
      </c>
      <c r="G7" s="462">
        <f>landbouw!G8</f>
        <v>0</v>
      </c>
      <c r="H7" s="462">
        <f>landbouw!H8</f>
        <v>0</v>
      </c>
      <c r="I7" s="462">
        <f>landbouw!I8</f>
        <v>0</v>
      </c>
      <c r="J7" s="462">
        <f>landbouw!J8</f>
        <v>343.11367666266415</v>
      </c>
      <c r="K7" s="462">
        <f>landbouw!K8</f>
        <v>0</v>
      </c>
      <c r="L7" s="462">
        <f>landbouw!L8</f>
        <v>0</v>
      </c>
      <c r="M7" s="462">
        <f>landbouw!M8</f>
        <v>0</v>
      </c>
      <c r="N7" s="462">
        <f>landbouw!N8</f>
        <v>0</v>
      </c>
      <c r="O7" s="462">
        <f>landbouw!O8</f>
        <v>0</v>
      </c>
      <c r="P7" s="463">
        <f>landbouw!P8</f>
        <v>0</v>
      </c>
      <c r="Q7" s="461">
        <f t="shared" si="0"/>
        <v>35755.162123295973</v>
      </c>
    </row>
    <row r="8" spans="1:17">
      <c r="A8" s="461" t="s">
        <v>657</v>
      </c>
      <c r="B8" s="462">
        <f>industrie!B18</f>
        <v>1563.540002129607</v>
      </c>
      <c r="C8" s="462">
        <f>industrie!C18</f>
        <v>0</v>
      </c>
      <c r="D8" s="462">
        <f>industrie!D18</f>
        <v>1354.1883190817236</v>
      </c>
      <c r="E8" s="462">
        <f>industrie!E18</f>
        <v>259.52109513694683</v>
      </c>
      <c r="F8" s="462">
        <f>industrie!F18</f>
        <v>932.87478844623024</v>
      </c>
      <c r="G8" s="462">
        <f>industrie!G18</f>
        <v>0</v>
      </c>
      <c r="H8" s="462">
        <f>industrie!H18</f>
        <v>0</v>
      </c>
      <c r="I8" s="462">
        <f>industrie!I18</f>
        <v>0</v>
      </c>
      <c r="J8" s="462">
        <f>industrie!J18</f>
        <v>1.1955942656228842</v>
      </c>
      <c r="K8" s="462">
        <f>industrie!K18</f>
        <v>0</v>
      </c>
      <c r="L8" s="462">
        <f>industrie!L18</f>
        <v>0</v>
      </c>
      <c r="M8" s="462">
        <f>industrie!M18</f>
        <v>0</v>
      </c>
      <c r="N8" s="462">
        <f>industrie!N18</f>
        <v>406.21386224341416</v>
      </c>
      <c r="O8" s="462">
        <f>industrie!O18</f>
        <v>0</v>
      </c>
      <c r="P8" s="463">
        <f>industrie!P18</f>
        <v>0</v>
      </c>
      <c r="Q8" s="461">
        <f t="shared" si="0"/>
        <v>4517.5336613035452</v>
      </c>
    </row>
    <row r="9" spans="1:17" s="467" customFormat="1">
      <c r="A9" s="465" t="s">
        <v>574</v>
      </c>
      <c r="B9" s="466">
        <f>transport!B14</f>
        <v>2.0297690047221844</v>
      </c>
      <c r="C9" s="466">
        <f>transport!C14</f>
        <v>0</v>
      </c>
      <c r="D9" s="466">
        <f>transport!D14</f>
        <v>4.3957848071828769</v>
      </c>
      <c r="E9" s="466">
        <f>transport!E14</f>
        <v>129.46072784474757</v>
      </c>
      <c r="F9" s="466">
        <f>transport!F14</f>
        <v>0</v>
      </c>
      <c r="G9" s="466">
        <f>transport!G14</f>
        <v>26749.530426881272</v>
      </c>
      <c r="H9" s="466">
        <f>transport!H14</f>
        <v>6466.2134172791166</v>
      </c>
      <c r="I9" s="466">
        <f>transport!I14</f>
        <v>0</v>
      </c>
      <c r="J9" s="466">
        <f>transport!J14</f>
        <v>0</v>
      </c>
      <c r="K9" s="466">
        <f>transport!K14</f>
        <v>0</v>
      </c>
      <c r="L9" s="466">
        <f>transport!L14</f>
        <v>0</v>
      </c>
      <c r="M9" s="466">
        <f>transport!M14</f>
        <v>1502.4391990596271</v>
      </c>
      <c r="N9" s="466">
        <f>transport!N14</f>
        <v>0</v>
      </c>
      <c r="O9" s="466">
        <f>transport!O14</f>
        <v>0</v>
      </c>
      <c r="P9" s="466">
        <f>transport!P14</f>
        <v>0</v>
      </c>
      <c r="Q9" s="465">
        <f>SUM(B9:P9)</f>
        <v>34854.069324876669</v>
      </c>
    </row>
    <row r="10" spans="1:17">
      <c r="A10" s="461" t="s">
        <v>564</v>
      </c>
      <c r="B10" s="462">
        <f>transport!B54</f>
        <v>0</v>
      </c>
      <c r="C10" s="462">
        <f>transport!C54</f>
        <v>0</v>
      </c>
      <c r="D10" s="462">
        <f>transport!D54</f>
        <v>0</v>
      </c>
      <c r="E10" s="462">
        <f>transport!E54</f>
        <v>0</v>
      </c>
      <c r="F10" s="462">
        <f>transport!F54</f>
        <v>0</v>
      </c>
      <c r="G10" s="462">
        <f>transport!G54</f>
        <v>609.57919867377666</v>
      </c>
      <c r="H10" s="462">
        <f>transport!H54</f>
        <v>0</v>
      </c>
      <c r="I10" s="462">
        <f>transport!I54</f>
        <v>0</v>
      </c>
      <c r="J10" s="462">
        <f>transport!J54</f>
        <v>0</v>
      </c>
      <c r="K10" s="462">
        <f>transport!K54</f>
        <v>0</v>
      </c>
      <c r="L10" s="462">
        <f>transport!L54</f>
        <v>0</v>
      </c>
      <c r="M10" s="462">
        <f>transport!M54</f>
        <v>27.109477944768805</v>
      </c>
      <c r="N10" s="462">
        <f>transport!N54</f>
        <v>0</v>
      </c>
      <c r="O10" s="462">
        <f>transport!O54</f>
        <v>0</v>
      </c>
      <c r="P10" s="463">
        <f>transport!P54</f>
        <v>0</v>
      </c>
      <c r="Q10" s="461">
        <f t="shared" si="0"/>
        <v>636.68867661854551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713.13511437818704</v>
      </c>
      <c r="C14" s="469"/>
      <c r="D14" s="469">
        <f>'SEAP template'!E25</f>
        <v>1329.1927322788499</v>
      </c>
      <c r="E14" s="469"/>
      <c r="F14" s="469"/>
      <c r="G14" s="469"/>
      <c r="H14" s="469"/>
      <c r="I14" s="469"/>
      <c r="J14" s="469"/>
      <c r="K14" s="469"/>
      <c r="L14" s="469"/>
      <c r="M14" s="469"/>
      <c r="N14" s="469"/>
      <c r="O14" s="469"/>
      <c r="P14" s="470"/>
      <c r="Q14" s="461">
        <f t="shared" si="0"/>
        <v>2042.3278466570368</v>
      </c>
    </row>
    <row r="15" spans="1:17" s="474" customFormat="1">
      <c r="A15" s="471" t="s">
        <v>568</v>
      </c>
      <c r="B15" s="472">
        <f ca="1">SUM(B4:B14)</f>
        <v>28418.325900309304</v>
      </c>
      <c r="C15" s="472">
        <f t="shared" ref="C15:Q15" ca="1" si="1">SUM(C4:C14)</f>
        <v>25120.928571428569</v>
      </c>
      <c r="D15" s="472">
        <f t="shared" ca="1" si="1"/>
        <v>32926.508839109461</v>
      </c>
      <c r="E15" s="472">
        <f t="shared" si="1"/>
        <v>3425.0723062311176</v>
      </c>
      <c r="F15" s="472">
        <f t="shared" ca="1" si="1"/>
        <v>36043.268648674144</v>
      </c>
      <c r="G15" s="472">
        <f t="shared" si="1"/>
        <v>27359.109625555047</v>
      </c>
      <c r="H15" s="472">
        <f t="shared" si="1"/>
        <v>6466.2134172791166</v>
      </c>
      <c r="I15" s="472">
        <f t="shared" si="1"/>
        <v>0</v>
      </c>
      <c r="J15" s="472">
        <f t="shared" si="1"/>
        <v>3013.118961341856</v>
      </c>
      <c r="K15" s="472">
        <f t="shared" si="1"/>
        <v>0</v>
      </c>
      <c r="L15" s="472">
        <f t="shared" ca="1" si="1"/>
        <v>0</v>
      </c>
      <c r="M15" s="472">
        <f t="shared" si="1"/>
        <v>1529.5486770043958</v>
      </c>
      <c r="N15" s="472">
        <f t="shared" ca="1" si="1"/>
        <v>12596.630261123559</v>
      </c>
      <c r="O15" s="472">
        <f t="shared" si="1"/>
        <v>159.46</v>
      </c>
      <c r="P15" s="472">
        <f t="shared" si="1"/>
        <v>362.26666666666665</v>
      </c>
      <c r="Q15" s="472">
        <f t="shared" ca="1" si="1"/>
        <v>177420.45187472325</v>
      </c>
    </row>
    <row r="17" spans="1:17">
      <c r="A17" s="475" t="s">
        <v>569</v>
      </c>
      <c r="B17" s="781">
        <f ca="1">huishoudens!B10</f>
        <v>6.9738728731617003E-2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1137.5235395100674</v>
      </c>
      <c r="C22" s="462">
        <f t="shared" ref="C22:C32" ca="1" si="3">C4*$C$17</f>
        <v>0</v>
      </c>
      <c r="D22" s="462">
        <f t="shared" ref="D22:D32" si="4">D4*$D$17</f>
        <v>4520.0147908762419</v>
      </c>
      <c r="E22" s="462">
        <f t="shared" ref="E22:E32" si="5">E4*$E$17</f>
        <v>661.99734411781697</v>
      </c>
      <c r="F22" s="462">
        <f t="shared" ref="F22:F32" si="6">F4*$F$17</f>
        <v>6902.8325441582956</v>
      </c>
      <c r="G22" s="462">
        <f t="shared" ref="G22:G32" si="7">G4*$G$17</f>
        <v>0</v>
      </c>
      <c r="H22" s="462">
        <f t="shared" ref="H22:H32" si="8">H4*$H$17</f>
        <v>0</v>
      </c>
      <c r="I22" s="462">
        <f t="shared" ref="I22:I32" si="9">I4*$I$17</f>
        <v>0</v>
      </c>
      <c r="J22" s="462">
        <f t="shared" ref="J22:J32" si="10">J4*$J$17</f>
        <v>944.75863040640343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14167.126849068824</v>
      </c>
    </row>
    <row r="23" spans="1:17">
      <c r="A23" s="461" t="s">
        <v>156</v>
      </c>
      <c r="B23" s="462">
        <f t="shared" ca="1" si="2"/>
        <v>479.69405252294774</v>
      </c>
      <c r="C23" s="462">
        <f t="shared" ca="1" si="3"/>
        <v>0</v>
      </c>
      <c r="D23" s="462">
        <f t="shared" ca="1" si="4"/>
        <v>1566.1781893748812</v>
      </c>
      <c r="E23" s="462">
        <f t="shared" si="5"/>
        <v>20.668943821773933</v>
      </c>
      <c r="F23" s="462">
        <f t="shared" ca="1" si="6"/>
        <v>369.87396402562956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2436.4151497452322</v>
      </c>
    </row>
    <row r="24" spans="1:17">
      <c r="A24" s="461" t="s">
        <v>194</v>
      </c>
      <c r="B24" s="462">
        <f t="shared" ca="1" si="2"/>
        <v>46.616504527005731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46.616504527005731</v>
      </c>
    </row>
    <row r="25" spans="1:17">
      <c r="A25" s="461" t="s">
        <v>112</v>
      </c>
      <c r="B25" s="462">
        <f t="shared" ca="1" si="2"/>
        <v>159.10984253816758</v>
      </c>
      <c r="C25" s="462">
        <f t="shared" ca="1" si="3"/>
        <v>0</v>
      </c>
      <c r="D25" s="462">
        <f t="shared" si="4"/>
        <v>22.030884343101619</v>
      </c>
      <c r="E25" s="462">
        <f t="shared" si="5"/>
        <v>6.5262517580281703</v>
      </c>
      <c r="F25" s="462">
        <f t="shared" si="6"/>
        <v>2101.7686524969286</v>
      </c>
      <c r="G25" s="462">
        <f t="shared" si="7"/>
        <v>0</v>
      </c>
      <c r="H25" s="462">
        <f t="shared" si="8"/>
        <v>0</v>
      </c>
      <c r="I25" s="462">
        <f t="shared" si="9"/>
        <v>0</v>
      </c>
      <c r="J25" s="462">
        <f t="shared" si="10"/>
        <v>121.4622415385831</v>
      </c>
      <c r="K25" s="462">
        <f t="shared" si="11"/>
        <v>0</v>
      </c>
      <c r="L25" s="462">
        <f t="shared" si="12"/>
        <v>0</v>
      </c>
      <c r="M25" s="462">
        <f t="shared" si="13"/>
        <v>0</v>
      </c>
      <c r="N25" s="462">
        <f t="shared" si="14"/>
        <v>0</v>
      </c>
      <c r="O25" s="462">
        <f t="shared" si="15"/>
        <v>0</v>
      </c>
      <c r="P25" s="463">
        <f t="shared" si="16"/>
        <v>0</v>
      </c>
      <c r="Q25" s="461">
        <f t="shared" ca="1" si="17"/>
        <v>2410.8978726748087</v>
      </c>
    </row>
    <row r="26" spans="1:17">
      <c r="A26" s="461" t="s">
        <v>657</v>
      </c>
      <c r="B26" s="462">
        <f t="shared" ca="1" si="2"/>
        <v>109.03929206954854</v>
      </c>
      <c r="C26" s="462">
        <f t="shared" ca="1" si="3"/>
        <v>0</v>
      </c>
      <c r="D26" s="462">
        <f t="shared" si="4"/>
        <v>273.54604045450822</v>
      </c>
      <c r="E26" s="462">
        <f t="shared" si="5"/>
        <v>58.911288596086933</v>
      </c>
      <c r="F26" s="462">
        <f t="shared" si="6"/>
        <v>249.0775685151435</v>
      </c>
      <c r="G26" s="462">
        <f t="shared" si="7"/>
        <v>0</v>
      </c>
      <c r="H26" s="462">
        <f t="shared" si="8"/>
        <v>0</v>
      </c>
      <c r="I26" s="462">
        <f t="shared" si="9"/>
        <v>0</v>
      </c>
      <c r="J26" s="462">
        <f t="shared" si="10"/>
        <v>0.42324037003050097</v>
      </c>
      <c r="K26" s="462">
        <f t="shared" si="11"/>
        <v>0</v>
      </c>
      <c r="L26" s="462">
        <f t="shared" si="12"/>
        <v>0</v>
      </c>
      <c r="M26" s="462">
        <f t="shared" si="13"/>
        <v>0</v>
      </c>
      <c r="N26" s="462">
        <f t="shared" si="14"/>
        <v>0</v>
      </c>
      <c r="O26" s="462">
        <f t="shared" si="15"/>
        <v>0</v>
      </c>
      <c r="P26" s="463">
        <f t="shared" si="16"/>
        <v>0</v>
      </c>
      <c r="Q26" s="461">
        <f t="shared" ca="1" si="17"/>
        <v>690.99743000531771</v>
      </c>
    </row>
    <row r="27" spans="1:17" s="467" customFormat="1">
      <c r="A27" s="465" t="s">
        <v>574</v>
      </c>
      <c r="B27" s="775">
        <f t="shared" ca="1" si="2"/>
        <v>0.14155351000816466</v>
      </c>
      <c r="C27" s="466">
        <f t="shared" ca="1" si="3"/>
        <v>0</v>
      </c>
      <c r="D27" s="466">
        <f t="shared" si="4"/>
        <v>0.88794853105094118</v>
      </c>
      <c r="E27" s="466">
        <f t="shared" si="5"/>
        <v>29.3875852207577</v>
      </c>
      <c r="F27" s="466">
        <f t="shared" si="6"/>
        <v>0</v>
      </c>
      <c r="G27" s="466">
        <f t="shared" si="7"/>
        <v>7142.1246239773</v>
      </c>
      <c r="H27" s="466">
        <f t="shared" si="8"/>
        <v>1610.0871409025001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8782.6288521416172</v>
      </c>
    </row>
    <row r="28" spans="1:17">
      <c r="A28" s="461" t="s">
        <v>564</v>
      </c>
      <c r="B28" s="462">
        <f t="shared" ca="1" si="2"/>
        <v>0</v>
      </c>
      <c r="C28" s="462">
        <f t="shared" ca="1" si="3"/>
        <v>0</v>
      </c>
      <c r="D28" s="462">
        <f t="shared" si="4"/>
        <v>0</v>
      </c>
      <c r="E28" s="462">
        <f t="shared" si="5"/>
        <v>0</v>
      </c>
      <c r="F28" s="462">
        <f t="shared" si="6"/>
        <v>0</v>
      </c>
      <c r="G28" s="462">
        <f t="shared" si="7"/>
        <v>162.75764604589838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162.75764604589838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49.73313629061105</v>
      </c>
      <c r="C32" s="462">
        <f t="shared" ca="1" si="3"/>
        <v>0</v>
      </c>
      <c r="D32" s="462">
        <f t="shared" si="4"/>
        <v>268.49693192032771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318.23006821093878</v>
      </c>
    </row>
    <row r="33" spans="1:17" s="474" customFormat="1">
      <c r="A33" s="471" t="s">
        <v>568</v>
      </c>
      <c r="B33" s="472">
        <f ca="1">SUM(B22:B32)</f>
        <v>1981.8579209683562</v>
      </c>
      <c r="C33" s="472">
        <f t="shared" ref="C33:Q33" ca="1" si="18">SUM(C22:C32)</f>
        <v>0</v>
      </c>
      <c r="D33" s="472">
        <f t="shared" ca="1" si="18"/>
        <v>6651.1547855001108</v>
      </c>
      <c r="E33" s="472">
        <f t="shared" si="18"/>
        <v>777.49141351446372</v>
      </c>
      <c r="F33" s="472">
        <f t="shared" ca="1" si="18"/>
        <v>9623.552729195997</v>
      </c>
      <c r="G33" s="472">
        <f t="shared" si="18"/>
        <v>7304.8822700231985</v>
      </c>
      <c r="H33" s="472">
        <f t="shared" si="18"/>
        <v>1610.0871409025001</v>
      </c>
      <c r="I33" s="472">
        <f t="shared" si="18"/>
        <v>0</v>
      </c>
      <c r="J33" s="472">
        <f t="shared" si="18"/>
        <v>1066.6441123150171</v>
      </c>
      <c r="K33" s="472">
        <f t="shared" si="18"/>
        <v>0</v>
      </c>
      <c r="L33" s="472">
        <f t="shared" ca="1" si="18"/>
        <v>0</v>
      </c>
      <c r="M33" s="472">
        <f t="shared" si="18"/>
        <v>0</v>
      </c>
      <c r="N33" s="472">
        <f t="shared" ca="1" si="18"/>
        <v>0</v>
      </c>
      <c r="O33" s="472">
        <f t="shared" si="18"/>
        <v>0</v>
      </c>
      <c r="P33" s="472">
        <f t="shared" si="18"/>
        <v>0</v>
      </c>
      <c r="Q33" s="472">
        <f t="shared" ca="1" si="18"/>
        <v>29015.670372419645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1865.9929999999999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17584.650000000001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20687.823529411766</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19450.643</v>
      </c>
      <c r="C10" s="1051">
        <f>SUM(C4:C9)</f>
        <v>0</v>
      </c>
      <c r="D10" s="1051">
        <f t="shared" ref="D10:H10" si="0">SUM(D8:D9)</f>
        <v>0</v>
      </c>
      <c r="E10" s="1051">
        <f t="shared" si="0"/>
        <v>0</v>
      </c>
      <c r="F10" s="1051">
        <f t="shared" si="0"/>
        <v>0</v>
      </c>
      <c r="G10" s="1051">
        <f t="shared" si="0"/>
        <v>0</v>
      </c>
      <c r="H10" s="1051">
        <f t="shared" si="0"/>
        <v>0</v>
      </c>
      <c r="I10" s="1051">
        <f>SUM(I8:I9)</f>
        <v>0</v>
      </c>
      <c r="J10" s="1051">
        <f>SUM(J8:J9)</f>
        <v>20687.823529411766</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6.9738728731617003E-2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25120.928571428569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29554.033613445372</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25120.928571428569</v>
      </c>
      <c r="C20" s="1051">
        <f>SUM(C17:C19)</f>
        <v>0</v>
      </c>
      <c r="D20" s="1051">
        <f t="shared" ref="D20:H20" si="2">SUM(D17:D19)</f>
        <v>0</v>
      </c>
      <c r="E20" s="1051">
        <f t="shared" si="2"/>
        <v>0</v>
      </c>
      <c r="F20" s="1051">
        <f t="shared" si="2"/>
        <v>0</v>
      </c>
      <c r="G20" s="1051">
        <f t="shared" si="2"/>
        <v>0</v>
      </c>
      <c r="H20" s="1051">
        <f t="shared" si="2"/>
        <v>0</v>
      </c>
      <c r="I20" s="1051">
        <f>SUM(I17:I19)</f>
        <v>0</v>
      </c>
      <c r="J20" s="1051">
        <f>SUM(J17:J19)</f>
        <v>29554.033613445372</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6.9738728731617003E-2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2019-08-12T08:04:17Z</dcterms:modified>
</cp:coreProperties>
</file>