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K20" s="1"/>
  <c r="J19"/>
  <c r="I19"/>
  <c r="H19"/>
  <c r="G19"/>
  <c r="F19"/>
  <c r="E19"/>
  <c r="D19"/>
  <c r="C19"/>
  <c r="B19"/>
  <c r="N18"/>
  <c r="M18"/>
  <c r="L18"/>
  <c r="K18"/>
  <c r="J18"/>
  <c r="I18"/>
  <c r="H18"/>
  <c r="G18"/>
  <c r="G20" s="1"/>
  <c r="F18"/>
  <c r="F20" s="1"/>
  <c r="E18"/>
  <c r="D18"/>
  <c r="D20" s="1"/>
  <c r="C18"/>
  <c r="B18"/>
  <c r="L9"/>
  <c r="K9"/>
  <c r="K10" s="1"/>
  <c r="H9"/>
  <c r="G9"/>
  <c r="F9"/>
  <c r="D9"/>
  <c r="C9"/>
  <c r="W92"/>
  <c r="V92"/>
  <c r="U92"/>
  <c r="T92"/>
  <c r="S92"/>
  <c r="R92"/>
  <c r="Q92"/>
  <c r="P92"/>
  <c r="O92"/>
  <c r="N92"/>
  <c r="M92"/>
  <c r="W91"/>
  <c r="V91"/>
  <c r="U91"/>
  <c r="T91"/>
  <c r="S91"/>
  <c r="R91"/>
  <c r="Q91"/>
  <c r="P91"/>
  <c r="O91"/>
  <c r="N91"/>
  <c r="M91"/>
  <c r="W90"/>
  <c r="V90"/>
  <c r="U90"/>
  <c r="T90"/>
  <c r="S90"/>
  <c r="R90"/>
  <c r="Q90"/>
  <c r="P90"/>
  <c r="O90"/>
  <c r="N90"/>
  <c r="M90"/>
  <c r="W89"/>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L20"/>
  <c r="O18"/>
  <c r="B17"/>
  <c r="G12"/>
  <c r="F12"/>
  <c r="E12"/>
  <c r="D12"/>
  <c r="C12"/>
  <c r="L10"/>
  <c r="G10"/>
  <c r="F10"/>
  <c r="D10"/>
  <c r="B8"/>
  <c r="B6"/>
  <c r="B5"/>
  <c r="B4"/>
  <c r="I102" l="1"/>
  <c r="H17" s="1"/>
  <c r="H20" s="1"/>
  <c r="B102"/>
  <c r="C17" s="1"/>
  <c r="C102"/>
  <c r="F102"/>
  <c r="G102"/>
  <c r="I101"/>
  <c r="H8" s="1"/>
  <c r="H10" s="1"/>
  <c r="G101"/>
  <c r="H101"/>
  <c r="B101"/>
  <c r="C8" s="1"/>
  <c r="C101"/>
  <c r="D101"/>
  <c r="F101"/>
  <c r="B10"/>
  <c r="O9"/>
  <c r="B20"/>
  <c r="O19"/>
  <c r="C20"/>
  <c r="C10"/>
  <c r="D102"/>
  <c r="H102"/>
  <c r="E101"/>
  <c r="E8" s="1"/>
  <c r="E10" s="1"/>
  <c r="E102"/>
  <c r="E17" s="1"/>
  <c r="E20" s="1"/>
  <c r="N6" i="17"/>
  <c r="I17" i="18" l="1"/>
  <c r="I20" s="1"/>
  <c r="I8"/>
  <c r="I10" s="1"/>
  <c r="J8"/>
  <c r="J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P17"/>
  <c r="P25" s="1"/>
  <c r="O17"/>
  <c r="O32" s="1"/>
  <c r="M4"/>
  <c r="L4"/>
  <c r="K4"/>
  <c r="I4"/>
  <c r="H4"/>
  <c r="G4"/>
  <c r="P11"/>
  <c r="P29" s="1"/>
  <c r="O11"/>
  <c r="N11"/>
  <c r="M11"/>
  <c r="L11"/>
  <c r="K11"/>
  <c r="J11"/>
  <c r="I11"/>
  <c r="H11"/>
  <c r="G11"/>
  <c r="F11"/>
  <c r="E11"/>
  <c r="D11"/>
  <c r="C11"/>
  <c r="B11"/>
  <c r="Q12"/>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L76" i="14"/>
  <c r="L8" i="59" s="1"/>
  <c r="K76" i="14"/>
  <c r="H76"/>
  <c r="H8" i="59" s="1"/>
  <c r="G76" i="14"/>
  <c r="G8" i="59" s="1"/>
  <c r="G10" s="1"/>
  <c r="E76" i="14"/>
  <c r="E8" i="59" s="1"/>
  <c r="B75" i="14"/>
  <c r="B7" i="59" s="1"/>
  <c r="B74" i="14"/>
  <c r="B6" i="59" s="1"/>
  <c r="B73" i="14"/>
  <c r="B5" i="59" s="1"/>
  <c r="B72" i="14"/>
  <c r="B4" i="59" s="1"/>
  <c r="C64" i="14"/>
  <c r="Q54"/>
  <c r="Q56" s="1"/>
  <c r="P54"/>
  <c r="P56" s="1"/>
  <c r="L54"/>
  <c r="J54"/>
  <c r="I54"/>
  <c r="H54"/>
  <c r="H56" s="1"/>
  <c r="Q24"/>
  <c r="Q26" s="1"/>
  <c r="P24"/>
  <c r="P26" s="1"/>
  <c r="N24"/>
  <c r="L24"/>
  <c r="J24"/>
  <c r="I24"/>
  <c r="H24"/>
  <c r="H26" s="1"/>
  <c r="Q50"/>
  <c r="P50"/>
  <c r="O50"/>
  <c r="M50"/>
  <c r="L50"/>
  <c r="K50"/>
  <c r="J50"/>
  <c r="G50"/>
  <c r="D50"/>
  <c r="Q49"/>
  <c r="Q52" s="1"/>
  <c r="P49"/>
  <c r="Q20"/>
  <c r="P20"/>
  <c r="O20"/>
  <c r="M20"/>
  <c r="L20"/>
  <c r="K20"/>
  <c r="J20"/>
  <c r="G20"/>
  <c r="D20"/>
  <c r="Q19"/>
  <c r="P19"/>
  <c r="O19"/>
  <c r="M19"/>
  <c r="L19"/>
  <c r="K19"/>
  <c r="J19"/>
  <c r="I19"/>
  <c r="G19"/>
  <c r="F19"/>
  <c r="E19"/>
  <c r="D19"/>
  <c r="Q48"/>
  <c r="P48"/>
  <c r="P52" s="1"/>
  <c r="O48"/>
  <c r="M48"/>
  <c r="L48"/>
  <c r="K48"/>
  <c r="J48"/>
  <c r="G48"/>
  <c r="D48"/>
  <c r="Q18"/>
  <c r="Q22" s="1"/>
  <c r="P18"/>
  <c r="O18"/>
  <c r="M18"/>
  <c r="M22" s="1"/>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J56"/>
  <c r="I56"/>
  <c r="R44"/>
  <c r="I26"/>
  <c r="E25"/>
  <c r="E55" s="1"/>
  <c r="C25"/>
  <c r="B14" i="48" s="1"/>
  <c r="N26" i="14"/>
  <c r="L26"/>
  <c r="J26"/>
  <c r="J22"/>
  <c r="L78" l="1"/>
  <c r="L9" i="59"/>
  <c r="L10" s="1"/>
  <c r="K78" i="14"/>
  <c r="K8" i="59"/>
  <c r="K10" s="1"/>
  <c r="E90" i="14"/>
  <c r="E18" i="59"/>
  <c r="P28" i="48"/>
  <c r="Q11"/>
  <c r="O28"/>
  <c r="K22" i="14"/>
  <c r="D22"/>
  <c r="L22"/>
  <c r="K20" i="59"/>
  <c r="L20"/>
  <c r="N10"/>
  <c r="P32" i="48"/>
  <c r="D14"/>
  <c r="E20" i="59"/>
  <c r="E10"/>
  <c r="G22" i="14"/>
  <c r="O22"/>
  <c r="P22"/>
  <c r="N78"/>
  <c r="K90"/>
  <c r="L90"/>
  <c r="H90"/>
  <c r="L13" i="15"/>
  <c r="N13"/>
  <c r="F77" i="14"/>
  <c r="O78"/>
  <c r="N88"/>
  <c r="E78"/>
  <c r="H77"/>
  <c r="H9" i="59" s="1"/>
  <c r="H10" s="1"/>
  <c r="O88" i="14"/>
  <c r="G89"/>
  <c r="G78"/>
  <c r="O31" i="48"/>
  <c r="O27"/>
  <c r="O29"/>
  <c r="P31"/>
  <c r="O24"/>
  <c r="O30"/>
  <c r="P24"/>
  <c r="P30"/>
  <c r="R9" i="14"/>
  <c r="R25"/>
  <c r="N90" l="1"/>
  <c r="N18" i="59"/>
  <c r="N20" s="1"/>
  <c r="O90" i="14"/>
  <c r="O18" i="59"/>
  <c r="O20" s="1"/>
  <c r="C89" i="14"/>
  <c r="C19" i="59" s="1"/>
  <c r="G19"/>
  <c r="G20" s="1"/>
  <c r="B77" i="14"/>
  <c r="B9" i="59" s="1"/>
  <c r="F9"/>
  <c r="Q14" i="48"/>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M78" i="14" l="1"/>
  <c r="M8" i="59"/>
  <c r="M10" s="1"/>
  <c r="F90" i="14"/>
  <c r="F17" i="59"/>
  <c r="F20" s="1"/>
  <c r="F78" i="14"/>
  <c r="F8" i="59"/>
  <c r="F10" s="1"/>
  <c r="M90" i="14"/>
  <c r="M17" i="59"/>
  <c r="M20" s="1"/>
  <c r="I78" i="14"/>
  <c r="J76"/>
  <c r="J87"/>
  <c r="Q87"/>
  <c r="D90"/>
  <c r="Q76"/>
  <c r="D78"/>
  <c r="I90"/>
  <c r="J78" l="1"/>
  <c r="J8" i="59"/>
  <c r="J10" s="1"/>
  <c r="J90" i="14"/>
  <c r="J17" i="59"/>
  <c r="J20" s="1"/>
  <c r="Q90" i="14"/>
  <c r="B17" i="6" s="1"/>
  <c r="P17" i="59"/>
  <c r="P20" s="1"/>
  <c r="Q78" i="14"/>
  <c r="B9" i="6" s="1"/>
  <c r="P8" i="59"/>
  <c r="P10" s="1"/>
  <c r="B87" i="14"/>
  <c r="C76"/>
  <c r="B76"/>
  <c r="C87"/>
  <c r="C78" l="1"/>
  <c r="C8" i="59"/>
  <c r="C10" s="1"/>
  <c r="B78" i="14"/>
  <c r="B8" i="59"/>
  <c r="B10" s="1"/>
  <c r="C90" i="14"/>
  <c r="C17" i="59"/>
  <c r="C20" s="1"/>
  <c r="B90" i="14"/>
  <c r="B17" i="59"/>
  <c r="B20" s="1"/>
  <c r="C42" i="22"/>
  <c r="B4" i="6" l="1"/>
  <c r="H14" i="15"/>
  <c r="H16" s="1"/>
  <c r="G14"/>
  <c r="G16" s="1"/>
  <c r="I10" i="14" l="1"/>
  <c r="I16" s="1"/>
  <c r="H5" i="48"/>
  <c r="G5"/>
  <c r="H10" i="14"/>
  <c r="H16" s="1"/>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L10" i="14" l="1"/>
  <c r="L16" s="1"/>
  <c r="L27" s="1"/>
  <c r="K5" i="48"/>
  <c r="D30"/>
  <c r="D28"/>
  <c r="D29"/>
  <c r="D31"/>
  <c r="D24"/>
  <c r="D32"/>
  <c r="L28"/>
  <c r="L29"/>
  <c r="L32"/>
  <c r="L30"/>
  <c r="L27"/>
  <c r="L31"/>
  <c r="L24"/>
  <c r="L22"/>
  <c r="P5"/>
  <c r="P23" s="1"/>
  <c r="Q10" i="14"/>
  <c r="K32" i="48"/>
  <c r="K28"/>
  <c r="K26"/>
  <c r="K22"/>
  <c r="K25"/>
  <c r="K31"/>
  <c r="K30"/>
  <c r="K29"/>
  <c r="K24"/>
  <c r="K27"/>
  <c r="C24" i="14"/>
  <c r="C26" s="1"/>
  <c r="B7" i="48"/>
  <c r="J29"/>
  <c r="J31"/>
  <c r="J32"/>
  <c r="J27"/>
  <c r="J24"/>
  <c r="J30"/>
  <c r="J28"/>
  <c r="P4"/>
  <c r="Q11" i="14"/>
  <c r="O4" i="48"/>
  <c r="P11" i="14"/>
  <c r="I29" i="48"/>
  <c r="I31"/>
  <c r="I26"/>
  <c r="I32"/>
  <c r="I25"/>
  <c r="I27"/>
  <c r="I22"/>
  <c r="I30"/>
  <c r="I28"/>
  <c r="I24"/>
  <c r="E11" i="14"/>
  <c r="D4" i="48"/>
  <c r="D22" s="1"/>
  <c r="H29"/>
  <c r="H26"/>
  <c r="H32"/>
  <c r="H25"/>
  <c r="H28"/>
  <c r="H22"/>
  <c r="H30"/>
  <c r="H24"/>
  <c r="H23"/>
  <c r="D11" i="14"/>
  <c r="C4" i="48"/>
  <c r="G32"/>
  <c r="G26"/>
  <c r="G22"/>
  <c r="G30"/>
  <c r="G29"/>
  <c r="G25"/>
  <c r="G24"/>
  <c r="G23"/>
  <c r="C11" i="14"/>
  <c r="B4" i="48"/>
  <c r="F32"/>
  <c r="F27"/>
  <c r="F24"/>
  <c r="F28"/>
  <c r="F29"/>
  <c r="F30"/>
  <c r="F31"/>
  <c r="N32"/>
  <c r="N29"/>
  <c r="N31"/>
  <c r="N28"/>
  <c r="N27"/>
  <c r="N30"/>
  <c r="N24"/>
  <c r="B10"/>
  <c r="C19" i="14"/>
  <c r="E32" i="48"/>
  <c r="E28"/>
  <c r="E29"/>
  <c r="E30"/>
  <c r="E31"/>
  <c r="E24"/>
  <c r="M32"/>
  <c r="M29"/>
  <c r="M25"/>
  <c r="M26"/>
  <c r="M30"/>
  <c r="M24"/>
  <c r="M22"/>
  <c r="M23"/>
  <c r="N46" i="14"/>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H18" i="14" l="1"/>
  <c r="R18" s="1"/>
  <c r="G13" i="48"/>
  <c r="H13"/>
  <c r="H31" s="1"/>
  <c r="I18" i="14"/>
  <c r="K15" i="48"/>
  <c r="K23"/>
  <c r="E9"/>
  <c r="F20" i="14"/>
  <c r="F22" s="1"/>
  <c r="P22" i="16"/>
  <c r="Q43" i="14" s="1"/>
  <c r="P8" i="48"/>
  <c r="P26" s="1"/>
  <c r="Q13" i="14"/>
  <c r="Q16" s="1"/>
  <c r="Q27" s="1"/>
  <c r="D9" i="48"/>
  <c r="D27" s="1"/>
  <c r="E20" i="14"/>
  <c r="E22" s="1"/>
  <c r="B9" i="48"/>
  <c r="C20" i="14"/>
  <c r="O5" i="48"/>
  <c r="O23" s="1"/>
  <c r="P10" i="14"/>
  <c r="F4" i="48"/>
  <c r="F22" s="1"/>
  <c r="G11" i="14"/>
  <c r="K24"/>
  <c r="K26" s="1"/>
  <c r="J7" i="48"/>
  <c r="J25" s="1"/>
  <c r="P22"/>
  <c r="P33" s="1"/>
  <c r="J10" i="14"/>
  <c r="J16" s="1"/>
  <c r="J27" s="1"/>
  <c r="I5" i="48"/>
  <c r="M12" i="22"/>
  <c r="N18" i="14"/>
  <c r="M13" i="48"/>
  <c r="M31" s="1"/>
  <c r="O22"/>
  <c r="L63" i="14"/>
  <c r="L46"/>
  <c r="L61" s="1"/>
  <c r="K33" i="48"/>
  <c r="D24" i="1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E12" l="1"/>
  <c r="F41" i="14" s="1"/>
  <c r="F11"/>
  <c r="R11" s="1"/>
  <c r="E4" i="48"/>
  <c r="N4"/>
  <c r="N22" s="1"/>
  <c r="O11" i="14"/>
  <c r="K11"/>
  <c r="J4" i="48"/>
  <c r="E27"/>
  <c r="M9"/>
  <c r="N20" i="14"/>
  <c r="G31" i="48"/>
  <c r="Q13"/>
  <c r="H20" i="14"/>
  <c r="G9" i="48"/>
  <c r="O8"/>
  <c r="O26" s="1"/>
  <c r="O33" s="1"/>
  <c r="P13" i="14"/>
  <c r="P16" s="1"/>
  <c r="P27" s="1"/>
  <c r="I23" i="48"/>
  <c r="I33" s="1"/>
  <c r="I15"/>
  <c r="M10"/>
  <c r="M28" s="1"/>
  <c r="N19" i="14"/>
  <c r="E7" i="48"/>
  <c r="E25" s="1"/>
  <c r="F24" i="14"/>
  <c r="F26" s="1"/>
  <c r="H19"/>
  <c r="R19" s="1"/>
  <c r="G10" i="48"/>
  <c r="N22" i="14"/>
  <c r="N27" s="1"/>
  <c r="C22"/>
  <c r="P46"/>
  <c r="P61" s="1"/>
  <c r="Q46"/>
  <c r="Q61" s="1"/>
  <c r="Q63" s="1"/>
  <c r="P15" i="48"/>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12" i="17"/>
  <c r="F54" i="14" s="1"/>
  <c r="F56" s="1"/>
  <c r="H14" i="22"/>
  <c r="E16" i="15"/>
  <c r="O22" i="16"/>
  <c r="P43" i="14" s="1"/>
  <c r="J16" i="15"/>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H52" l="1"/>
  <c r="H61" s="1"/>
  <c r="G27" i="48"/>
  <c r="G33" s="1"/>
  <c r="G15"/>
  <c r="J22"/>
  <c r="G28"/>
  <c r="Q10"/>
  <c r="E22"/>
  <c r="Q4"/>
  <c r="M27"/>
  <c r="M33" s="1"/>
  <c r="M15"/>
  <c r="I20" i="14"/>
  <c r="H9" i="48"/>
  <c r="E20" i="15"/>
  <c r="F40" i="14" s="1"/>
  <c r="E5" i="48"/>
  <c r="E23" s="1"/>
  <c r="F10" i="14"/>
  <c r="K10"/>
  <c r="J5" i="48"/>
  <c r="J23" s="1"/>
  <c r="N63" i="14"/>
  <c r="Q9" i="48"/>
  <c r="E61" i="14"/>
  <c r="P63"/>
  <c r="O15" i="48"/>
  <c r="H22" i="14"/>
  <c r="H27" s="1"/>
  <c r="M61"/>
  <c r="M27"/>
  <c r="E16"/>
  <c r="E27" s="1"/>
  <c r="E63" s="1"/>
  <c r="L15" i="48"/>
  <c r="R24" i="14"/>
  <c r="R26" s="1"/>
  <c r="L33" i="48"/>
  <c r="Q7"/>
  <c r="D23"/>
  <c r="D33" s="1"/>
  <c r="D15"/>
  <c r="C16" i="14"/>
  <c r="C27" s="1"/>
  <c r="B3" i="6" s="1"/>
  <c r="B12" s="1"/>
  <c r="F23" i="48"/>
  <c r="N23"/>
  <c r="Q5"/>
  <c r="B15"/>
  <c r="F18" i="16"/>
  <c r="E18"/>
  <c r="N18"/>
  <c r="J18"/>
  <c r="G18" i="22"/>
  <c r="H50" i="14"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E8" i="48" l="1"/>
  <c r="E26" s="1"/>
  <c r="E33" s="1"/>
  <c r="F13" i="14"/>
  <c r="F16" s="1"/>
  <c r="F27" s="1"/>
  <c r="F63" s="1"/>
  <c r="J22" i="16"/>
  <c r="K43" i="14" s="1"/>
  <c r="K46" s="1"/>
  <c r="K61" s="1"/>
  <c r="K13"/>
  <c r="K16" s="1"/>
  <c r="K27" s="1"/>
  <c r="J8" i="48"/>
  <c r="J26" s="1"/>
  <c r="I22" i="14"/>
  <c r="I27" s="1"/>
  <c r="R20"/>
  <c r="R22" s="1"/>
  <c r="H27" i="48"/>
  <c r="H33" s="1"/>
  <c r="H15"/>
  <c r="I63" i="14"/>
  <c r="R10"/>
  <c r="H63"/>
  <c r="J15" i="48"/>
  <c r="J33"/>
  <c r="E22" i="16"/>
  <c r="F43" i="14" s="1"/>
  <c r="F46" s="1"/>
  <c r="F61" s="1"/>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K63" l="1"/>
  <c r="E15" i="48"/>
  <c r="G16" i="14"/>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<sst xmlns="http://schemas.openxmlformats.org/spreadsheetml/2006/main" count="2450" uniqueCount="921">
  <si>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</si>
  <si>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</si>
  <si>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</si>
  <si>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</si>
  <si>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</si>
  <si>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</si>
  <si>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</si>
  <si>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</si>
  <si>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</si>
  <si>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</si>
  <si>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</si>
  <si>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</si>
  <si>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</si>
  <si>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</si>
  <si>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</si>
  <si>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</si>
  <si>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</si>
  <si>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</si>
  <si>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</si>
  <si>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</si>
  <si>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</si>
  <si>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</si>
  <si>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</si>
  <si>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</si>
  <si>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</si>
  <si>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</si>
  <si>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</si>
  <si>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</si>
  <si>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</si>
  <si>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</si>
  <si>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</si>
  <si>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</si>
  <si>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</si>
  <si>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</si>
  <si>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</si>
  <si>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</si>
  <si>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</si>
  <si>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</si>
  <si>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</si>
  <si>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</si>
  <si>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</si>
  <si>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</si>
  <si>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</si>
  <si>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</si>
  <si>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</si>
  <si>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</si>
  <si>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</si>
  <si>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</si>
  <si>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</si>
  <si>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</si>
  <si>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</si>
  <si>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</si>
  <si>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</si>
  <si>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</si>
  <si>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</si>
  <si>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</si>
  <si>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</si>
  <si>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</si>
  <si>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</si>
  <si>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</si>
  <si>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</si>
  <si>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</si>
  <si>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</si>
  <si>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</si>
  <si>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</si>
  <si>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</si>
  <si>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</si>
  <si>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</si>
  <si>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</si>
  <si>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</si>
  <si>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</si>
  <si>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</si>
  <si>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</si>
  <si>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</si>
  <si>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</si>
  <si>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</si>
  <si>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</si>
  <si>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</si>
  <si>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</si>
  <si>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</si>
  <si>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</si>
  <si>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</si>
  <si>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</si>
  <si>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</si>
  <si>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</si>
  <si>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</si>
  <si>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</si>
  <si>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</si>
  <si>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</si>
  <si>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</si>
  <si>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</si>
  <si>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</si>
  <si>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</si>
  <si>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</si>
  <si>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</si>
  <si>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</si>
  <si>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</si>
  <si>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</si>
  <si>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</si>
  <si>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</si>
  <si>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</si>
  <si>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</si>
  <si>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</si>
  <si>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</si>
  <si>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</si>
  <si>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</si>
  <si>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</si>
  <si>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</si>
  <si>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</si>
  <si>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</si>
  <si>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</si>
  <si>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</si>
  <si>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</si>
  <si>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</si>
  <si>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</si>
  <si>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</si>
  <si>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</si>
  <si>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</si>
  <si>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</si>
  <si>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</si>
  <si>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</si>
  <si>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</si>
  <si>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</si>
  <si>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</si>
  <si>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</si>
  <si>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</si>
  <si>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</si>
  <si>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</si>
  <si>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</si>
  <si>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</si>
  <si>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</si>
  <si>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</si>
  <si>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</si>
  <si>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</si>
  <si>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</si>
  <si>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</si>
  <si>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</si>
  <si>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</si>
  <si>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</si>
  <si>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</si>
  <si>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</si>
  <si>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</si>
  <si>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</si>
  <si>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</si>
  <si>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</si>
  <si>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</si>
  <si>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</si>
  <si>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</si>
  <si>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</si>
  <si>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</si>
  <si>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</si>
  <si>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</si>
  <si>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</si>
  <si>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</si>
  <si>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</si>
  <si>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</si>
  <si>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</si>
  <si>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</si>
  <si>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</si>
  <si>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</si>
  <si>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</si>
  <si>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</si>
  <si>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</si>
  <si>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</si>
  <si>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</si>
  <si>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</si>
  <si>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</si>
  <si>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</si>
  <si>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</si>
  <si>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</si>
  <si>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</si>
  <si>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</si>
  <si>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</si>
  <si>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</si>
  <si>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</si>
  <si>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</si>
  <si>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</si>
  <si>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</si>
  <si>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</si>
  <si>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</si>
  <si>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</si>
  <si>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</si>
  <si>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</si>
  <si>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</si>
  <si>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</si>
  <si>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</si>
  <si>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</si>
  <si>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</si>
  <si>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</si>
  <si>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</si>
  <si>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</si>
  <si>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</si>
  <si>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</si>
  <si>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</si>
  <si>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</si>
  <si>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</si>
  <si>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</si>
  <si>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</si>
  <si>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</si>
  <si>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</si>
  <si>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</si>
  <si>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</si>
  <si>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</si>
  <si>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</si>
  <si>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</si>
  <si>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</si>
  <si>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</si>
  <si>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</si>
  <si>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</si>
  <si>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</si>
  <si>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</si>
  <si>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</si>
  <si>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</si>
  <si>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</si>
  <si>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</si>
  <si>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</si>
  <si>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</si>
  <si>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</si>
  <si>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</si>
  <si>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</si>
  <si>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</si>
  <si>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</si>
  <si>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</si>
  <si>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</si>
  <si>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</si>
  <si>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</si>
  <si>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</si>
  <si>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</si>
  <si>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</si>
  <si>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</si>
  <si>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</si>
  <si>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</si>
  <si>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</si>
  <si>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</si>
  <si>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</si>
  <si>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</si>
  <si>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</si>
  <si>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</si>
  <si>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</si>
  <si>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</si>
  <si>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</si>
  <si>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</si>
  <si>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</si>
  <si>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</si>
  <si>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</si>
  <si>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</si>
  <si>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</si>
  <si>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</si>
  <si>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</si>
  <si>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</si>
  <si>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</si>
  <si>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</si>
  <si>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</si>
  <si>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</si>
  <si>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</si>
  <si>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</si>
  <si>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</si>
  <si>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</si>
  <si>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</si>
  <si>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</si>
  <si>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</si>
  <si>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</si>
  <si>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</si>
  <si>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</si>
  <si>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</si>
  <si>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</si>
  <si>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</si>
  <si>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</si>
  <si>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</si>
  <si>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</si>
  <si>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</si>
  <si>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</si>
  <si>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</si>
  <si>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</si>
  <si>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</si>
  <si>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</si>
  <si>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</si>
  <si>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</si>
  <si>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</si>
  <si>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</si>
  <si>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</si>
  <si>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</si>
  <si>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</si>
  <si>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</si>
  <si>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</si>
  <si>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</si>
  <si>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</si>
  <si>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</si>
  <si>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</si>
  <si>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</si>
  <si>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</si>
  <si>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</si>
  <si>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</si>
  <si>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</si>
  <si>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</si>
  <si>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</si>
  <si>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</si>
  <si>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</si>
  <si>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</si>
  <si>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</si>
  <si>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</si>
  <si>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</si>
  <si>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</si>
  <si>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</si>
  <si>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</si>
  <si>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</si>
  <si>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</si>
  <si>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</si>
  <si>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</si>
  <si>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</si>
  <si>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</si>
  <si>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</si>
  <si>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</si>
  <si>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</si>
  <si>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</si>
  <si>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</si>
  <si>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</si>
  <si>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</si>
  <si>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</si>
  <si>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</si>
  <si>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</si>
  <si>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</si>
  <si>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</si>
  <si>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</si>
  <si>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</si>
  <si>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</si>
  <si>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</si>
  <si>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</si>
  <si>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</si>
  <si>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</si>
  <si>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</si>
  <si>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</si>
  <si>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</si>
  <si>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</si>
  <si>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</si>
  <si>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</si>
  <si>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</si>
  <si>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</si>
  <si>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</si>
  <si>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</si>
  <si>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</si>
  <si>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</si>
  <si>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</si>
  <si>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</si>
  <si>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</si>
  <si>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</si>
  <si>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</si>
  <si>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</si>
  <si>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</si>
  <si>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</si>
  <si>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</si>
  <si>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</si>
  <si>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</si>
  <si>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</si>
  <si>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</si>
  <si>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</si>
  <si>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</si>
  <si>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</si>
  <si>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</si>
  <si>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</si>
  <si>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</si>
  <si>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</si>
  <si>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</si>
  <si>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</si>
  <si>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</si>
  <si>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</si>
  <si>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</si>
  <si>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</si>
  <si>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</si>
  <si>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</si>
  <si>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</si>
  <si>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</si>
  <si>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</si>
  <si>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</si>
  <si>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</si>
  <si>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</si>
  <si>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</si>
  <si>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</si>
  <si>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</si>
  <si>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</si>
  <si>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</si>
  <si>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</si>
  <si>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</si>
  <si>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</si>
  <si>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</si>
  <si>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</si>
  <si>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</si>
  <si>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</si>
  <si>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</si>
  <si>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</si>
  <si>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</si>
  <si>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</si>
  <si>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</si>
  <si>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</si>
  <si>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</si>
  <si>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</si>
  <si>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</si>
  <si>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</si>
  <si>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</si>
  <si>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</si>
  <si>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</si>
  <si>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</si>
  <si>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</si>
  <si>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</si>
  <si>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</si>
  <si>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</si>
  <si>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</si>
  <si>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</si>
  <si>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</si>
  <si>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</si>
  <si>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</si>
  <si>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</si>
  <si>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</si>
  <si>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</si>
  <si>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</si>
  <si>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</si>
  <si>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</si>
  <si>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</si>
  <si>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</si>
  <si>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</si>
  <si>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</si>
  <si>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</si>
  <si>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</si>
  <si>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</si>
  <si>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</si>
  <si>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</si>
  <si>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</si>
  <si>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</si>
  <si>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</si>
  <si>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</si>
  <si>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</si>
  <si>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</si>
  <si>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</si>
  <si>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</si>
  <si>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</si>
  <si>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</si>
  <si>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</si>
  <si>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</si>
  <si>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</si>
  <si>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</si>
  <si>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</si>
  <si>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</si>
  <si>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</si>
  <si>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</si>
  <si>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</si>
  <si>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</si>
  <si>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</si>
  <si>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</si>
  <si>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</si>
  <si>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</si>
  <si>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</si>
  <si>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</si>
  <si>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</si>
  <si>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</si>
  <si>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</si>
  <si>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</si>
  <si>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</si>
  <si>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</si>
  <si>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</si>
  <si>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</si>
  <si>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</si>
  <si>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</si>
  <si>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</si>
  <si>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</si>
  <si>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</si>
  <si>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</si>
  <si>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</si>
  <si>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</si>
  <si>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</si>
  <si>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</si>
  <si>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</si>
  <si>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</si>
  <si>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</si>
  <si>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</si>
  <si>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</si>
  <si>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</si>
  <si>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</si>
  <si>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</si>
  <si>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</si>
  <si>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</si>
  <si>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</si>
  <si>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</si>
  <si>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</si>
  <si>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</si>
  <si>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</si>
  <si>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</si>
  <si>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</si>
  <si>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</si>
  <si>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</si>
  <si>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</si>
  <si>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</si>
  <si>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</si>
  <si>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</si>
  <si>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</si>
  <si>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</si>
  <si>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</si>
  <si>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</si>
  <si>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</si>
  <si>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</si>
  <si>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</si>
  <si>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</si>
  <si>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</si>
  <si>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</si>
  <si>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</si>
  <si>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</si>
  <si>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</si>
  <si>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</si>
  <si>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</si>
  <si>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</si>
  <si>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</si>
  <si>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</si>
  <si>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</si>
  <si>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</si>
  <si>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</si>
  <si>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</si>
  <si>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</si>
  <si>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</si>
  <si>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</si>
  <si>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</si>
  <si>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</si>
  <si>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</si>
  <si>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</si>
  <si>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</si>
  <si>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</si>
  <si>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</si>
  <si>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</si>
  <si>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</si>
  <si>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</si>
  <si>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</si>
  <si>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</si>
  <si>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</si>
  <si>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</si>
  <si>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</si>
  <si>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</si>
  <si>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</si>
  <si>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</si>
  <si>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</si>
  <si>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</si>
  <si>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</si>
  <si>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</si>
  <si>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</si>
  <si>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</si>
  <si>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</si>
  <si>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</si>
  <si>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</si>
  <si>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</si>
  <si>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</si>
  <si>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</si>
  <si>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</si>
  <si>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</si>
  <si>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</si>
  <si>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</si>
  <si>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</si>
  <si>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</si>
  <si>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</si>
  <si>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</si>
  <si>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</si>
  <si>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</si>
  <si>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</si>
  <si>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</si>
  <si>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</si>
  <si>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</si>
  <si>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</si>
  <si>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</si>
  <si>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</si>
  <si>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</si>
  <si>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</si>
  <si>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</si>
  <si>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</si>
  <si>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</si>
  <si>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</si>
  <si>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</si>
  <si>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</si>
  <si>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</si>
  <si>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</si>
  <si>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</si>
  <si>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</si>
  <si>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</si>
  <si>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</si>
  <si>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</si>
  <si>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</si>
  <si>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</si>
  <si>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</si>
  <si>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</si>
  <si>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</si>
  <si>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</si>
  <si>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</si>
  <si>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</si>
  <si>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</si>
  <si>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</si>
  <si>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</si>
  <si>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</si>
  <si>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</si>
  <si>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</si>
  <si>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</si>
  <si>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</si>
  <si>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</si>
  <si>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</si>
  <si>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</si>
  <si>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</si>
  <si>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</si>
  <si>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</si>
  <si>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</si>
  <si>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</si>
  <si>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</si>
  <si>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</si>
  <si>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</si>
  <si>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</si>
  <si>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</si>
  <si>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</si>
  <si>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</si>
  <si>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</si>
  <si>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</si>
  <si>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</si>
  <si>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</si>
  <si>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</si>
  <si>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</si>
  <si>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</si>
  <si>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</si>
  <si>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</si>
  <si>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</si>
  <si>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</si>
  <si>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</si>
  <si>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</si>
  <si>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</si>
  <si>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</si>
  <si>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</si>
  <si>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</si>
  <si>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</si>
  <si>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</si>
  <si>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</si>
  <si>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</si>
  <si>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</si>
  <si>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</si>
  <si>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</si>
  <si>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</si>
  <si>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</si>
  <si>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</si>
  <si>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</si>
  <si>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</si>
  <si>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</si>
  <si>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</si>
  <si>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</si>
  <si>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</si>
  <si>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</si>
  <si>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</si>
  <si>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</si>
  <si>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</si>
  <si>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</si>
  <si>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</si>
  <si>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</si>
  <si>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</si>
  <si>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</si>
  <si>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</si>
  <si>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</si>
  <si>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</si>
  <si>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</si>
  <si>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</si>
  <si>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</si>
  <si>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</si>
  <si>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</si>
  <si>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</si>
  <si>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</si>
  <si>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</si>
  <si>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</si>
  <si>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</si>
  <si>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</si>
  <si>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</si>
  <si>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</si>
  <si>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</si>
  <si>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</si>
  <si>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</si>
  <si>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</si>
  <si>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</si>
  <si>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</si>
  <si>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</si>
  <si>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</si>
  <si>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</si>
  <si>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</si>
  <si>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</si>
  <si>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</si>
  <si>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</si>
  <si>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</si>
  <si>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</si>
  <si>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</si>
  <si>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</si>
  <si>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</si>
  <si>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</si>
  <si>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</si>
  <si>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</si>
  <si>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</si>
  <si>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</si>
  <si>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</si>
  <si>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</si>
  <si>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</si>
  <si>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</si>
  <si>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</si>
  <si>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</si>
  <si>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</si>
  <si>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</si>
  <si>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</si>
  <si>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</si>
  <si>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</si>
  <si>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</si>
  <si>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</si>
  <si>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</si>
  <si>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</si>
  <si>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</si>
  <si>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</si>
  <si>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</si>
  <si>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</si>
  <si>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</si>
  <si>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</si>
  <si>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</si>
  <si>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</si>
  <si>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</si>
  <si>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</si>
  <si>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</si>
  <si>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</si>
  <si>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</si>
  <si>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</si>
  <si>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</si>
  <si>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</si>
  <si>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</si>
  <si>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</si>
  <si>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</si>
  <si>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</si>
  <si>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</si>
  <si>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</si>
  <si>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</si>
  <si>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</si>
  <si>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</si>
  <si>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</si>
  <si>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</si>
  <si>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</si>
  <si>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</si>
  <si>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</si>
  <si>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</si>
  <si>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</si>
  <si>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</si>
  <si>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</si>
  <si>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</si>
  <si>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</si>
  <si>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</si>
  <si>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</si>
  <si>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</si>
  <si>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</si>
  <si>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</si>
  <si>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</si>
  <si>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</si>
  <si>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</si>
  <si>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</si>
  <si>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</si>
  <si>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</si>
  <si>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</si>
  <si>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</si>
  <si>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</si>
  <si>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</si>
  <si>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</si>
  <si>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</si>
  <si>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</si>
  <si>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</si>
  <si>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</si>
  <si>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</si>
  <si>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</si>
  <si>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</si>
  <si>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</si>
  <si>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</si>
  <si>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</si>
  <si>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</si>
  <si>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</si>
  <si>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</si>
  <si>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</si>
  <si>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</si>
  <si>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</si>
  <si>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</si>
  <si>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</si>
  <si>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</si>
  <si>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</si>
  <si>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</si>
  <si>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</si>
  <si>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</si>
  <si>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</si>
  <si>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</si>
  <si>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</si>
  <si>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</si>
  <si>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</si>
  <si>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</si>
  <si>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</si>
  <si>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</si>
  <si>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</si>
  <si>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</si>
  <si>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</si>
  <si>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</si>
  <si>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</si>
  <si>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</si>
  <si>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</si>
  <si>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</si>
  <si>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</si>
  <si>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</si>
  <si>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</si>
  <si>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</si>
  <si>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</si>
  <si>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</si>
  <si>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</si>
  <si>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</si>
  <si>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</si>
  <si>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</si>
  <si>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</si>
  <si>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</si>
  <si>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</si>
  <si>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</si>
  <si>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</si>
  <si>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</si>
  <si>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</si>
  <si>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</si>
  <si>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</si>
  <si>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</si>
  <si>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</si>
  <si>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</si>
  <si>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</si>
  <si>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</si>
  <si>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</si>
  <si>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</si>
  <si>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</si>
  <si>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</si>
  <si>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</si>
  <si>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</si>
  <si>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</si>
  <si>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</si>
  <si>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</si>
  <si>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</si>
  <si>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</si>
  <si>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</si>
  <si>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</si>
  <si>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</si>
  <si>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</si>
  <si>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</si>
  <si>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</si>
  <si>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</si>
  <si>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</si>
  <si>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</si>
  <si>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</si>
  <si>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</si>
  <si>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</si>
  <si>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</si>
  <si>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</si>
  <si>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</si>
  <si>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</si>
  <si>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</si>
  <si>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</si>
  <si>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</si>
  <si>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</si>
  <si>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</si>
  <si>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</si>
  <si>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</si>
  <si>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</si>
  <si>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</si>
  <si>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</si>
  <si>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</si>
  <si>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</si>
  <si>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</si>
  <si>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</si>
  <si>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</si>
  <si>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</si>
  <si>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</si>
  <si>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</si>
  <si>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</si>
  <si>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</si>
  <si>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</si>
  <si>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</si>
  <si>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</si>
  <si>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</si>
  <si>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</si>
  <si>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</si>
  <si>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</si>
  <si>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</si>
  <si>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</si>
  <si>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</si>
  <si>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</si>
  <si>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</si>
  <si>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</si>
  <si>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</si>
  <si>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</si>
  <si>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</si>
  <si>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</si>
  <si>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</si>
  <si>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</si>
  <si>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</si>
  <si>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</si>
  <si>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</si>
  <si>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</si>
  <si>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</si>
  <si>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</si>
  <si>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</si>
  <si>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</si>
  <si>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</si>
  <si>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</si>
  <si>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</si>
  <si>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</si>
  <si>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</si>
  <si>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</si>
  <si>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</si>
  <si>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</si>
  <si>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</si>
  <si>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</si>
  <si>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44012</t>
  </si>
  <si>
    <t>DE_PINTE</t>
  </si>
  <si>
    <t>Cultuurgrond (ha)</t>
  </si>
  <si>
    <t>Paarden&amp;pony's 200 - 600 kg</t>
  </si>
  <si>
    <t>Paarden&amp;pony's &lt; 200 kg</t>
  </si>
  <si>
    <t>op basis van VEA (maart 2018) en Inventaris Hernieuwbare Energiebronnen (juni 2018)</t>
  </si>
  <si>
    <t>VEA (juni 2018)</t>
  </si>
  <si>
    <t>Gaston Vander Cruyssen</t>
  </si>
  <si>
    <t>Rubenslaan 12 , 9840 De Pinte</t>
  </si>
  <si>
    <t>WKK-0423 Gaston Vander Cruyssen</t>
  </si>
  <si>
    <t>stirlingmotor</t>
  </si>
  <si>
    <t>IMEWO</t>
  </si>
  <si>
    <t>Chris Van Dorpe</t>
  </si>
  <si>
    <t>Grote steenweg 112 , 9840 De Pinte</t>
  </si>
  <si>
    <t>WKK-0474 Chris Van Dorpe</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</si>
</sst>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91481.871165783843</c:v>
                </c:pt>
                <c:pt idx="1">
                  <c:v>18047.967626643142</c:v>
                </c:pt>
                <c:pt idx="2">
                  <c:v>915.65700000000004</c:v>
                </c:pt>
                <c:pt idx="3">
                  <c:v>3489.1375329032917</c:v>
                </c:pt>
                <c:pt idx="4">
                  <c:v>3497.5323691372869</c:v>
                </c:pt>
                <c:pt idx="5">
                  <c:v>195049.88010654587</c:v>
                </c:pt>
                <c:pt idx="6">
                  <c:v>1149.4396439698799</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678272"/>
        <c:axId val="182679808"/>
      </c:barChart>
      <c:catAx>
        <c:axId val="182678272"/>
        <c:scaling>
          <c:orientation val="minMax"/>
        </c:scaling>
        <c:axPos val="b"/>
        <c:numFmt formatCode="General" sourceLinked="0"/>
        <c:tickLblPos val="nextTo"/>
        <c:crossAx val="182679808"/>
        <c:crosses val="autoZero"/>
        <c:auto val="1"/>
        <c:lblAlgn val="ctr"/>
        <c:lblOffset val="100"/>
      </c:catAx>
      <c:valAx>
        <c:axId val="182679808"/>
        <c:scaling>
          <c:orientation val="minMax"/>
        </c:scaling>
        <c:axPos val="l"/>
        <c:majorGridlines/>
        <c:numFmt formatCode="#,##0" sourceLinked="1"/>
        <c:tickLblPos val="nextTo"/>
        <c:crossAx val="18267827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91481.871165783843</c:v>
                </c:pt>
                <c:pt idx="1">
                  <c:v>18047.967626643142</c:v>
                </c:pt>
                <c:pt idx="2">
                  <c:v>915.65700000000004</c:v>
                </c:pt>
                <c:pt idx="3">
                  <c:v>3489.1375329032917</c:v>
                </c:pt>
                <c:pt idx="4">
                  <c:v>3497.5323691372869</c:v>
                </c:pt>
                <c:pt idx="5">
                  <c:v>195049.88010654587</c:v>
                </c:pt>
                <c:pt idx="6">
                  <c:v>1149.4396439698799</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18941.942077851694</c:v>
                </c:pt>
                <c:pt idx="2">
                  <c:v>3703.1558493120601</c:v>
                </c:pt>
                <c:pt idx="3">
                  <c:v>187.77320486063192</c:v>
                </c:pt>
                <c:pt idx="4">
                  <c:v>828.74482208156292</c:v>
                </c:pt>
                <c:pt idx="5">
                  <c:v>709.64506913594778</c:v>
                </c:pt>
                <c:pt idx="6">
                  <c:v>49424.27961402393</c:v>
                </c:pt>
                <c:pt idx="7">
                  <c:v>293.83291645448412</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787456"/>
        <c:axId val="182789248"/>
      </c:barChart>
      <c:catAx>
        <c:axId val="182787456"/>
        <c:scaling>
          <c:orientation val="minMax"/>
        </c:scaling>
        <c:axPos val="b"/>
        <c:numFmt formatCode="General" sourceLinked="0"/>
        <c:tickLblPos val="nextTo"/>
        <c:crossAx val="182789248"/>
        <c:crosses val="autoZero"/>
        <c:auto val="1"/>
        <c:lblAlgn val="ctr"/>
        <c:lblOffset val="100"/>
      </c:catAx>
      <c:valAx>
        <c:axId val="182789248"/>
        <c:scaling>
          <c:orientation val="minMax"/>
        </c:scaling>
        <c:axPos val="l"/>
        <c:majorGridlines/>
        <c:numFmt formatCode="#,##0" sourceLinked="1"/>
        <c:tickLblPos val="nextTo"/>
        <c:crossAx val="18278745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18941.942077851694</c:v>
                </c:pt>
                <c:pt idx="2">
                  <c:v>3703.1558493120601</c:v>
                </c:pt>
                <c:pt idx="3">
                  <c:v>187.77320486063192</c:v>
                </c:pt>
                <c:pt idx="4">
                  <c:v>828.74482208156292</c:v>
                </c:pt>
                <c:pt idx="5">
                  <c:v>709.64506913594778</c:v>
                </c:pt>
                <c:pt idx="6">
                  <c:v>49424.27961402393</c:v>
                </c:pt>
                <c:pt idx="7">
                  <c:v>293.83291645448412</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902</v>
      </c>
      <c r="B4" s="106"/>
      <c r="C4" s="107"/>
    </row>
    <row r="5" spans="1:7" s="396" customFormat="1" ht="15.75" customHeight="1">
      <c r="A5" s="393" t="s">
        <v>0</v>
      </c>
      <c r="B5" s="394"/>
      <c r="C5" s="395"/>
    </row>
    <row r="6" spans="1:7" s="396" customFormat="1" ht="15" customHeight="1">
      <c r="A6" s="397" t="str">
        <f>txtNIS</f>
        <v>44012</v>
      </c>
      <c r="B6" s="398"/>
      <c r="C6" s="399"/>
    </row>
    <row r="7" spans="1:7" s="396" customFormat="1" ht="15.75" customHeight="1">
      <c r="A7" s="400" t="str">
        <f>txtMunicipality</f>
        <v>DE_PINTE</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0.20506937080220203</v>
      </c>
      <c r="C17" s="512">
        <f ca="1">'EF ele_warmte'!B22</f>
        <v>0.22444444444444447</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0.20506937080220203</v>
      </c>
      <c r="C29" s="513">
        <f ca="1">'EF ele_warmte'!B22</f>
        <v>0.22444444444444447</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44012</v>
      </c>
      <c r="B1" s="1284"/>
      <c r="C1" s="1284"/>
      <c r="D1" s="1284"/>
      <c r="E1" s="1284"/>
      <c r="F1" s="1285"/>
    </row>
    <row r="3" spans="1:6" ht="19.5">
      <c r="A3" s="1286" t="s">
        <v>0</v>
      </c>
    </row>
    <row r="4" spans="1:6" ht="22.5">
      <c r="A4" s="1287" t="s">
        <v>906</v>
      </c>
    </row>
    <row r="5" spans="1:6" ht="22.5">
      <c r="A5" s="1287" t="s">
        <v>907</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4119</v>
      </c>
      <c r="C9" s="338">
        <v>4276</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908</v>
      </c>
      <c r="B14" s="335">
        <v>840</v>
      </c>
    </row>
    <row r="15" spans="1:6">
      <c r="A15" s="1295" t="s">
        <v>184</v>
      </c>
      <c r="B15" s="335">
        <v>9</v>
      </c>
    </row>
    <row r="16" spans="1:6">
      <c r="A16" s="1295" t="s">
        <v>6</v>
      </c>
      <c r="B16" s="335">
        <v>372</v>
      </c>
    </row>
    <row r="17" spans="1:6">
      <c r="A17" s="1295" t="s">
        <v>7</v>
      </c>
      <c r="B17" s="335">
        <v>128</v>
      </c>
    </row>
    <row r="18" spans="1:6">
      <c r="A18" s="1295" t="s">
        <v>8</v>
      </c>
      <c r="B18" s="335">
        <v>276</v>
      </c>
    </row>
    <row r="19" spans="1:6">
      <c r="A19" s="1295" t="s">
        <v>9</v>
      </c>
      <c r="B19" s="335">
        <v>268</v>
      </c>
    </row>
    <row r="20" spans="1:6">
      <c r="A20" s="1295" t="s">
        <v>10</v>
      </c>
      <c r="B20" s="335">
        <v>164</v>
      </c>
    </row>
    <row r="21" spans="1:6">
      <c r="A21" s="1295" t="s">
        <v>11</v>
      </c>
      <c r="B21" s="335">
        <v>215</v>
      </c>
    </row>
    <row r="22" spans="1:6">
      <c r="A22" s="1295" t="s">
        <v>12</v>
      </c>
      <c r="B22" s="335">
        <v>1165</v>
      </c>
    </row>
    <row r="23" spans="1:6">
      <c r="A23" s="1295" t="s">
        <v>13</v>
      </c>
      <c r="B23" s="335">
        <v>10</v>
      </c>
    </row>
    <row r="24" spans="1:6">
      <c r="A24" s="1295" t="s">
        <v>14</v>
      </c>
      <c r="B24" s="335">
        <v>1</v>
      </c>
    </row>
    <row r="25" spans="1:6">
      <c r="A25" s="1295" t="s">
        <v>15</v>
      </c>
      <c r="B25" s="335">
        <v>80</v>
      </c>
    </row>
    <row r="26" spans="1:6">
      <c r="A26" s="1295" t="s">
        <v>16</v>
      </c>
      <c r="B26" s="335">
        <v>27</v>
      </c>
    </row>
    <row r="27" spans="1:6">
      <c r="A27" s="1295" t="s">
        <v>17</v>
      </c>
      <c r="B27" s="335">
        <v>8</v>
      </c>
    </row>
    <row r="28" spans="1:6" s="341" customFormat="1">
      <c r="A28" s="1296" t="s">
        <v>18</v>
      </c>
      <c r="B28" s="1296">
        <v>10</v>
      </c>
    </row>
    <row r="29" spans="1:6">
      <c r="A29" s="1296" t="s">
        <v>909</v>
      </c>
      <c r="B29" s="1296">
        <v>59</v>
      </c>
      <c r="C29" s="341"/>
      <c r="D29" s="341"/>
      <c r="E29" s="341"/>
      <c r="F29" s="341"/>
    </row>
    <row r="30" spans="1:6">
      <c r="A30" s="1291" t="s">
        <v>910</v>
      </c>
      <c r="B30" s="1291">
        <v>9</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0</v>
      </c>
      <c r="F36" s="335">
        <v>0</v>
      </c>
    </row>
    <row r="37" spans="1:6">
      <c r="A37" s="1295" t="s">
        <v>25</v>
      </c>
      <c r="B37" s="1295" t="s">
        <v>28</v>
      </c>
      <c r="C37" s="335">
        <v>0</v>
      </c>
      <c r="D37" s="335">
        <v>0</v>
      </c>
      <c r="E37" s="335">
        <v>0</v>
      </c>
      <c r="F37" s="335">
        <v>0</v>
      </c>
    </row>
    <row r="38" spans="1:6">
      <c r="A38" s="1295" t="s">
        <v>25</v>
      </c>
      <c r="B38" s="1295" t="s">
        <v>29</v>
      </c>
      <c r="C38" s="335">
        <v>0</v>
      </c>
      <c r="D38" s="335">
        <v>0</v>
      </c>
      <c r="E38" s="335">
        <v>1</v>
      </c>
      <c r="F38" s="335">
        <v>2044.4104745960001</v>
      </c>
    </row>
    <row r="39" spans="1:6">
      <c r="A39" s="1295" t="s">
        <v>30</v>
      </c>
      <c r="B39" s="1295" t="s">
        <v>31</v>
      </c>
      <c r="C39" s="335">
        <v>1979</v>
      </c>
      <c r="D39" s="335">
        <v>40469280.7372493</v>
      </c>
      <c r="E39" s="335">
        <v>3993</v>
      </c>
      <c r="F39" s="335">
        <v>21373081.8001022</v>
      </c>
    </row>
    <row r="40" spans="1:6">
      <c r="A40" s="1295" t="s">
        <v>30</v>
      </c>
      <c r="B40" s="1295" t="s">
        <v>29</v>
      </c>
      <c r="C40" s="335">
        <v>0</v>
      </c>
      <c r="D40" s="335">
        <v>0</v>
      </c>
      <c r="E40" s="335">
        <v>0</v>
      </c>
      <c r="F40" s="335">
        <v>0</v>
      </c>
    </row>
    <row r="41" spans="1:6">
      <c r="A41" s="1295" t="s">
        <v>32</v>
      </c>
      <c r="B41" s="1295" t="s">
        <v>33</v>
      </c>
      <c r="C41" s="335">
        <v>19</v>
      </c>
      <c r="D41" s="335">
        <v>356120.04652719502</v>
      </c>
      <c r="E41" s="335">
        <v>53</v>
      </c>
      <c r="F41" s="335">
        <v>572495.04705884098</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0</v>
      </c>
      <c r="D44" s="335">
        <v>0</v>
      </c>
      <c r="E44" s="335">
        <v>0</v>
      </c>
      <c r="F44" s="335">
        <v>0</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0</v>
      </c>
      <c r="D47" s="335">
        <v>0</v>
      </c>
      <c r="E47" s="335">
        <v>0</v>
      </c>
      <c r="F47" s="335">
        <v>0</v>
      </c>
    </row>
    <row r="48" spans="1:6">
      <c r="A48" s="1295" t="s">
        <v>32</v>
      </c>
      <c r="B48" s="1295" t="s">
        <v>29</v>
      </c>
      <c r="C48" s="335">
        <v>15</v>
      </c>
      <c r="D48" s="335">
        <v>431870.68921788898</v>
      </c>
      <c r="E48" s="335">
        <v>22</v>
      </c>
      <c r="F48" s="335">
        <v>281227.04182818299</v>
      </c>
    </row>
    <row r="49" spans="1:6">
      <c r="A49" s="1295" t="s">
        <v>32</v>
      </c>
      <c r="B49" s="1295" t="s">
        <v>40</v>
      </c>
      <c r="C49" s="335">
        <v>0</v>
      </c>
      <c r="D49" s="335">
        <v>0</v>
      </c>
      <c r="E49" s="335">
        <v>0</v>
      </c>
      <c r="F49" s="335">
        <v>0</v>
      </c>
    </row>
    <row r="50" spans="1:6">
      <c r="A50" s="1295" t="s">
        <v>32</v>
      </c>
      <c r="B50" s="1295" t="s">
        <v>41</v>
      </c>
      <c r="C50" s="335">
        <v>0</v>
      </c>
      <c r="D50" s="335">
        <v>0</v>
      </c>
      <c r="E50" s="335">
        <v>6</v>
      </c>
      <c r="F50" s="335">
        <v>374025.23619825399</v>
      </c>
    </row>
    <row r="51" spans="1:6">
      <c r="A51" s="1295" t="s">
        <v>42</v>
      </c>
      <c r="B51" s="1295" t="s">
        <v>43</v>
      </c>
      <c r="C51" s="335">
        <v>3</v>
      </c>
      <c r="D51" s="335">
        <v>1365193.9759128499</v>
      </c>
      <c r="E51" s="335">
        <v>38</v>
      </c>
      <c r="F51" s="335">
        <v>428302.18262273399</v>
      </c>
    </row>
    <row r="52" spans="1:6">
      <c r="A52" s="1295" t="s">
        <v>42</v>
      </c>
      <c r="B52" s="1295" t="s">
        <v>29</v>
      </c>
      <c r="C52" s="335">
        <v>1</v>
      </c>
      <c r="D52" s="335">
        <v>9915.3326077808997</v>
      </c>
      <c r="E52" s="335">
        <v>6</v>
      </c>
      <c r="F52" s="335">
        <v>62413.393164840199</v>
      </c>
    </row>
    <row r="53" spans="1:6">
      <c r="A53" s="1295" t="s">
        <v>44</v>
      </c>
      <c r="B53" s="1295" t="s">
        <v>45</v>
      </c>
      <c r="C53" s="335">
        <v>43</v>
      </c>
      <c r="D53" s="335">
        <v>2223977.3796131201</v>
      </c>
      <c r="E53" s="335">
        <v>124</v>
      </c>
      <c r="F53" s="335">
        <v>726023.22302694805</v>
      </c>
    </row>
    <row r="54" spans="1:6">
      <c r="A54" s="1295" t="s">
        <v>46</v>
      </c>
      <c r="B54" s="1295" t="s">
        <v>47</v>
      </c>
      <c r="C54" s="335">
        <v>0</v>
      </c>
      <c r="D54" s="335">
        <v>0</v>
      </c>
      <c r="E54" s="335">
        <v>2</v>
      </c>
      <c r="F54" s="335">
        <v>915657</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8</v>
      </c>
      <c r="D57" s="335">
        <v>211876.170719288</v>
      </c>
      <c r="E57" s="335">
        <v>20</v>
      </c>
      <c r="F57" s="335">
        <v>119683.255353457</v>
      </c>
    </row>
    <row r="58" spans="1:6">
      <c r="A58" s="1295" t="s">
        <v>49</v>
      </c>
      <c r="B58" s="1295" t="s">
        <v>51</v>
      </c>
      <c r="C58" s="335">
        <v>5</v>
      </c>
      <c r="D58" s="335">
        <v>214635.71639032799</v>
      </c>
      <c r="E58" s="335">
        <v>14</v>
      </c>
      <c r="F58" s="335">
        <v>157478.04294451</v>
      </c>
    </row>
    <row r="59" spans="1:6">
      <c r="A59" s="1295" t="s">
        <v>49</v>
      </c>
      <c r="B59" s="1295" t="s">
        <v>52</v>
      </c>
      <c r="C59" s="335">
        <v>27</v>
      </c>
      <c r="D59" s="335">
        <v>971875.80491917301</v>
      </c>
      <c r="E59" s="335">
        <v>74</v>
      </c>
      <c r="F59" s="335">
        <v>1265014.69755625</v>
      </c>
    </row>
    <row r="60" spans="1:6">
      <c r="A60" s="1295" t="s">
        <v>49</v>
      </c>
      <c r="B60" s="1295" t="s">
        <v>53</v>
      </c>
      <c r="C60" s="335">
        <v>19</v>
      </c>
      <c r="D60" s="335">
        <v>766593.24346939696</v>
      </c>
      <c r="E60" s="335">
        <v>35</v>
      </c>
      <c r="F60" s="335">
        <v>751045.44377763697</v>
      </c>
    </row>
    <row r="61" spans="1:6">
      <c r="A61" s="1295" t="s">
        <v>49</v>
      </c>
      <c r="B61" s="1295" t="s">
        <v>54</v>
      </c>
      <c r="C61" s="335">
        <v>75</v>
      </c>
      <c r="D61" s="335">
        <v>4784554.1955059199</v>
      </c>
      <c r="E61" s="335">
        <v>189</v>
      </c>
      <c r="F61" s="335">
        <v>2621423.8914522901</v>
      </c>
    </row>
    <row r="62" spans="1:6">
      <c r="A62" s="1295" t="s">
        <v>49</v>
      </c>
      <c r="B62" s="1295" t="s">
        <v>55</v>
      </c>
      <c r="C62" s="335">
        <v>4</v>
      </c>
      <c r="D62" s="335">
        <v>2301331.9282433302</v>
      </c>
      <c r="E62" s="335">
        <v>6</v>
      </c>
      <c r="F62" s="335">
        <v>160214.65151586899</v>
      </c>
    </row>
    <row r="63" spans="1:6">
      <c r="A63" s="1295" t="s">
        <v>49</v>
      </c>
      <c r="B63" s="1295" t="s">
        <v>29</v>
      </c>
      <c r="C63" s="335">
        <v>64</v>
      </c>
      <c r="D63" s="335">
        <v>1940653.0875317</v>
      </c>
      <c r="E63" s="335">
        <v>93</v>
      </c>
      <c r="F63" s="335">
        <v>1352942.0429626501</v>
      </c>
    </row>
    <row r="64" spans="1:6">
      <c r="A64" s="1295" t="s">
        <v>56</v>
      </c>
      <c r="B64" s="1295" t="s">
        <v>57</v>
      </c>
      <c r="C64" s="335">
        <v>0</v>
      </c>
      <c r="D64" s="335">
        <v>0</v>
      </c>
      <c r="E64" s="335">
        <v>0</v>
      </c>
      <c r="F64" s="335">
        <v>0</v>
      </c>
    </row>
    <row r="65" spans="1:6">
      <c r="A65" s="1295" t="s">
        <v>56</v>
      </c>
      <c r="B65" s="1295" t="s">
        <v>29</v>
      </c>
      <c r="C65" s="335">
        <v>3</v>
      </c>
      <c r="D65" s="335">
        <v>92670.739337184597</v>
      </c>
      <c r="E65" s="335">
        <v>4</v>
      </c>
      <c r="F65" s="335">
        <v>73951.586406586503</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0</v>
      </c>
      <c r="D68" s="335">
        <v>0</v>
      </c>
      <c r="E68" s="335">
        <v>3</v>
      </c>
      <c r="F68" s="335">
        <v>9112.8474319745001</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19248186</v>
      </c>
      <c r="E73" s="335">
        <v>18248704.372139454</v>
      </c>
    </row>
    <row r="74" spans="1:6">
      <c r="A74" s="1295" t="s">
        <v>64</v>
      </c>
      <c r="B74" s="1295" t="s">
        <v>727</v>
      </c>
      <c r="C74" s="1295" t="s">
        <v>728</v>
      </c>
      <c r="D74" s="335">
        <v>2672393.8764969464</v>
      </c>
      <c r="E74" s="335">
        <v>2715106.9970464073</v>
      </c>
    </row>
    <row r="75" spans="1:6">
      <c r="A75" s="1295" t="s">
        <v>65</v>
      </c>
      <c r="B75" s="1295" t="s">
        <v>725</v>
      </c>
      <c r="C75" s="1295" t="s">
        <v>729</v>
      </c>
      <c r="D75" s="335">
        <v>18479793</v>
      </c>
      <c r="E75" s="335">
        <v>18958117.268815774</v>
      </c>
    </row>
    <row r="76" spans="1:6">
      <c r="A76" s="1295" t="s">
        <v>65</v>
      </c>
      <c r="B76" s="1295" t="s">
        <v>727</v>
      </c>
      <c r="C76" s="1295" t="s">
        <v>730</v>
      </c>
      <c r="D76" s="335">
        <v>1109466.8764969467</v>
      </c>
      <c r="E76" s="335">
        <v>1096495.8496016171</v>
      </c>
    </row>
    <row r="77" spans="1:6">
      <c r="A77" s="1295" t="s">
        <v>66</v>
      </c>
      <c r="B77" s="1295" t="s">
        <v>725</v>
      </c>
      <c r="C77" s="1295" t="s">
        <v>731</v>
      </c>
      <c r="D77" s="335">
        <v>121831854</v>
      </c>
      <c r="E77" s="335">
        <v>139683116.52027205</v>
      </c>
    </row>
    <row r="78" spans="1:6">
      <c r="A78" s="1291" t="s">
        <v>66</v>
      </c>
      <c r="B78" s="1291" t="s">
        <v>727</v>
      </c>
      <c r="C78" s="1291" t="s">
        <v>732</v>
      </c>
      <c r="D78" s="1291">
        <v>28049699</v>
      </c>
      <c r="E78" s="1291">
        <v>31433802.799519308</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303668.24700610683</v>
      </c>
      <c r="C83" s="335">
        <v>303052.78069479234</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1730.5840000000001</v>
      </c>
    </row>
    <row r="92" spans="1:6">
      <c r="A92" s="1291" t="s">
        <v>69</v>
      </c>
      <c r="B92" s="338">
        <v>641.15290000000005</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766</v>
      </c>
    </row>
    <row r="98" spans="1:6">
      <c r="A98" s="1295" t="s">
        <v>72</v>
      </c>
      <c r="B98" s="335">
        <v>0</v>
      </c>
    </row>
    <row r="99" spans="1:6">
      <c r="A99" s="1295" t="s">
        <v>73</v>
      </c>
      <c r="B99" s="335">
        <v>41</v>
      </c>
    </row>
    <row r="100" spans="1:6">
      <c r="A100" s="1295" t="s">
        <v>74</v>
      </c>
      <c r="B100" s="335">
        <v>622</v>
      </c>
    </row>
    <row r="101" spans="1:6">
      <c r="A101" s="1295" t="s">
        <v>75</v>
      </c>
      <c r="B101" s="335">
        <v>45</v>
      </c>
    </row>
    <row r="102" spans="1:6">
      <c r="A102" s="1295" t="s">
        <v>76</v>
      </c>
      <c r="B102" s="335">
        <v>57</v>
      </c>
    </row>
    <row r="103" spans="1:6">
      <c r="A103" s="1295" t="s">
        <v>77</v>
      </c>
      <c r="B103" s="335">
        <v>58</v>
      </c>
    </row>
    <row r="104" spans="1:6">
      <c r="A104" s="1295" t="s">
        <v>78</v>
      </c>
      <c r="B104" s="335">
        <v>2056</v>
      </c>
    </row>
    <row r="105" spans="1:6">
      <c r="A105" s="1291" t="s">
        <v>79</v>
      </c>
      <c r="B105" s="1291">
        <v>4</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1</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5</v>
      </c>
      <c r="C123" s="335">
        <v>12</v>
      </c>
    </row>
    <row r="124" spans="1:6">
      <c r="A124" s="1291" t="s">
        <v>89</v>
      </c>
      <c r="B124" s="335">
        <v>0</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72</v>
      </c>
    </row>
    <row r="130" spans="1:6">
      <c r="A130" s="1295" t="s">
        <v>295</v>
      </c>
      <c r="B130" s="335">
        <v>0</v>
      </c>
    </row>
    <row r="131" spans="1:6">
      <c r="A131" s="1295" t="s">
        <v>296</v>
      </c>
      <c r="B131" s="335">
        <v>1</v>
      </c>
    </row>
    <row r="132" spans="1:6">
      <c r="A132" s="1291" t="s">
        <v>297</v>
      </c>
      <c r="B132" s="338">
        <v>3</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32900.323546068539</v>
      </c>
      <c r="C3" s="43" t="s">
        <v>170</v>
      </c>
      <c r="D3" s="43"/>
      <c r="E3" s="156"/>
      <c r="F3" s="43"/>
      <c r="G3" s="43"/>
      <c r="H3" s="43"/>
      <c r="I3" s="43"/>
      <c r="J3" s="43"/>
      <c r="K3" s="96"/>
    </row>
    <row r="4" spans="1:11">
      <c r="A4" s="366" t="s">
        <v>171</v>
      </c>
      <c r="B4" s="49">
        <f>IF(ISERROR('SEAP template'!B78+'SEAP template'!C78),0,'SEAP template'!B78+'SEAP template'!C78)</f>
        <v>2380.7368999999999</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2.02</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0.20506937080220203</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10.100000000000001</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45</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0.22444444444444447</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915.65700000000004</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915.65700000000004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0.20506937080220203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187.77320486063192</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21373.081800102202</v>
      </c>
      <c r="C5" s="17">
        <f>IF(ISERROR('Eigen informatie GS &amp; warmtenet'!B57),0,'Eigen informatie GS &amp; warmtenet'!B57)</f>
        <v>0</v>
      </c>
      <c r="D5" s="30">
        <f>(SUM(HH_hh_gas_kWh,HH_rest_gas_kWh)/1000)*0.902</f>
        <v>36503.291224998866</v>
      </c>
      <c r="E5" s="17">
        <f>B46*B57</f>
        <v>1409.0672691598195</v>
      </c>
      <c r="F5" s="17">
        <f>B51*B62</f>
        <v>24384.137720791514</v>
      </c>
      <c r="G5" s="18"/>
      <c r="H5" s="17"/>
      <c r="I5" s="17"/>
      <c r="J5" s="17">
        <f>B50*B61+C50*C61</f>
        <v>0</v>
      </c>
      <c r="K5" s="17"/>
      <c r="L5" s="17"/>
      <c r="M5" s="17"/>
      <c r="N5" s="17">
        <f>B48*B59+C48*C59</f>
        <v>5797.8558173981019</v>
      </c>
      <c r="O5" s="17">
        <f>B69*B70*B71</f>
        <v>131.32000000000002</v>
      </c>
      <c r="P5" s="17">
        <f>B77*B78*B79/1000-B77*B78*B79/1000/B80</f>
        <v>152.53333333333333</v>
      </c>
    </row>
    <row r="6" spans="1:16">
      <c r="A6" s="16" t="s">
        <v>634</v>
      </c>
      <c r="B6" s="783">
        <f>kWh_PV_kleiner_dan_10kW</f>
        <v>1730.5840000000001</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23103.665800102201</v>
      </c>
      <c r="C8" s="21">
        <f>C5</f>
        <v>0</v>
      </c>
      <c r="D8" s="21">
        <f>D5</f>
        <v>36503.291224998866</v>
      </c>
      <c r="E8" s="21">
        <f>E5</f>
        <v>1409.0672691598195</v>
      </c>
      <c r="F8" s="21">
        <f>F5</f>
        <v>24384.137720791514</v>
      </c>
      <c r="G8" s="21"/>
      <c r="H8" s="21"/>
      <c r="I8" s="21"/>
      <c r="J8" s="21">
        <f>J5</f>
        <v>0</v>
      </c>
      <c r="K8" s="21"/>
      <c r="L8" s="21">
        <f>L5</f>
        <v>0</v>
      </c>
      <c r="M8" s="21">
        <f>M5</f>
        <v>0</v>
      </c>
      <c r="N8" s="21">
        <f>N5</f>
        <v>5797.8558173981019</v>
      </c>
      <c r="O8" s="21">
        <f>O5</f>
        <v>131.32000000000002</v>
      </c>
      <c r="P8" s="21">
        <f>P5</f>
        <v>152.53333333333333</v>
      </c>
    </row>
    <row r="9" spans="1:16">
      <c r="B9" s="19"/>
      <c r="C9" s="19"/>
      <c r="D9" s="261"/>
      <c r="E9" s="19"/>
      <c r="F9" s="19"/>
      <c r="G9" s="19"/>
      <c r="H9" s="19"/>
      <c r="I9" s="19"/>
      <c r="J9" s="19"/>
      <c r="K9" s="19"/>
      <c r="L9" s="19"/>
      <c r="M9" s="19"/>
      <c r="N9" s="19"/>
      <c r="O9" s="19"/>
      <c r="P9" s="19"/>
    </row>
    <row r="10" spans="1:16">
      <c r="A10" s="24" t="s">
        <v>214</v>
      </c>
      <c r="B10" s="25">
        <f ca="1">'EF ele_warmte'!B12</f>
        <v>0.20506937080220203</v>
      </c>
      <c r="C10" s="25">
        <f ca="1">'EF ele_warmte'!B22</f>
        <v>0.22444444444444447</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4737.8542088513113</v>
      </c>
      <c r="C12" s="23">
        <f ca="1">C10*C8</f>
        <v>0</v>
      </c>
      <c r="D12" s="23">
        <f>D8*D10</f>
        <v>7373.6648274497711</v>
      </c>
      <c r="E12" s="23">
        <f>E10*E8</f>
        <v>319.85827009927903</v>
      </c>
      <c r="F12" s="23">
        <f>F10*F8</f>
        <v>6510.5647714513343</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766</v>
      </c>
      <c r="C18" s="168" t="s">
        <v>111</v>
      </c>
      <c r="D18" s="230"/>
      <c r="E18" s="15"/>
    </row>
    <row r="19" spans="1:7">
      <c r="A19" s="173" t="s">
        <v>72</v>
      </c>
      <c r="B19" s="37">
        <f>aantalw2001_ander</f>
        <v>0</v>
      </c>
      <c r="C19" s="168" t="s">
        <v>111</v>
      </c>
      <c r="D19" s="231"/>
      <c r="E19" s="15"/>
    </row>
    <row r="20" spans="1:7">
      <c r="A20" s="173" t="s">
        <v>73</v>
      </c>
      <c r="B20" s="37">
        <f>aantalw2001_propaan</f>
        <v>41</v>
      </c>
      <c r="C20" s="169">
        <f>IF(ISERROR(B20/SUM($B$20,$B$21,$B$22)*100),0,B20/SUM($B$20,$B$21,$B$22)*100)</f>
        <v>5.7909604519774014</v>
      </c>
      <c r="D20" s="231"/>
      <c r="E20" s="15"/>
    </row>
    <row r="21" spans="1:7">
      <c r="A21" s="173" t="s">
        <v>74</v>
      </c>
      <c r="B21" s="37">
        <f>aantalw2001_elektriciteit</f>
        <v>622</v>
      </c>
      <c r="C21" s="169">
        <f>IF(ISERROR(B21/SUM($B$20,$B$21,$B$22)*100),0,B21/SUM($B$20,$B$21,$B$22)*100)</f>
        <v>87.853107344632761</v>
      </c>
      <c r="D21" s="231"/>
      <c r="E21" s="15"/>
    </row>
    <row r="22" spans="1:7">
      <c r="A22" s="173" t="s">
        <v>75</v>
      </c>
      <c r="B22" s="37">
        <f>aantalw2001_hout</f>
        <v>45</v>
      </c>
      <c r="C22" s="169">
        <f>IF(ISERROR(B22/SUM($B$20,$B$21,$B$22)*100),0,B22/SUM($B$20,$B$21,$B$22)*100)</f>
        <v>6.3559322033898304</v>
      </c>
      <c r="D22" s="231"/>
      <c r="E22" s="15"/>
    </row>
    <row r="23" spans="1:7">
      <c r="A23" s="173" t="s">
        <v>76</v>
      </c>
      <c r="B23" s="37">
        <f>aantalw2001_niet_gespec</f>
        <v>57</v>
      </c>
      <c r="C23" s="168" t="s">
        <v>111</v>
      </c>
      <c r="D23" s="230"/>
      <c r="E23" s="15"/>
    </row>
    <row r="24" spans="1:7">
      <c r="A24" s="173" t="s">
        <v>77</v>
      </c>
      <c r="B24" s="37">
        <f>aantalw2001_steenkool</f>
        <v>58</v>
      </c>
      <c r="C24" s="168" t="s">
        <v>111</v>
      </c>
      <c r="D24" s="231"/>
      <c r="E24" s="15"/>
    </row>
    <row r="25" spans="1:7">
      <c r="A25" s="173" t="s">
        <v>78</v>
      </c>
      <c r="B25" s="37">
        <f>aantalw2001_stookolie</f>
        <v>2056</v>
      </c>
      <c r="C25" s="168" t="s">
        <v>111</v>
      </c>
      <c r="D25" s="230"/>
      <c r="E25" s="52"/>
    </row>
    <row r="26" spans="1:7">
      <c r="A26" s="173" t="s">
        <v>79</v>
      </c>
      <c r="B26" s="37">
        <f>aantalw2001_WP</f>
        <v>4</v>
      </c>
      <c r="C26" s="168" t="s">
        <v>111</v>
      </c>
      <c r="D26" s="230"/>
      <c r="E26" s="15"/>
    </row>
    <row r="27" spans="1:7" s="15" customFormat="1">
      <c r="A27" s="173"/>
      <c r="B27" s="29"/>
      <c r="C27" s="36"/>
      <c r="D27" s="230"/>
    </row>
    <row r="28" spans="1:7" s="15" customFormat="1">
      <c r="A28" s="232" t="s">
        <v>745</v>
      </c>
      <c r="B28" s="37">
        <f>aantalHuishoudens2011</f>
        <v>4119</v>
      </c>
      <c r="C28" s="36"/>
      <c r="D28" s="230"/>
    </row>
    <row r="29" spans="1:7" s="15" customFormat="1">
      <c r="A29" s="232" t="s">
        <v>746</v>
      </c>
      <c r="B29" s="37">
        <f>SUM(HH_hh_gas_aantal,HH_rest_gas_aantal)</f>
        <v>1979</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1979</v>
      </c>
      <c r="C32" s="169">
        <f>IF(ISERROR(B32/SUM($B$32,$B$34,$B$35,$B$36,$B$38,$B$39)*100),0,B32/SUM($B$32,$B$34,$B$35,$B$36,$B$38,$B$39)*100)</f>
        <v>48.139138895645829</v>
      </c>
      <c r="D32" s="235"/>
      <c r="G32" s="15"/>
    </row>
    <row r="33" spans="1:7">
      <c r="A33" s="173" t="s">
        <v>72</v>
      </c>
      <c r="B33" s="34" t="s">
        <v>111</v>
      </c>
      <c r="C33" s="169"/>
      <c r="D33" s="235"/>
      <c r="G33" s="15"/>
    </row>
    <row r="34" spans="1:7">
      <c r="A34" s="173" t="s">
        <v>73</v>
      </c>
      <c r="B34" s="33">
        <f>IF((($B$28-$B$32-$B$39-$B$77-$B$38)*C20/100)&lt;0,0,($B$28-$B$32-$B$39-$B$77-$B$38)*C20/100)</f>
        <v>67.621045197740116</v>
      </c>
      <c r="C34" s="169">
        <f>IF(ISERROR(B34/SUM($B$32,$B$34,$B$35,$B$36,$B$38,$B$39)*100),0,B34/SUM($B$32,$B$34,$B$35,$B$36,$B$38,$B$39)*100)</f>
        <v>1.6448806907745102</v>
      </c>
      <c r="D34" s="235"/>
      <c r="G34" s="15"/>
    </row>
    <row r="35" spans="1:7">
      <c r="A35" s="173" t="s">
        <v>74</v>
      </c>
      <c r="B35" s="33">
        <f>IF((($B$28-$B$32-$B$39-$B$77-$B$38)*C21/100)&lt;0,0,($B$28-$B$32-$B$39-$B$77-$B$38)*C21/100)</f>
        <v>1025.8607344632767</v>
      </c>
      <c r="C35" s="169">
        <f>IF(ISERROR(B35/SUM($B$32,$B$34,$B$35,$B$36,$B$38,$B$39)*100),0,B35/SUM($B$32,$B$34,$B$35,$B$36,$B$38,$B$39)*100)</f>
        <v>24.954043650286469</v>
      </c>
      <c r="D35" s="235"/>
      <c r="G35" s="15"/>
    </row>
    <row r="36" spans="1:7">
      <c r="A36" s="173" t="s">
        <v>75</v>
      </c>
      <c r="B36" s="33">
        <f>IF((($B$28-$B$32-$B$39-$B$77-$B$38)*C22/100)&lt;0,0,($B$28-$B$32-$B$39-$B$77-$B$38)*C22/100)</f>
        <v>74.218220338983059</v>
      </c>
      <c r="C36" s="169">
        <f>IF(ISERROR(B36/SUM($B$32,$B$34,$B$35,$B$36,$B$38,$B$39)*100),0,B36/SUM($B$32,$B$34,$B$35,$B$36,$B$38,$B$39)*100)</f>
        <v>1.805356855728121</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964.3</v>
      </c>
      <c r="C39" s="169">
        <f>IF(ISERROR(B39/SUM($B$32,$B$34,$B$35,$B$36,$B$38,$B$39)*100),0,B39/SUM($B$32,$B$34,$B$35,$B$36,$B$38,$B$39)*100)</f>
        <v>23.456579907565068</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1979</v>
      </c>
      <c r="C44" s="34" t="s">
        <v>111</v>
      </c>
      <c r="D44" s="176"/>
    </row>
    <row r="45" spans="1:7">
      <c r="A45" s="173" t="s">
        <v>72</v>
      </c>
      <c r="B45" s="33" t="str">
        <f t="shared" si="0"/>
        <v>-</v>
      </c>
      <c r="C45" s="34" t="s">
        <v>111</v>
      </c>
      <c r="D45" s="176"/>
    </row>
    <row r="46" spans="1:7">
      <c r="A46" s="173" t="s">
        <v>73</v>
      </c>
      <c r="B46" s="33">
        <f t="shared" si="0"/>
        <v>67.621045197740116</v>
      </c>
      <c r="C46" s="34" t="s">
        <v>111</v>
      </c>
      <c r="D46" s="176"/>
    </row>
    <row r="47" spans="1:7">
      <c r="A47" s="173" t="s">
        <v>74</v>
      </c>
      <c r="B47" s="33">
        <f t="shared" si="0"/>
        <v>1025.8607344632767</v>
      </c>
      <c r="C47" s="34" t="s">
        <v>111</v>
      </c>
      <c r="D47" s="176"/>
    </row>
    <row r="48" spans="1:7">
      <c r="A48" s="173" t="s">
        <v>75</v>
      </c>
      <c r="B48" s="33">
        <f t="shared" si="0"/>
        <v>74.218220338983059</v>
      </c>
      <c r="C48" s="33">
        <f>B48*10</f>
        <v>742.18220338983065</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964.3</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84</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8</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6427.8020255626634</v>
      </c>
      <c r="C5" s="17">
        <f>IF(ISERROR('Eigen informatie GS &amp; warmtenet'!B58),0,'Eigen informatie GS &amp; warmtenet'!B58)</f>
        <v>0</v>
      </c>
      <c r="D5" s="30">
        <f>SUM(D6:D12)</f>
        <v>10094.751172394781</v>
      </c>
      <c r="E5" s="17">
        <f>SUM(E6:E12)</f>
        <v>88.002297994364227</v>
      </c>
      <c r="F5" s="17">
        <f>SUM(F6:F12)</f>
        <v>1220.5778045705558</v>
      </c>
      <c r="G5" s="18"/>
      <c r="H5" s="17"/>
      <c r="I5" s="17"/>
      <c r="J5" s="17">
        <f>SUM(J6:J12)</f>
        <v>0</v>
      </c>
      <c r="K5" s="17"/>
      <c r="L5" s="17"/>
      <c r="M5" s="17"/>
      <c r="N5" s="17">
        <f>SUM(N6:N12)</f>
        <v>197.76765945411131</v>
      </c>
      <c r="O5" s="17">
        <f>B38*B39*B40</f>
        <v>0</v>
      </c>
      <c r="P5" s="17">
        <f>B46*B47*B48/1000-B46*B47*B48/1000/B49</f>
        <v>19.066666666666666</v>
      </c>
      <c r="R5" s="32"/>
    </row>
    <row r="6" spans="1:18">
      <c r="A6" s="32" t="s">
        <v>54</v>
      </c>
      <c r="B6" s="37">
        <f>B26</f>
        <v>2621.4238914522903</v>
      </c>
      <c r="C6" s="33"/>
      <c r="D6" s="37">
        <f>IF(ISERROR(TER_kantoor_gas_kWh/1000),0,TER_kantoor_gas_kWh/1000)*0.902</f>
        <v>4315.6678843463396</v>
      </c>
      <c r="E6" s="33">
        <f>$C$26*'E Balans VL '!I12/100/3.6*1000000</f>
        <v>10.184786806066244</v>
      </c>
      <c r="F6" s="33">
        <f>$C$26*('E Balans VL '!L12+'E Balans VL '!N12)/100/3.6*1000000</f>
        <v>398.69472083421175</v>
      </c>
      <c r="G6" s="34"/>
      <c r="H6" s="33"/>
      <c r="I6" s="33"/>
      <c r="J6" s="33">
        <f>$C$26*('E Balans VL '!D12+'E Balans VL '!E12)/100/3.6*1000000</f>
        <v>0</v>
      </c>
      <c r="K6" s="33"/>
      <c r="L6" s="33"/>
      <c r="M6" s="33"/>
      <c r="N6" s="33">
        <f>$C$26*'E Balans VL '!Y12/100/3.6*1000000</f>
        <v>1.4447186030385912</v>
      </c>
      <c r="O6" s="33"/>
      <c r="P6" s="33"/>
      <c r="R6" s="32"/>
    </row>
    <row r="7" spans="1:18">
      <c r="A7" s="32" t="s">
        <v>53</v>
      </c>
      <c r="B7" s="37">
        <f t="shared" ref="B7:B12" si="0">B27</f>
        <v>751.04544377763693</v>
      </c>
      <c r="C7" s="33"/>
      <c r="D7" s="37">
        <f>IF(ISERROR(TER_horeca_gas_kWh/1000),0,TER_horeca_gas_kWh/1000)*0.902</f>
        <v>691.46710560939607</v>
      </c>
      <c r="E7" s="33">
        <f>$C$27*'E Balans VL '!I9/100/3.6*1000000</f>
        <v>42.306590644277527</v>
      </c>
      <c r="F7" s="33">
        <f>$C$27*('E Balans VL '!L9+'E Balans VL '!N9)/100/3.6*1000000</f>
        <v>216.55654181264998</v>
      </c>
      <c r="G7" s="34"/>
      <c r="H7" s="33"/>
      <c r="I7" s="33"/>
      <c r="J7" s="33">
        <f>$C$27*('E Balans VL '!D9+'E Balans VL '!E9)/100/3.6*1000000</f>
        <v>0</v>
      </c>
      <c r="K7" s="33"/>
      <c r="L7" s="33"/>
      <c r="M7" s="33"/>
      <c r="N7" s="33">
        <f>$C$27*'E Balans VL '!Y9/100/3.6*1000000</f>
        <v>0.20735974422767728</v>
      </c>
      <c r="O7" s="33"/>
      <c r="P7" s="33"/>
      <c r="R7" s="32"/>
    </row>
    <row r="8" spans="1:18">
      <c r="A8" s="6" t="s">
        <v>52</v>
      </c>
      <c r="B8" s="37">
        <f t="shared" si="0"/>
        <v>1265.01469755625</v>
      </c>
      <c r="C8" s="33"/>
      <c r="D8" s="37">
        <f>IF(ISERROR(TER_handel_gas_kWh/1000),0,TER_handel_gas_kWh/1000)*0.902</f>
        <v>876.63197603709409</v>
      </c>
      <c r="E8" s="33">
        <f>$C$28*'E Balans VL '!I13/100/3.6*1000000</f>
        <v>18.23315355972785</v>
      </c>
      <c r="F8" s="33">
        <f>$C$28*('E Balans VL '!L13+'E Balans VL '!N13)/100/3.6*1000000</f>
        <v>219.76251316988589</v>
      </c>
      <c r="G8" s="34"/>
      <c r="H8" s="33"/>
      <c r="I8" s="33"/>
      <c r="J8" s="33">
        <f>$C$28*('E Balans VL '!D13+'E Balans VL '!E13)/100/3.6*1000000</f>
        <v>0</v>
      </c>
      <c r="K8" s="33"/>
      <c r="L8" s="33"/>
      <c r="M8" s="33"/>
      <c r="N8" s="33">
        <f>$C$28*'E Balans VL '!Y13/100/3.6*1000000</f>
        <v>3.7901248582156599</v>
      </c>
      <c r="O8" s="33"/>
      <c r="P8" s="33"/>
      <c r="R8" s="32"/>
    </row>
    <row r="9" spans="1:18">
      <c r="A9" s="32" t="s">
        <v>51</v>
      </c>
      <c r="B9" s="37">
        <f t="shared" si="0"/>
        <v>157.47804294451001</v>
      </c>
      <c r="C9" s="33"/>
      <c r="D9" s="37">
        <f>IF(ISERROR(TER_gezond_gas_kWh/1000),0,TER_gezond_gas_kWh/1000)*0.902</f>
        <v>193.60141618407584</v>
      </c>
      <c r="E9" s="33">
        <f>$C$29*'E Balans VL '!I10/100/3.6*1000000</f>
        <v>0.16822736667451807</v>
      </c>
      <c r="F9" s="33">
        <f>$C$29*('E Balans VL '!L10+'E Balans VL '!N10)/100/3.6*1000000</f>
        <v>25.689454741568113</v>
      </c>
      <c r="G9" s="34"/>
      <c r="H9" s="33"/>
      <c r="I9" s="33"/>
      <c r="J9" s="33">
        <f>$C$29*('E Balans VL '!D10+'E Balans VL '!E10)/100/3.6*1000000</f>
        <v>0</v>
      </c>
      <c r="K9" s="33"/>
      <c r="L9" s="33"/>
      <c r="M9" s="33"/>
      <c r="N9" s="33">
        <f>$C$29*'E Balans VL '!Y10/100/3.6*1000000</f>
        <v>1.6211465969350647</v>
      </c>
      <c r="O9" s="33"/>
      <c r="P9" s="33"/>
      <c r="R9" s="32"/>
    </row>
    <row r="10" spans="1:18">
      <c r="A10" s="32" t="s">
        <v>50</v>
      </c>
      <c r="B10" s="37">
        <f t="shared" si="0"/>
        <v>119.683255353457</v>
      </c>
      <c r="C10" s="33"/>
      <c r="D10" s="37">
        <f>IF(ISERROR(TER_ander_gas_kWh/1000),0,TER_ander_gas_kWh/1000)*0.902</f>
        <v>191.1123059887978</v>
      </c>
      <c r="E10" s="33">
        <f>$C$30*'E Balans VL '!I14/100/3.6*1000000</f>
        <v>0.55040508619597328</v>
      </c>
      <c r="F10" s="33">
        <f>$C$30*('E Balans VL '!L14+'E Balans VL '!N14)/100/3.6*1000000</f>
        <v>35.872846778608896</v>
      </c>
      <c r="G10" s="34"/>
      <c r="H10" s="33"/>
      <c r="I10" s="33"/>
      <c r="J10" s="33">
        <f>$C$30*('E Balans VL '!D14+'E Balans VL '!E14)/100/3.6*1000000</f>
        <v>0</v>
      </c>
      <c r="K10" s="33"/>
      <c r="L10" s="33"/>
      <c r="M10" s="33"/>
      <c r="N10" s="33">
        <f>$C$30*'E Balans VL '!Y14/100/3.6*1000000</f>
        <v>83.307446109690758</v>
      </c>
      <c r="O10" s="33"/>
      <c r="P10" s="33"/>
      <c r="R10" s="32"/>
    </row>
    <row r="11" spans="1:18">
      <c r="A11" s="32" t="s">
        <v>55</v>
      </c>
      <c r="B11" s="37">
        <f t="shared" si="0"/>
        <v>160.21465151586898</v>
      </c>
      <c r="C11" s="33"/>
      <c r="D11" s="37">
        <f>IF(ISERROR(TER_onderwijs_gas_kWh/1000),0,TER_onderwijs_gas_kWh/1000)*0.902</f>
        <v>2075.8013992754841</v>
      </c>
      <c r="E11" s="33">
        <f>$C$31*'E Balans VL '!I11/100/3.6*1000000</f>
        <v>0.14862015891404282</v>
      </c>
      <c r="F11" s="33">
        <f>$C$31*('E Balans VL '!L11+'E Balans VL '!N11)/100/3.6*1000000</f>
        <v>56.279724808500866</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1352.94204296265</v>
      </c>
      <c r="C12" s="33"/>
      <c r="D12" s="37">
        <f>IF(ISERROR(TER_rest_gas_kWh/1000),0,TER_rest_gas_kWh/1000)*0.902</f>
        <v>1750.4690849535934</v>
      </c>
      <c r="E12" s="33">
        <f>$C$32*'E Balans VL '!I8/100/3.6*1000000</f>
        <v>16.410514372508072</v>
      </c>
      <c r="F12" s="33">
        <f>$C$32*('E Balans VL '!L8+'E Balans VL '!N8)/100/3.6*1000000</f>
        <v>267.72200242513048</v>
      </c>
      <c r="G12" s="34"/>
      <c r="H12" s="33"/>
      <c r="I12" s="33"/>
      <c r="J12" s="33">
        <f>$C$32*('E Balans VL '!D8+'E Balans VL '!E8)/100/3.6*1000000</f>
        <v>0</v>
      </c>
      <c r="K12" s="33"/>
      <c r="L12" s="33"/>
      <c r="M12" s="33"/>
      <c r="N12" s="33">
        <f>$C$32*'E Balans VL '!Y8/100/3.6*1000000</f>
        <v>107.39686354200357</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6427.8020255626634</v>
      </c>
      <c r="C16" s="21">
        <f t="shared" ca="1" si="1"/>
        <v>0</v>
      </c>
      <c r="D16" s="21">
        <f t="shared" ca="1" si="1"/>
        <v>10094.751172394781</v>
      </c>
      <c r="E16" s="21">
        <f t="shared" si="1"/>
        <v>88.002297994364227</v>
      </c>
      <c r="F16" s="21">
        <f t="shared" ca="1" si="1"/>
        <v>1220.5778045705558</v>
      </c>
      <c r="G16" s="21">
        <f t="shared" si="1"/>
        <v>0</v>
      </c>
      <c r="H16" s="21">
        <f t="shared" si="1"/>
        <v>0</v>
      </c>
      <c r="I16" s="21">
        <f t="shared" si="1"/>
        <v>0</v>
      </c>
      <c r="J16" s="21">
        <f t="shared" si="1"/>
        <v>0</v>
      </c>
      <c r="K16" s="21">
        <f t="shared" si="1"/>
        <v>0</v>
      </c>
      <c r="L16" s="21">
        <f t="shared" ca="1" si="1"/>
        <v>0</v>
      </c>
      <c r="M16" s="21">
        <f t="shared" si="1"/>
        <v>0</v>
      </c>
      <c r="N16" s="21">
        <f t="shared" ca="1" si="1"/>
        <v>197.76765945411131</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0.20506937080220203</v>
      </c>
      <c r="C18" s="25">
        <f ca="1">'EF ele_warmte'!B22</f>
        <v>0.22444444444444447</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1318.1453170232551</v>
      </c>
      <c r="C20" s="23">
        <f t="shared" ref="C20:P20" ca="1" si="2">C16*C18</f>
        <v>0</v>
      </c>
      <c r="D20" s="23">
        <f t="shared" ca="1" si="2"/>
        <v>2039.1397368237458</v>
      </c>
      <c r="E20" s="23">
        <f t="shared" si="2"/>
        <v>19.97652164472068</v>
      </c>
      <c r="F20" s="23">
        <f t="shared" ca="1" si="2"/>
        <v>325.89427382033841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2621.4238914522903</v>
      </c>
      <c r="C26" s="39">
        <f>IF(ISERROR(B26*3.6/1000000/'E Balans VL '!Z12*100),0,B26*3.6/1000000/'E Balans VL '!Z12*100)</f>
        <v>5.5680341939041783E-2</v>
      </c>
      <c r="D26" s="239" t="s">
        <v>692</v>
      </c>
      <c r="F26" s="6"/>
    </row>
    <row r="27" spans="1:18">
      <c r="A27" s="233" t="s">
        <v>53</v>
      </c>
      <c r="B27" s="33">
        <f>IF(ISERROR(TER_horeca_ele_kWh/1000),0,TER_horeca_ele_kWh/1000)</f>
        <v>751.04544377763693</v>
      </c>
      <c r="C27" s="39">
        <f>IF(ISERROR(B27*3.6/1000000/'E Balans VL '!Z9*100),0,B27*3.6/1000000/'E Balans VL '!Z9*100)</f>
        <v>5.8398357179267564E-2</v>
      </c>
      <c r="D27" s="239" t="s">
        <v>692</v>
      </c>
      <c r="F27" s="6"/>
    </row>
    <row r="28" spans="1:18">
      <c r="A28" s="173" t="s">
        <v>52</v>
      </c>
      <c r="B28" s="33">
        <f>IF(ISERROR(TER_handel_ele_kWh/1000),0,TER_handel_ele_kWh/1000)</f>
        <v>1265.01469755625</v>
      </c>
      <c r="C28" s="39">
        <f>IF(ISERROR(B28*3.6/1000000/'E Balans VL '!Z13*100),0,B28*3.6/1000000/'E Balans VL '!Z13*100)</f>
        <v>3.6193559270453771E-2</v>
      </c>
      <c r="D28" s="239" t="s">
        <v>692</v>
      </c>
      <c r="F28" s="6"/>
    </row>
    <row r="29" spans="1:18">
      <c r="A29" s="233" t="s">
        <v>51</v>
      </c>
      <c r="B29" s="33">
        <f>IF(ISERROR(TER_gezond_ele_kWh/1000),0,TER_gezond_ele_kWh/1000)</f>
        <v>157.47804294451001</v>
      </c>
      <c r="C29" s="39">
        <f>IF(ISERROR(B29*3.6/1000000/'E Balans VL '!Z10*100),0,B29*3.6/1000000/'E Balans VL '!Z10*100)</f>
        <v>1.7168766031796994E-2</v>
      </c>
      <c r="D29" s="239" t="s">
        <v>692</v>
      </c>
      <c r="F29" s="6"/>
    </row>
    <row r="30" spans="1:18">
      <c r="A30" s="233" t="s">
        <v>50</v>
      </c>
      <c r="B30" s="33">
        <f>IF(ISERROR(TER_ander_ele_kWh/1000),0,TER_ander_ele_kWh/1000)</f>
        <v>119.683255353457</v>
      </c>
      <c r="C30" s="39">
        <f>IF(ISERROR(B30*3.6/1000000/'E Balans VL '!Z14*100),0,B30*3.6/1000000/'E Balans VL '!Z14*100)</f>
        <v>8.7581491317371262E-3</v>
      </c>
      <c r="D30" s="239" t="s">
        <v>692</v>
      </c>
      <c r="F30" s="6"/>
    </row>
    <row r="31" spans="1:18">
      <c r="A31" s="233" t="s">
        <v>55</v>
      </c>
      <c r="B31" s="33">
        <f>IF(ISERROR(TER_onderwijs_ele_kWh/1000),0,TER_onderwijs_ele_kWh/1000)</f>
        <v>160.21465151586898</v>
      </c>
      <c r="C31" s="39">
        <f>IF(ISERROR(B31*3.6/1000000/'E Balans VL '!Z11*100),0,B31*3.6/1000000/'E Balans VL '!Z11*100)</f>
        <v>3.2179231729081853E-2</v>
      </c>
      <c r="D31" s="239" t="s">
        <v>692</v>
      </c>
    </row>
    <row r="32" spans="1:18">
      <c r="A32" s="233" t="s">
        <v>260</v>
      </c>
      <c r="B32" s="33">
        <f>IF(ISERROR(TER_rest_ele_kWh/1000),0,TER_rest_ele_kWh/1000)</f>
        <v>1352.94204296265</v>
      </c>
      <c r="C32" s="39">
        <f>IF(ISERROR(B32*3.6/1000000/'E Balans VL '!Z8*100),0,B32*3.6/1000000/'E Balans VL '!Z8*100)</f>
        <v>1.1025656591337061E-2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1</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1227.7473250852781</v>
      </c>
      <c r="C5" s="17">
        <f>IF(ISERROR('Eigen informatie GS &amp; warmtenet'!B59),0,'Eigen informatie GS &amp; warmtenet'!B59)</f>
        <v>0</v>
      </c>
      <c r="D5" s="30">
        <f>SUM(D6:D15)</f>
        <v>710.76764364206576</v>
      </c>
      <c r="E5" s="17">
        <f>SUM(E6:E15)</f>
        <v>201.15583148338814</v>
      </c>
      <c r="F5" s="17">
        <f>SUM(F6:F15)</f>
        <v>1005.1585926574505</v>
      </c>
      <c r="G5" s="18"/>
      <c r="H5" s="17"/>
      <c r="I5" s="17"/>
      <c r="J5" s="17">
        <f>SUM(J6:J15)</f>
        <v>0.72575049338279962</v>
      </c>
      <c r="K5" s="17"/>
      <c r="L5" s="17"/>
      <c r="M5" s="17"/>
      <c r="N5" s="17">
        <f>SUM(N6:N15)</f>
        <v>351.97722577572165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572.49504705884101</v>
      </c>
      <c r="C9" s="33"/>
      <c r="D9" s="37">
        <f>IF( ISERROR(IND_andere_gas_kWh/1000),0,IND_andere_gas_kWh/1000)*0.902</f>
        <v>321.2202819675299</v>
      </c>
      <c r="E9" s="33">
        <f>C31*'E Balans VL '!I19/100/3.6*1000000</f>
        <v>154.96033327995124</v>
      </c>
      <c r="F9" s="33">
        <f>C31*'E Balans VL '!L19/100/3.6*1000000+C31*'E Balans VL '!N19/100/3.6*1000000</f>
        <v>381.34228397228793</v>
      </c>
      <c r="G9" s="34"/>
      <c r="H9" s="33"/>
      <c r="I9" s="33"/>
      <c r="J9" s="40">
        <f>C31*'E Balans VL '!D19/100/3.6*1000000+C31*'E Balans VL '!E19/100/3.6*1000000</f>
        <v>0</v>
      </c>
      <c r="K9" s="33"/>
      <c r="L9" s="33"/>
      <c r="M9" s="33"/>
      <c r="N9" s="33">
        <f>C31*'E Balans VL '!Y19/100/3.6*1000000</f>
        <v>186.91012290782299</v>
      </c>
      <c r="O9" s="33"/>
      <c r="P9" s="33"/>
      <c r="R9" s="32"/>
    </row>
    <row r="10" spans="1:18">
      <c r="A10" s="6" t="s">
        <v>41</v>
      </c>
      <c r="B10" s="37">
        <f t="shared" si="0"/>
        <v>374.02523619825399</v>
      </c>
      <c r="C10" s="33"/>
      <c r="D10" s="37">
        <f>IF( ISERROR(IND_voed_gas_kWh/1000),0,IND_voed_gas_kWh/1000)*0.902</f>
        <v>0</v>
      </c>
      <c r="E10" s="33">
        <f>C32*'E Balans VL '!I20/100/3.6*1000000</f>
        <v>30.506357564949603</v>
      </c>
      <c r="F10" s="33">
        <f>C32*'E Balans VL '!L20/100/3.6*1000000+C32*'E Balans VL '!N20/100/3.6*1000000</f>
        <v>557.70556171441308</v>
      </c>
      <c r="G10" s="34"/>
      <c r="H10" s="33"/>
      <c r="I10" s="33"/>
      <c r="J10" s="40">
        <f>C32*'E Balans VL '!D20/100/3.6*1000000+C32*'E Balans VL '!E20/100/3.6*1000000</f>
        <v>4.9478998691713022E-3</v>
      </c>
      <c r="K10" s="33"/>
      <c r="L10" s="33"/>
      <c r="M10" s="33"/>
      <c r="N10" s="33">
        <f>C32*'E Balans VL '!Y20/100/3.6*1000000</f>
        <v>109.87541646756588</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281.22704182818302</v>
      </c>
      <c r="C15" s="33"/>
      <c r="D15" s="37">
        <f>IF( ISERROR(IND_rest_gas_kWh/1000),0,IND_rest_gas_kWh/1000)*0.902</f>
        <v>389.54736167453586</v>
      </c>
      <c r="E15" s="33">
        <f>C37*'E Balans VL '!I15/100/3.6*1000000</f>
        <v>15.689140638487277</v>
      </c>
      <c r="F15" s="33">
        <f>C37*'E Balans VL '!L15/100/3.6*1000000+C37*'E Balans VL '!N15/100/3.6*1000000</f>
        <v>66.110746970749489</v>
      </c>
      <c r="G15" s="34"/>
      <c r="H15" s="33"/>
      <c r="I15" s="33"/>
      <c r="J15" s="40">
        <f>C37*'E Balans VL '!D15/100/3.6*1000000+C37*'E Balans VL '!E15/100/3.6*1000000</f>
        <v>0.7208025935136283</v>
      </c>
      <c r="K15" s="33"/>
      <c r="L15" s="33"/>
      <c r="M15" s="33"/>
      <c r="N15" s="33">
        <f>C37*'E Balans VL '!Y15/100/3.6*1000000</f>
        <v>55.191686400332742</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1227.7473250852781</v>
      </c>
      <c r="C18" s="21">
        <f>C5+C16</f>
        <v>0</v>
      </c>
      <c r="D18" s="21">
        <f>MAX((D5+D16),0)</f>
        <v>710.76764364206576</v>
      </c>
      <c r="E18" s="21">
        <f>MAX((E5+E16),0)</f>
        <v>201.15583148338814</v>
      </c>
      <c r="F18" s="21">
        <f>MAX((F5+F16),0)</f>
        <v>1005.1585926574505</v>
      </c>
      <c r="G18" s="21"/>
      <c r="H18" s="21"/>
      <c r="I18" s="21"/>
      <c r="J18" s="21">
        <f>MAX((J5+J16),0)</f>
        <v>0.72575049338279962</v>
      </c>
      <c r="K18" s="21"/>
      <c r="L18" s="21">
        <f>MAX((L5+L16),0)</f>
        <v>0</v>
      </c>
      <c r="M18" s="21"/>
      <c r="N18" s="21">
        <f>MAX((N5+N16),0)</f>
        <v>351.97722577572165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0.20506937080220203</v>
      </c>
      <c r="C20" s="25">
        <f ca="1">'EF ele_warmte'!B22</f>
        <v>0.22444444444444447</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251.77337145932458</v>
      </c>
      <c r="C22" s="23">
        <f ca="1">C18*C20</f>
        <v>0</v>
      </c>
      <c r="D22" s="23">
        <f>D18*D20</f>
        <v>143.57506401569728</v>
      </c>
      <c r="E22" s="23">
        <f>E18*E20</f>
        <v>45.662373746729109</v>
      </c>
      <c r="F22" s="23">
        <f>F18*F20</f>
        <v>268.3773442395393</v>
      </c>
      <c r="G22" s="23"/>
      <c r="H22" s="23"/>
      <c r="I22" s="23"/>
      <c r="J22" s="23">
        <f>J18*J20</f>
        <v>0.25691567465751103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0</v>
      </c>
      <c r="C30" s="39">
        <f>IF(ISERROR(B30*3.6/1000000/'E Balans VL '!Z18*100),0,B30*3.6/1000000/'E Balans VL '!Z18*100)</f>
        <v>0</v>
      </c>
      <c r="D30" s="239" t="s">
        <v>692</v>
      </c>
    </row>
    <row r="31" spans="1:18">
      <c r="A31" s="6" t="s">
        <v>33</v>
      </c>
      <c r="B31" s="37">
        <f>IF( ISERROR(IND_ander_ele_kWh/1000),0,IND_ander_ele_kWh/1000)</f>
        <v>572.49504705884101</v>
      </c>
      <c r="C31" s="39">
        <f>IF(ISERROR(B31*3.6/1000000/'E Balans VL '!Z19*100),0,B31*3.6/1000000/'E Balans VL '!Z19*100)</f>
        <v>2.4931702624612032E-2</v>
      </c>
      <c r="D31" s="239" t="s">
        <v>692</v>
      </c>
    </row>
    <row r="32" spans="1:18">
      <c r="A32" s="173" t="s">
        <v>41</v>
      </c>
      <c r="B32" s="37">
        <f>IF( ISERROR(IND_voed_ele_kWh/1000),0,IND_voed_ele_kWh/1000)</f>
        <v>374.02523619825399</v>
      </c>
      <c r="C32" s="39">
        <f>IF(ISERROR(B32*3.6/1000000/'E Balans VL '!Z20*100),0,B32*3.6/1000000/'E Balans VL '!Z20*100)</f>
        <v>7.09658945379123E-2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281.22704182818302</v>
      </c>
      <c r="C37" s="39">
        <f>IF(ISERROR(B37*3.6/1000000/'E Balans VL '!Z15*100),0,B37*3.6/1000000/'E Balans VL '!Z15*100)</f>
        <v>2.1671997752940272E-3</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490.71557578757415</v>
      </c>
      <c r="C5" s="17">
        <f>'Eigen informatie GS &amp; warmtenet'!B60</f>
        <v>0</v>
      </c>
      <c r="D5" s="30">
        <f>IF(ISERROR(SUM(LB_lb_gas_kWh,LB_rest_gas_kWh)/1000),0,SUM(LB_lb_gas_kWh,LB_rest_gas_kWh)/1000)*0.902</f>
        <v>1240.3485962856089</v>
      </c>
      <c r="E5" s="17">
        <f>B17*'E Balans VL '!I25/3.6*1000000/100</f>
        <v>6.183648425118256</v>
      </c>
      <c r="F5" s="17">
        <f>B17*('E Balans VL '!L25/3.6*1000000+'E Balans VL '!N25/3.6*1000000)/100</f>
        <v>1693.0916680643297</v>
      </c>
      <c r="G5" s="18"/>
      <c r="H5" s="17"/>
      <c r="I5" s="17"/>
      <c r="J5" s="17">
        <f>('E Balans VL '!D25+'E Balans VL '!E25)/3.6*1000000*landbouw!B17/100</f>
        <v>73.798044340660638</v>
      </c>
      <c r="K5" s="17"/>
      <c r="L5" s="17">
        <f>L6*(-1)</f>
        <v>0</v>
      </c>
      <c r="M5" s="17"/>
      <c r="N5" s="17">
        <f>N6*(-1)</f>
        <v>0</v>
      </c>
      <c r="O5" s="17"/>
      <c r="P5" s="17"/>
      <c r="R5" s="32"/>
    </row>
    <row r="6" spans="1:18">
      <c r="A6" s="16" t="s">
        <v>497</v>
      </c>
      <c r="B6" s="17" t="s">
        <v>211</v>
      </c>
      <c r="C6" s="17">
        <f>'lokale energieproductie'!O92+'lokale energieproductie'!O61</f>
        <v>45</v>
      </c>
      <c r="D6" s="312">
        <f>('lokale energieproductie'!P61+'lokale energieproductie'!P92)*(-1)</f>
        <v>-60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490.71557578757415</v>
      </c>
      <c r="C8" s="21">
        <f>C5+C6</f>
        <v>45</v>
      </c>
      <c r="D8" s="21">
        <f>MAX((D5+D6),0)</f>
        <v>1180.3485962856089</v>
      </c>
      <c r="E8" s="21">
        <f>MAX((E5+E6),0)</f>
        <v>6.183648425118256</v>
      </c>
      <c r="F8" s="21">
        <f>MAX((F5+F6),0)</f>
        <v>1693.0916680643297</v>
      </c>
      <c r="G8" s="21"/>
      <c r="H8" s="21"/>
      <c r="I8" s="21"/>
      <c r="J8" s="21">
        <f>MAX((J5+J6),0)</f>
        <v>73.798044340660638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0.20506937080220203</v>
      </c>
      <c r="C10" s="31">
        <f ca="1">'EF ele_warmte'!B22</f>
        <v>0.22444444444444447</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100.63073436959812</v>
      </c>
      <c r="C12" s="23">
        <f ca="1">C8*C10</f>
        <v>10.100000000000001</v>
      </c>
      <c r="D12" s="23">
        <f>D8*D10</f>
        <v>238.43041644969301</v>
      </c>
      <c r="E12" s="23">
        <f>E8*E10</f>
        <v>1.4036881925018441</v>
      </c>
      <c r="F12" s="23">
        <f>F8*F10</f>
        <v>452.05547537317608</v>
      </c>
      <c r="G12" s="23"/>
      <c r="H12" s="23"/>
      <c r="I12" s="23"/>
      <c r="J12" s="23">
        <f>J8*J10</f>
        <v>26.124507696593863</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6.8439356365188386E-2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98.420245729463232</v>
      </c>
      <c r="C26" s="249">
        <f>B26*'GWP N2O_CH4'!B5</f>
        <v>2066.8251603187277</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24.634431030481124</v>
      </c>
      <c r="C27" s="249">
        <f>B27*'GWP N2O_CH4'!B5</f>
        <v>517.32305164010359</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1.170876654099233</v>
      </c>
      <c r="C28" s="249">
        <f>B28*'GWP N2O_CH4'!B4</f>
        <v>362.97176277076221</v>
      </c>
      <c r="D28" s="50"/>
    </row>
    <row r="29" spans="1:4">
      <c r="A29" s="41" t="s">
        <v>277</v>
      </c>
      <c r="B29" s="249">
        <f>B34*'ha_N2O bodem landbouw'!B4</f>
        <v>5.0035642907699298</v>
      </c>
      <c r="C29" s="249">
        <f>B29*'GWP N2O_CH4'!B4</f>
        <v>1551.1049301386784</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1.2493400063954309E-3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3.1365347413949932E-5</v>
      </c>
      <c r="C5" s="448" t="s">
        <v>211</v>
      </c>
      <c r="D5" s="433">
        <f>SUM(D6:D11)</f>
        <v>4.9937095282195131E-5</v>
      </c>
      <c r="E5" s="433">
        <f>SUM(E6:E11)</f>
        <v>1.8225377765622444E-3</v>
      </c>
      <c r="F5" s="446" t="s">
        <v>211</v>
      </c>
      <c r="G5" s="433">
        <f>SUM(G6:G11)</f>
        <v>0.59258020627514019</v>
      </c>
      <c r="H5" s="433">
        <f>SUM(H6:H11)</f>
        <v>7.742271523870653E-2</v>
      </c>
      <c r="I5" s="448" t="s">
        <v>211</v>
      </c>
      <c r="J5" s="448" t="s">
        <v>211</v>
      </c>
      <c r="K5" s="448" t="s">
        <v>211</v>
      </c>
      <c r="L5" s="448" t="s">
        <v>211</v>
      </c>
      <c r="M5" s="433">
        <f>SUM(M6:M11)</f>
        <v>3.0272806650460067E-2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3.7836968717454556E-6</v>
      </c>
      <c r="C6" s="887"/>
      <c r="D6" s="887">
        <f>vkm_2011_GW_PW*SUMIFS(TableVerdeelsleutelVkm[CNG],TableVerdeelsleutelVkm[Voertuigtype],"Lichte voertuigen")*SUMIFS(TableECFTransport[EnergieConsumptieFactor (PJ per km)],TableECFTransport[Index],CONCATENATE($A6,"_CNG_CNG"))</f>
        <v>5.358454788150618E-6</v>
      </c>
      <c r="E6" s="887">
        <f>vkm_2011_GW_PW*SUMIFS(TableVerdeelsleutelVkm[LPG],TableVerdeelsleutelVkm[Voertuigtype],"Lichte voertuigen")*SUMIFS(TableECFTransport[EnergieConsumptieFactor (PJ per km)],TableECFTransport[Index],CONCATENATE($A6,"_LPG_LPG"))</f>
        <v>1.6829142439693553E-4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3.0246577126515278E-2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8.1048137232333783E-3</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1.7351394652694526E-3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2.5226725730562224E-2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8.9627941325946073E-6</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1.1384022951400326E-3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3.6326506281996427E-6</v>
      </c>
      <c r="C8" s="887"/>
      <c r="D8" s="436">
        <f>vkm_2011_NGW_PW*SUMIFS(TableVerdeelsleutelVkm[CNG],TableVerdeelsleutelVkm[Voertuigtype],"Lichte voertuigen")*SUMIFS(TableECFTransport[EnergieConsumptieFactor (PJ per km)],TableECFTransport[Index],CONCATENATE($A8,"_CNG_CNG"))</f>
        <v>9.1650924385946896E-6</v>
      </c>
      <c r="E8" s="436">
        <f>vkm_2011_NGW_PW*SUMIFS(TableVerdeelsleutelVkm[LPG],TableVerdeelsleutelVkm[Voertuigtype],"Lichte voertuigen")*SUMIFS(TableECFTransport[EnergieConsumptieFactor (PJ per km)],TableECFTransport[Index],CONCATENATE($A8,"_LPG_LPG"))</f>
        <v>2.6512551663465271E-4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4.4941345990806174E-2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1.3375910630913911E-2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2.6391189754500334E-3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1.3359834614395608E-2</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4.4916749423055913E-6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6.0287539491160765E-4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2.3948999914004835E-5</v>
      </c>
      <c r="C10" s="887"/>
      <c r="D10" s="436">
        <f>vkm_2011_SW_PW*SUMIFS(TableVerdeelsleutelVkm[CNG],TableVerdeelsleutelVkm[Voertuigtype],"Lichte voertuigen")*SUMIFS(TableECFTransport[EnergieConsumptieFactor (PJ per km)],TableECFTransport[Index],CONCATENATE($A10,"_CNG_CNG"))</f>
        <v>3.541354805544982E-5</v>
      </c>
      <c r="E10" s="436">
        <f>vkm_2011_SW_PW*SUMIFS(TableVerdeelsleutelVkm[LPG],TableVerdeelsleutelVkm[Voertuigtype],"Lichte voertuigen")*SUMIFS(TableECFTransport[EnergieConsumptieFactor (PJ per km)],TableECFTransport[Index],CONCATENATE($A10,"_LPG_LPG"))</f>
        <v>1.3891208355306561E-3</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0.22610803437461996</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5.5831716827267813E-2</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1.2753501635941532E-2</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0.25269768843824097</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9.6819588216531739E-5</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1.1403768883747408E-2</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8.7125965038749822</v>
      </c>
      <c r="C14" s="21"/>
      <c r="D14" s="21">
        <f t="shared" ref="D14:M14" si="0">((D5)*10^9/3600)+D12</f>
        <v>13.871415356165313</v>
      </c>
      <c r="E14" s="21">
        <f t="shared" si="0"/>
        <v>506.26049348951233</v>
      </c>
      <c r="F14" s="21"/>
      <c r="G14" s="21">
        <f t="shared" si="0"/>
        <v>164605.6128542056</v>
      </c>
      <c r="H14" s="21">
        <f t="shared" si="0"/>
        <v>21506.30978852959</v>
      </c>
      <c r="I14" s="21"/>
      <c r="J14" s="21"/>
      <c r="K14" s="21"/>
      <c r="L14" s="21"/>
      <c r="M14" s="21">
        <f t="shared" si="0"/>
        <v>8409.1129584611299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0.20506937080220203</v>
      </c>
      <c r="C16" s="56">
        <f ca="1">'EF ele_warmte'!B22</f>
        <v>0.22444444444444447</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1.7866866831031076</v>
      </c>
      <c r="C18" s="23"/>
      <c r="D18" s="23">
        <f t="shared" ref="D18:M18" si="1">D14*D16</f>
        <v>2.8020259019453935</v>
      </c>
      <c r="E18" s="23">
        <f t="shared" si="1"/>
        <v>114.92113202211931</v>
      </c>
      <c r="F18" s="23"/>
      <c r="G18" s="23">
        <f t="shared" si="1"/>
        <v>43949.698632072897</v>
      </c>
      <c r="H18" s="23">
        <f t="shared" si="1"/>
        <v>5355.071137343868</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3.9617921319705729E-3</v>
      </c>
      <c r="H50" s="323">
        <f t="shared" si="2"/>
        <v>0</v>
      </c>
      <c r="I50" s="323">
        <f t="shared" si="2"/>
        <v>0</v>
      </c>
      <c r="J50" s="323">
        <f t="shared" si="2"/>
        <v>0</v>
      </c>
      <c r="K50" s="323">
        <f t="shared" si="2"/>
        <v>0</v>
      </c>
      <c r="L50" s="323">
        <f t="shared" si="2"/>
        <v>0</v>
      </c>
      <c r="M50" s="323">
        <f t="shared" si="2"/>
        <v>1.7619058632099469E-4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3.9617921319705729E-3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1.7619058632099469E-4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1100.4978144362701</v>
      </c>
      <c r="H54" s="21">
        <f t="shared" si="3"/>
        <v>0</v>
      </c>
      <c r="I54" s="21">
        <f t="shared" si="3"/>
        <v>0</v>
      </c>
      <c r="J54" s="21">
        <f t="shared" si="3"/>
        <v>0</v>
      </c>
      <c r="K54" s="21">
        <f t="shared" si="3"/>
        <v>0</v>
      </c>
      <c r="L54" s="21">
        <f t="shared" si="3"/>
        <v>0</v>
      </c>
      <c r="M54" s="21">
        <f t="shared" si="3"/>
        <v>48.941829533609635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0.20506937080220203</v>
      </c>
      <c r="C56" s="56">
        <f ca="1">'EF ele_warmte'!B22</f>
        <v>0.22444444444444447</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293.83291645448412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7343.4590255626636</v>
      </c>
      <c r="D10" s="690">
        <f ca="1">tertiair!C16</f>
        <v>0</v>
      </c>
      <c r="E10" s="690">
        <f ca="1">tertiair!D16</f>
        <v>10094.751172394781</v>
      </c>
      <c r="F10" s="690">
        <f>tertiair!E16</f>
        <v>88.002297994364227</v>
      </c>
      <c r="G10" s="690">
        <f ca="1">tertiair!F16</f>
        <v>1220.5778045705558</v>
      </c>
      <c r="H10" s="690">
        <f>tertiair!G16</f>
        <v>0</v>
      </c>
      <c r="I10" s="690">
        <f>tertiair!H16</f>
        <v>0</v>
      </c>
      <c r="J10" s="690">
        <f>tertiair!I16</f>
        <v>0</v>
      </c>
      <c r="K10" s="690">
        <f>tertiair!J16</f>
        <v>0</v>
      </c>
      <c r="L10" s="690">
        <f>tertiair!K16</f>
        <v>0</v>
      </c>
      <c r="M10" s="690">
        <f ca="1">tertiair!L16</f>
        <v>0</v>
      </c>
      <c r="N10" s="690">
        <f>tertiair!M16</f>
        <v>0</v>
      </c>
      <c r="O10" s="690">
        <f ca="1">tertiair!N16</f>
        <v>197.76765945411131</v>
      </c>
      <c r="P10" s="690">
        <f>tertiair!O16</f>
        <v>0</v>
      </c>
      <c r="Q10" s="691">
        <f>tertiair!P16</f>
        <v>19.066666666666666</v>
      </c>
      <c r="R10" s="693">
        <f ca="1">SUM(C10:Q10)</f>
        <v>18963.624626643141</v>
      </c>
      <c r="S10" s="67"/>
    </row>
    <row r="11" spans="1:19" s="458" customFormat="1">
      <c r="A11" s="805" t="s">
        <v>225</v>
      </c>
      <c r="B11" s="810"/>
      <c r="C11" s="690">
        <f>huishoudens!B8</f>
        <v>23103.665800102201</v>
      </c>
      <c r="D11" s="690">
        <f>huishoudens!C8</f>
        <v>0</v>
      </c>
      <c r="E11" s="690">
        <f>huishoudens!D8</f>
        <v>36503.291224998866</v>
      </c>
      <c r="F11" s="690">
        <f>huishoudens!E8</f>
        <v>1409.0672691598195</v>
      </c>
      <c r="G11" s="690">
        <f>huishoudens!F8</f>
        <v>24384.137720791514</v>
      </c>
      <c r="H11" s="690">
        <f>huishoudens!G8</f>
        <v>0</v>
      </c>
      <c r="I11" s="690">
        <f>huishoudens!H8</f>
        <v>0</v>
      </c>
      <c r="J11" s="690">
        <f>huishoudens!I8</f>
        <v>0</v>
      </c>
      <c r="K11" s="690">
        <f>huishoudens!J8</f>
        <v>0</v>
      </c>
      <c r="L11" s="690">
        <f>huishoudens!K8</f>
        <v>0</v>
      </c>
      <c r="M11" s="690">
        <f>huishoudens!L8</f>
        <v>0</v>
      </c>
      <c r="N11" s="690">
        <f>huishoudens!M8</f>
        <v>0</v>
      </c>
      <c r="O11" s="690">
        <f>huishoudens!N8</f>
        <v>5797.8558173981019</v>
      </c>
      <c r="P11" s="690">
        <f>huishoudens!O8</f>
        <v>131.32000000000002</v>
      </c>
      <c r="Q11" s="691">
        <f>huishoudens!P8</f>
        <v>152.53333333333333</v>
      </c>
      <c r="R11" s="693">
        <f>SUM(C11:Q11)</f>
        <v>91481.871165783843</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1227.7473250852781</v>
      </c>
      <c r="D13" s="690">
        <f>industrie!C18</f>
        <v>0</v>
      </c>
      <c r="E13" s="690">
        <f>industrie!D18</f>
        <v>710.76764364206576</v>
      </c>
      <c r="F13" s="690">
        <f>industrie!E18</f>
        <v>201.15583148338814</v>
      </c>
      <c r="G13" s="690">
        <f>industrie!F18</f>
        <v>1005.1585926574505</v>
      </c>
      <c r="H13" s="690">
        <f>industrie!G18</f>
        <v>0</v>
      </c>
      <c r="I13" s="690">
        <f>industrie!H18</f>
        <v>0</v>
      </c>
      <c r="J13" s="690">
        <f>industrie!I18</f>
        <v>0</v>
      </c>
      <c r="K13" s="690">
        <f>industrie!J18</f>
        <v>0.72575049338279962</v>
      </c>
      <c r="L13" s="690">
        <f>industrie!K18</f>
        <v>0</v>
      </c>
      <c r="M13" s="690">
        <f>industrie!L18</f>
        <v>0</v>
      </c>
      <c r="N13" s="690">
        <f>industrie!M18</f>
        <v>0</v>
      </c>
      <c r="O13" s="690">
        <f>industrie!N18</f>
        <v>351.97722577572165</v>
      </c>
      <c r="P13" s="690">
        <f>industrie!O18</f>
        <v>0</v>
      </c>
      <c r="Q13" s="691">
        <f>industrie!P18</f>
        <v>0</v>
      </c>
      <c r="R13" s="693">
        <f>SUM(C13:Q13)</f>
        <v>3497.5323691372869</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31674.872150750143</v>
      </c>
      <c r="D16" s="725">
        <f t="shared" ref="D16:R16" ca="1" si="0">SUM(D9:D15)</f>
        <v>0</v>
      </c>
      <c r="E16" s="725">
        <f t="shared" ca="1" si="0"/>
        <v>47308.810041035715</v>
      </c>
      <c r="F16" s="725">
        <f t="shared" si="0"/>
        <v>1698.2253986375717</v>
      </c>
      <c r="G16" s="725">
        <f t="shared" ca="1" si="0"/>
        <v>26609.874118019521</v>
      </c>
      <c r="H16" s="725">
        <f t="shared" si="0"/>
        <v>0</v>
      </c>
      <c r="I16" s="725">
        <f t="shared" si="0"/>
        <v>0</v>
      </c>
      <c r="J16" s="725">
        <f t="shared" si="0"/>
        <v>0</v>
      </c>
      <c r="K16" s="725">
        <f t="shared" si="0"/>
        <v>0.72575049338279962</v>
      </c>
      <c r="L16" s="725">
        <f t="shared" si="0"/>
        <v>0</v>
      </c>
      <c r="M16" s="725">
        <f t="shared" ca="1" si="0"/>
        <v>0</v>
      </c>
      <c r="N16" s="725">
        <f t="shared" si="0"/>
        <v>0</v>
      </c>
      <c r="O16" s="725">
        <f t="shared" ca="1" si="0"/>
        <v>6347.6007026279349</v>
      </c>
      <c r="P16" s="725">
        <f t="shared" si="0"/>
        <v>131.32000000000002</v>
      </c>
      <c r="Q16" s="725">
        <f t="shared" si="0"/>
        <v>171.6</v>
      </c>
      <c r="R16" s="725">
        <f t="shared" ca="1" si="0"/>
        <v>113943.02816156427</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1100.4978144362701</v>
      </c>
      <c r="I19" s="690">
        <f>transport!H54</f>
        <v>0</v>
      </c>
      <c r="J19" s="690">
        <f>transport!I54</f>
        <v>0</v>
      </c>
      <c r="K19" s="690">
        <f>transport!J54</f>
        <v>0</v>
      </c>
      <c r="L19" s="690">
        <f>transport!K54</f>
        <v>0</v>
      </c>
      <c r="M19" s="690">
        <f>transport!L54</f>
        <v>0</v>
      </c>
      <c r="N19" s="690">
        <f>transport!M54</f>
        <v>48.941829533609635</v>
      </c>
      <c r="O19" s="690">
        <f>transport!N54</f>
        <v>0</v>
      </c>
      <c r="P19" s="690">
        <f>transport!O54</f>
        <v>0</v>
      </c>
      <c r="Q19" s="691">
        <f>transport!P54</f>
        <v>0</v>
      </c>
      <c r="R19" s="693">
        <f>SUM(C19:Q19)</f>
        <v>1149.4396439698799</v>
      </c>
      <c r="S19" s="67"/>
    </row>
    <row r="20" spans="1:19" s="458" customFormat="1">
      <c r="A20" s="805" t="s">
        <v>307</v>
      </c>
      <c r="B20" s="810"/>
      <c r="C20" s="690">
        <f>transport!B14</f>
        <v>8.7125965038749822</v>
      </c>
      <c r="D20" s="690">
        <f>transport!C14</f>
        <v>0</v>
      </c>
      <c r="E20" s="690">
        <f>transport!D14</f>
        <v>13.871415356165313</v>
      </c>
      <c r="F20" s="690">
        <f>transport!E14</f>
        <v>506.26049348951233</v>
      </c>
      <c r="G20" s="690">
        <f>transport!F14</f>
        <v>0</v>
      </c>
      <c r="H20" s="690">
        <f>transport!G14</f>
        <v>164605.6128542056</v>
      </c>
      <c r="I20" s="690">
        <f>transport!H14</f>
        <v>21506.30978852959</v>
      </c>
      <c r="J20" s="690">
        <f>transport!I14</f>
        <v>0</v>
      </c>
      <c r="K20" s="690">
        <f>transport!J14</f>
        <v>0</v>
      </c>
      <c r="L20" s="690">
        <f>transport!K14</f>
        <v>0</v>
      </c>
      <c r="M20" s="690">
        <f>transport!L14</f>
        <v>0</v>
      </c>
      <c r="N20" s="690">
        <f>transport!M14</f>
        <v>8409.1129584611299</v>
      </c>
      <c r="O20" s="690">
        <f>transport!N14</f>
        <v>0</v>
      </c>
      <c r="P20" s="690">
        <f>transport!O14</f>
        <v>0</v>
      </c>
      <c r="Q20" s="691">
        <f>transport!P14</f>
        <v>0</v>
      </c>
      <c r="R20" s="693">
        <f>SUM(C20:Q20)</f>
        <v>195049.88010654587</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8.7125965038749822</v>
      </c>
      <c r="D22" s="808">
        <f t="shared" ref="D22:R22" si="1">SUM(D18:D21)</f>
        <v>0</v>
      </c>
      <c r="E22" s="808">
        <f t="shared" si="1"/>
        <v>13.871415356165313</v>
      </c>
      <c r="F22" s="808">
        <f t="shared" si="1"/>
        <v>506.26049348951233</v>
      </c>
      <c r="G22" s="808">
        <f t="shared" si="1"/>
        <v>0</v>
      </c>
      <c r="H22" s="808">
        <f t="shared" si="1"/>
        <v>165706.11066864186</v>
      </c>
      <c r="I22" s="808">
        <f t="shared" si="1"/>
        <v>21506.30978852959</v>
      </c>
      <c r="J22" s="808">
        <f t="shared" si="1"/>
        <v>0</v>
      </c>
      <c r="K22" s="808">
        <f t="shared" si="1"/>
        <v>0</v>
      </c>
      <c r="L22" s="808">
        <f t="shared" si="1"/>
        <v>0</v>
      </c>
      <c r="M22" s="808">
        <f t="shared" si="1"/>
        <v>0</v>
      </c>
      <c r="N22" s="808">
        <f t="shared" si="1"/>
        <v>8458.0547879947389</v>
      </c>
      <c r="O22" s="808">
        <f t="shared" si="1"/>
        <v>0</v>
      </c>
      <c r="P22" s="808">
        <f t="shared" si="1"/>
        <v>0</v>
      </c>
      <c r="Q22" s="808">
        <f t="shared" si="1"/>
        <v>0</v>
      </c>
      <c r="R22" s="808">
        <f t="shared" si="1"/>
        <v>196199.31975051574</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654</v>
      </c>
      <c r="B24" s="810"/>
      <c r="C24" s="690">
        <f>+landbouw!B8</f>
        <v>490.71557578757415</v>
      </c>
      <c r="D24" s="690">
        <f>+landbouw!C8</f>
        <v>45</v>
      </c>
      <c r="E24" s="690">
        <f>+landbouw!D8</f>
        <v>1180.3485962856089</v>
      </c>
      <c r="F24" s="690">
        <f>+landbouw!E8</f>
        <v>6.183648425118256</v>
      </c>
      <c r="G24" s="690">
        <f>+landbouw!F8</f>
        <v>1693.0916680643297</v>
      </c>
      <c r="H24" s="690">
        <f>+landbouw!G8</f>
        <v>0</v>
      </c>
      <c r="I24" s="690">
        <f>+landbouw!H8</f>
        <v>0</v>
      </c>
      <c r="J24" s="690">
        <f>+landbouw!I8</f>
        <v>0</v>
      </c>
      <c r="K24" s="690">
        <f>+landbouw!J8</f>
        <v>73.798044340660638</v>
      </c>
      <c r="L24" s="690">
        <f>+landbouw!K8</f>
        <v>0</v>
      </c>
      <c r="M24" s="690">
        <f>+landbouw!L8</f>
        <v>0</v>
      </c>
      <c r="N24" s="690">
        <f>+landbouw!M8</f>
        <v>0</v>
      </c>
      <c r="O24" s="690">
        <f>+landbouw!N8</f>
        <v>0</v>
      </c>
      <c r="P24" s="690">
        <f>+landbouw!O8</f>
        <v>0</v>
      </c>
      <c r="Q24" s="691">
        <f>+landbouw!P8</f>
        <v>0</v>
      </c>
      <c r="R24" s="693">
        <f>SUM(C24:Q24)</f>
        <v>3489.1375329032917</v>
      </c>
      <c r="S24" s="67"/>
    </row>
    <row r="25" spans="1:19" s="458" customFormat="1" ht="15" thickBot="1">
      <c r="A25" s="827" t="s">
        <v>872</v>
      </c>
      <c r="B25" s="1004"/>
      <c r="C25" s="1005">
        <f>IF(Onbekend_ele_kWh="---",0,Onbekend_ele_kWh)/1000+IF(REST_rest_ele_kWh="---",0,REST_rest_ele_kWh)/1000</f>
        <v>726.02322302694802</v>
      </c>
      <c r="D25" s="1005"/>
      <c r="E25" s="1005">
        <f>IF(onbekend_gas_kWh="---",0,onbekend_gas_kWh)/1000+IF(REST_rest_gas_kWh="---",0,REST_rest_gas_kWh)/1000</f>
        <v>2223.9773796131203</v>
      </c>
      <c r="F25" s="1005"/>
      <c r="G25" s="1005"/>
      <c r="H25" s="1005"/>
      <c r="I25" s="1005"/>
      <c r="J25" s="1005"/>
      <c r="K25" s="1005"/>
      <c r="L25" s="1005"/>
      <c r="M25" s="1005"/>
      <c r="N25" s="1005"/>
      <c r="O25" s="1005"/>
      <c r="P25" s="1005"/>
      <c r="Q25" s="1006"/>
      <c r="R25" s="693">
        <f>SUM(C25:Q25)</f>
        <v>2950.0006026400683</v>
      </c>
      <c r="S25" s="67"/>
    </row>
    <row r="26" spans="1:19" s="458" customFormat="1" ht="15.75" thickBot="1">
      <c r="A26" s="698" t="s">
        <v>873</v>
      </c>
      <c r="B26" s="813"/>
      <c r="C26" s="808">
        <f>SUM(C24:C25)</f>
        <v>1216.7387988145222</v>
      </c>
      <c r="D26" s="808">
        <f t="shared" ref="D26:R26" si="2">SUM(D24:D25)</f>
        <v>45</v>
      </c>
      <c r="E26" s="808">
        <f t="shared" si="2"/>
        <v>3404.3259758987292</v>
      </c>
      <c r="F26" s="808">
        <f t="shared" si="2"/>
        <v>6.183648425118256</v>
      </c>
      <c r="G26" s="808">
        <f t="shared" si="2"/>
        <v>1693.0916680643297</v>
      </c>
      <c r="H26" s="808">
        <f t="shared" si="2"/>
        <v>0</v>
      </c>
      <c r="I26" s="808">
        <f t="shared" si="2"/>
        <v>0</v>
      </c>
      <c r="J26" s="808">
        <f t="shared" si="2"/>
        <v>0</v>
      </c>
      <c r="K26" s="808">
        <f t="shared" si="2"/>
        <v>73.798044340660638</v>
      </c>
      <c r="L26" s="808">
        <f t="shared" si="2"/>
        <v>0</v>
      </c>
      <c r="M26" s="808">
        <f t="shared" si="2"/>
        <v>0</v>
      </c>
      <c r="N26" s="808">
        <f t="shared" si="2"/>
        <v>0</v>
      </c>
      <c r="O26" s="808">
        <f t="shared" si="2"/>
        <v>0</v>
      </c>
      <c r="P26" s="808">
        <f t="shared" si="2"/>
        <v>0</v>
      </c>
      <c r="Q26" s="808">
        <f t="shared" si="2"/>
        <v>0</v>
      </c>
      <c r="R26" s="808">
        <f t="shared" si="2"/>
        <v>6439.1381355433605</v>
      </c>
      <c r="S26" s="67"/>
    </row>
    <row r="27" spans="1:19" s="458" customFormat="1" ht="17.25" thickTop="1" thickBot="1">
      <c r="A27" s="699" t="s">
        <v>116</v>
      </c>
      <c r="B27" s="800"/>
      <c r="C27" s="700">
        <f ca="1">C22+C16+C26</f>
        <v>32900.323546068539</v>
      </c>
      <c r="D27" s="700">
        <f t="shared" ref="D27:R27" ca="1" si="3">D22+D16+D26</f>
        <v>45</v>
      </c>
      <c r="E27" s="700">
        <f t="shared" ca="1" si="3"/>
        <v>50727.007432290608</v>
      </c>
      <c r="F27" s="700">
        <f t="shared" si="3"/>
        <v>2210.6695405522028</v>
      </c>
      <c r="G27" s="700">
        <f t="shared" ca="1" si="3"/>
        <v>28302.965786083852</v>
      </c>
      <c r="H27" s="700">
        <f t="shared" si="3"/>
        <v>165706.11066864186</v>
      </c>
      <c r="I27" s="700">
        <f t="shared" si="3"/>
        <v>21506.30978852959</v>
      </c>
      <c r="J27" s="700">
        <f t="shared" si="3"/>
        <v>0</v>
      </c>
      <c r="K27" s="700">
        <f t="shared" si="3"/>
        <v>74.523794834043443</v>
      </c>
      <c r="L27" s="700">
        <f t="shared" si="3"/>
        <v>0</v>
      </c>
      <c r="M27" s="700">
        <f t="shared" ca="1" si="3"/>
        <v>0</v>
      </c>
      <c r="N27" s="700">
        <f t="shared" si="3"/>
        <v>8458.0547879947389</v>
      </c>
      <c r="O27" s="700">
        <f t="shared" ca="1" si="3"/>
        <v>6347.6007026279349</v>
      </c>
      <c r="P27" s="700">
        <f t="shared" si="3"/>
        <v>131.32000000000002</v>
      </c>
      <c r="Q27" s="700">
        <f t="shared" si="3"/>
        <v>171.6</v>
      </c>
      <c r="R27" s="700">
        <f t="shared" ca="1" si="3"/>
        <v>316581.48604762339</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1505.918521883887</v>
      </c>
      <c r="D40" s="690">
        <f ca="1">tertiair!C20</f>
        <v>0</v>
      </c>
      <c r="E40" s="690">
        <f ca="1">tertiair!D20</f>
        <v>2039.1397368237458</v>
      </c>
      <c r="F40" s="690">
        <f>tertiair!E20</f>
        <v>19.97652164472068</v>
      </c>
      <c r="G40" s="690">
        <f ca="1">tertiair!F20</f>
        <v>325.89427382033841</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3890.9290541726923</v>
      </c>
    </row>
    <row r="41" spans="1:18">
      <c r="A41" s="818" t="s">
        <v>225</v>
      </c>
      <c r="B41" s="825"/>
      <c r="C41" s="690">
        <f ca="1">huishoudens!B12</f>
        <v>4737.8542088513113</v>
      </c>
      <c r="D41" s="690">
        <f ca="1">huishoudens!C12</f>
        <v>0</v>
      </c>
      <c r="E41" s="690">
        <f>huishoudens!D12</f>
        <v>7373.6648274497711</v>
      </c>
      <c r="F41" s="690">
        <f>huishoudens!E12</f>
        <v>319.85827009927903</v>
      </c>
      <c r="G41" s="690">
        <f>huishoudens!F12</f>
        <v>6510.5647714513343</v>
      </c>
      <c r="H41" s="690">
        <f>huishoudens!G12</f>
        <v>0</v>
      </c>
      <c r="I41" s="690">
        <f>huishoudens!H12</f>
        <v>0</v>
      </c>
      <c r="J41" s="690">
        <f>huishoudens!I12</f>
        <v>0</v>
      </c>
      <c r="K41" s="690">
        <f>huishoudens!J12</f>
        <v>0</v>
      </c>
      <c r="L41" s="690">
        <f>huishoudens!K12</f>
        <v>0</v>
      </c>
      <c r="M41" s="690">
        <f>huishoudens!L12</f>
        <v>0</v>
      </c>
      <c r="N41" s="690">
        <f>huishoudens!M12</f>
        <v>0</v>
      </c>
      <c r="O41" s="690">
        <f>huishoudens!N12</f>
        <v>0</v>
      </c>
      <c r="P41" s="690">
        <f>huishoudens!O12</f>
        <v>0</v>
      </c>
      <c r="Q41" s="767">
        <f>huishoudens!P12</f>
        <v>0</v>
      </c>
      <c r="R41" s="846">
        <f t="shared" ca="1" si="4"/>
        <v>18941.942077851694</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251.77337145932458</v>
      </c>
      <c r="D43" s="690">
        <f ca="1">industrie!C22</f>
        <v>0</v>
      </c>
      <c r="E43" s="690">
        <f>industrie!D22</f>
        <v>143.57506401569728</v>
      </c>
      <c r="F43" s="690">
        <f>industrie!E22</f>
        <v>45.662373746729109</v>
      </c>
      <c r="G43" s="690">
        <f>industrie!F22</f>
        <v>268.3773442395393</v>
      </c>
      <c r="H43" s="690">
        <f>industrie!G22</f>
        <v>0</v>
      </c>
      <c r="I43" s="690">
        <f>industrie!H22</f>
        <v>0</v>
      </c>
      <c r="J43" s="690">
        <f>industrie!I22</f>
        <v>0</v>
      </c>
      <c r="K43" s="690">
        <f>industrie!J22</f>
        <v>0.25691567465751103</v>
      </c>
      <c r="L43" s="690">
        <f>industrie!K22</f>
        <v>0</v>
      </c>
      <c r="M43" s="690">
        <f>industrie!L22</f>
        <v>0</v>
      </c>
      <c r="N43" s="690">
        <f>industrie!M22</f>
        <v>0</v>
      </c>
      <c r="O43" s="690">
        <f>industrie!N22</f>
        <v>0</v>
      </c>
      <c r="P43" s="690">
        <f>industrie!O22</f>
        <v>0</v>
      </c>
      <c r="Q43" s="767">
        <f>industrie!P22</f>
        <v>0</v>
      </c>
      <c r="R43" s="845">
        <f t="shared" ca="1" si="4"/>
        <v>709.64506913594778</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6495.5461021945221</v>
      </c>
      <c r="D46" s="725">
        <f t="shared" ref="D46:Q46" ca="1" si="5">SUM(D39:D45)</f>
        <v>0</v>
      </c>
      <c r="E46" s="725">
        <f t="shared" ca="1" si="5"/>
        <v>9556.3796282892126</v>
      </c>
      <c r="F46" s="725">
        <f t="shared" si="5"/>
        <v>385.49716549072878</v>
      </c>
      <c r="G46" s="725">
        <f t="shared" ca="1" si="5"/>
        <v>7104.8363895112125</v>
      </c>
      <c r="H46" s="725">
        <f t="shared" si="5"/>
        <v>0</v>
      </c>
      <c r="I46" s="725">
        <f t="shared" si="5"/>
        <v>0</v>
      </c>
      <c r="J46" s="725">
        <f t="shared" si="5"/>
        <v>0</v>
      </c>
      <c r="K46" s="725">
        <f t="shared" si="5"/>
        <v>0.25691567465751103</v>
      </c>
      <c r="L46" s="725">
        <f t="shared" si="5"/>
        <v>0</v>
      </c>
      <c r="M46" s="725">
        <f t="shared" ca="1" si="5"/>
        <v>0</v>
      </c>
      <c r="N46" s="725">
        <f t="shared" si="5"/>
        <v>0</v>
      </c>
      <c r="O46" s="725">
        <f t="shared" ca="1" si="5"/>
        <v>0</v>
      </c>
      <c r="P46" s="725">
        <f t="shared" si="5"/>
        <v>0</v>
      </c>
      <c r="Q46" s="725">
        <f t="shared" si="5"/>
        <v>0</v>
      </c>
      <c r="R46" s="725">
        <f ca="1">SUM(R39:R45)</f>
        <v>23542.516201160332</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293.83291645448412</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293.83291645448412</v>
      </c>
    </row>
    <row r="50" spans="1:18">
      <c r="A50" s="821" t="s">
        <v>307</v>
      </c>
      <c r="B50" s="831"/>
      <c r="C50" s="696">
        <f ca="1">transport!B18</f>
        <v>1.7866866831031076</v>
      </c>
      <c r="D50" s="696">
        <f>transport!C18</f>
        <v>0</v>
      </c>
      <c r="E50" s="696">
        <f>transport!D18</f>
        <v>2.8020259019453935</v>
      </c>
      <c r="F50" s="696">
        <f>transport!E18</f>
        <v>114.92113202211931</v>
      </c>
      <c r="G50" s="696">
        <f>transport!F18</f>
        <v>0</v>
      </c>
      <c r="H50" s="696">
        <f>transport!G18</f>
        <v>43949.698632072897</v>
      </c>
      <c r="I50" s="696">
        <f>transport!H18</f>
        <v>5355.071137343868</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49424.27961402393</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1.7866866831031076</v>
      </c>
      <c r="D52" s="725">
        <f t="shared" ref="D52:Q52" ca="1" si="6">SUM(D48:D51)</f>
        <v>0</v>
      </c>
      <c r="E52" s="725">
        <f t="shared" si="6"/>
        <v>2.8020259019453935</v>
      </c>
      <c r="F52" s="725">
        <f t="shared" si="6"/>
        <v>114.92113202211931</v>
      </c>
      <c r="G52" s="725">
        <f t="shared" si="6"/>
        <v>0</v>
      </c>
      <c r="H52" s="725">
        <f t="shared" si="6"/>
        <v>44243.531548527382</v>
      </c>
      <c r="I52" s="725">
        <f t="shared" si="6"/>
        <v>5355.071137343868</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49718.112530478415</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100.63073436959812</v>
      </c>
      <c r="D54" s="696">
        <f ca="1">+landbouw!C12</f>
        <v>10.100000000000001</v>
      </c>
      <c r="E54" s="696">
        <f>+landbouw!D12</f>
        <v>238.43041644969301</v>
      </c>
      <c r="F54" s="696">
        <f>+landbouw!E12</f>
        <v>1.4036881925018441</v>
      </c>
      <c r="G54" s="696">
        <f>+landbouw!F12</f>
        <v>452.05547537317608</v>
      </c>
      <c r="H54" s="696">
        <f>+landbouw!G12</f>
        <v>0</v>
      </c>
      <c r="I54" s="696">
        <f>+landbouw!H12</f>
        <v>0</v>
      </c>
      <c r="J54" s="696">
        <f>+landbouw!I12</f>
        <v>0</v>
      </c>
      <c r="K54" s="696">
        <f>+landbouw!J12</f>
        <v>26.124507696593863</v>
      </c>
      <c r="L54" s="696">
        <f>+landbouw!K12</f>
        <v>0</v>
      </c>
      <c r="M54" s="696">
        <f>+landbouw!L12</f>
        <v>0</v>
      </c>
      <c r="N54" s="696">
        <f>+landbouw!M12</f>
        <v>0</v>
      </c>
      <c r="O54" s="696">
        <f>+landbouw!N12</f>
        <v>0</v>
      </c>
      <c r="P54" s="696">
        <f>+landbouw!O12</f>
        <v>0</v>
      </c>
      <c r="Q54" s="697">
        <f>+landbouw!P12</f>
        <v>0</v>
      </c>
      <c r="R54" s="724">
        <f ca="1">SUM(C54:Q54)</f>
        <v>828.74482208156292</v>
      </c>
    </row>
    <row r="55" spans="1:18" ht="15" thickBot="1">
      <c r="A55" s="821" t="s">
        <v>872</v>
      </c>
      <c r="B55" s="831"/>
      <c r="C55" s="696">
        <f ca="1">C25*'EF ele_warmte'!B12</f>
        <v>148.88512553392303</v>
      </c>
      <c r="D55" s="696"/>
      <c r="E55" s="696">
        <f>E25*EF_CO2_aardgas</f>
        <v>449.24343068185033</v>
      </c>
      <c r="F55" s="696"/>
      <c r="G55" s="696"/>
      <c r="H55" s="696"/>
      <c r="I55" s="696"/>
      <c r="J55" s="696"/>
      <c r="K55" s="696"/>
      <c r="L55" s="696"/>
      <c r="M55" s="696"/>
      <c r="N55" s="696"/>
      <c r="O55" s="696"/>
      <c r="P55" s="696"/>
      <c r="Q55" s="697"/>
      <c r="R55" s="724">
        <f ca="1">SUM(C55:Q55)</f>
        <v>598.12855621577341</v>
      </c>
    </row>
    <row r="56" spans="1:18" ht="15.75" thickBot="1">
      <c r="A56" s="819" t="s">
        <v>873</v>
      </c>
      <c r="B56" s="832"/>
      <c r="C56" s="725">
        <f ca="1">SUM(C54:C55)</f>
        <v>249.51585990352115</v>
      </c>
      <c r="D56" s="725">
        <f t="shared" ref="D56:Q56" ca="1" si="7">SUM(D54:D55)</f>
        <v>10.100000000000001</v>
      </c>
      <c r="E56" s="725">
        <f t="shared" si="7"/>
        <v>687.67384713154331</v>
      </c>
      <c r="F56" s="725">
        <f t="shared" si="7"/>
        <v>1.4036881925018441</v>
      </c>
      <c r="G56" s="725">
        <f t="shared" si="7"/>
        <v>452.05547537317608</v>
      </c>
      <c r="H56" s="725">
        <f t="shared" si="7"/>
        <v>0</v>
      </c>
      <c r="I56" s="725">
        <f t="shared" si="7"/>
        <v>0</v>
      </c>
      <c r="J56" s="725">
        <f t="shared" si="7"/>
        <v>0</v>
      </c>
      <c r="K56" s="725">
        <f t="shared" si="7"/>
        <v>26.124507696593863</v>
      </c>
      <c r="L56" s="725">
        <f t="shared" si="7"/>
        <v>0</v>
      </c>
      <c r="M56" s="725">
        <f t="shared" si="7"/>
        <v>0</v>
      </c>
      <c r="N56" s="725">
        <f t="shared" si="7"/>
        <v>0</v>
      </c>
      <c r="O56" s="725">
        <f t="shared" si="7"/>
        <v>0</v>
      </c>
      <c r="P56" s="725">
        <f t="shared" si="7"/>
        <v>0</v>
      </c>
      <c r="Q56" s="726">
        <f t="shared" si="7"/>
        <v>0</v>
      </c>
      <c r="R56" s="727">
        <f ca="1">SUM(R54:R55)</f>
        <v>1426.8733782973363</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6746.848648781146</v>
      </c>
      <c r="D61" s="733">
        <f t="shared" ref="D61:Q61" ca="1" si="8">D46+D52+D56</f>
        <v>10.100000000000001</v>
      </c>
      <c r="E61" s="733">
        <f t="shared" ca="1" si="8"/>
        <v>10246.855501322701</v>
      </c>
      <c r="F61" s="733">
        <f t="shared" si="8"/>
        <v>501.8219857053499</v>
      </c>
      <c r="G61" s="733">
        <f t="shared" ca="1" si="8"/>
        <v>7556.8918648843883</v>
      </c>
      <c r="H61" s="733">
        <f t="shared" si="8"/>
        <v>44243.531548527382</v>
      </c>
      <c r="I61" s="733">
        <f t="shared" si="8"/>
        <v>5355.071137343868</v>
      </c>
      <c r="J61" s="733">
        <f t="shared" si="8"/>
        <v>0</v>
      </c>
      <c r="K61" s="733">
        <f t="shared" si="8"/>
        <v>26.381423371251373</v>
      </c>
      <c r="L61" s="733">
        <f t="shared" si="8"/>
        <v>0</v>
      </c>
      <c r="M61" s="733">
        <f t="shared" ca="1" si="8"/>
        <v>0</v>
      </c>
      <c r="N61" s="733">
        <f t="shared" si="8"/>
        <v>0</v>
      </c>
      <c r="O61" s="733">
        <f t="shared" ca="1" si="8"/>
        <v>0</v>
      </c>
      <c r="P61" s="733">
        <f t="shared" si="8"/>
        <v>0</v>
      </c>
      <c r="Q61" s="733">
        <f t="shared" si="8"/>
        <v>0</v>
      </c>
      <c r="R61" s="733">
        <f ca="1">R46+R52+R56</f>
        <v>74687.502109936089</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0.20506937080220197</v>
      </c>
      <c r="D63" s="776">
        <f t="shared" ca="1" si="9"/>
        <v>0.22444444444444447</v>
      </c>
      <c r="E63" s="1011">
        <f t="shared" ca="1" si="9"/>
        <v>0.20199999999999999</v>
      </c>
      <c r="F63" s="776">
        <f t="shared" si="9"/>
        <v>0.22699999999999995</v>
      </c>
      <c r="G63" s="776">
        <f t="shared" ca="1" si="9"/>
        <v>0.26700000000000002</v>
      </c>
      <c r="H63" s="776">
        <f t="shared" si="9"/>
        <v>0.26700000000000002</v>
      </c>
      <c r="I63" s="776">
        <f t="shared" si="9"/>
        <v>0.249</v>
      </c>
      <c r="J63" s="776">
        <f t="shared" si="9"/>
        <v>0</v>
      </c>
      <c r="K63" s="776">
        <f t="shared" si="9"/>
        <v>0.35399999999999993</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664</v>
      </c>
      <c r="Q69" s="1118" t="s">
        <v>663</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0</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2371.7368999999999</v>
      </c>
      <c r="C74" s="1142"/>
      <c r="D74" s="1142"/>
      <c r="E74" s="1124"/>
      <c r="F74" s="1124"/>
      <c r="G74" s="1136"/>
      <c r="H74" s="1139"/>
      <c r="I74" s="1142"/>
      <c r="J74" s="996"/>
      <c r="K74" s="1124"/>
      <c r="L74" s="1124"/>
      <c r="M74" s="1124"/>
      <c r="N74" s="1124"/>
      <c r="O74" s="1127"/>
      <c r="P74" s="848">
        <v>0</v>
      </c>
      <c r="Q74" s="854"/>
      <c r="R74" s="848">
        <v>0</v>
      </c>
    </row>
    <row r="75" spans="1:18" ht="15.75" thickBot="1">
      <c r="A75" s="744" t="s">
        <v>875</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0</v>
      </c>
      <c r="C76" s="743">
        <f>'lokale energieproductie'!B8*IFERROR(SUM(D76:H76)/SUM(D76:O76),0)</f>
        <v>9</v>
      </c>
      <c r="D76" s="1021">
        <f>'lokale energieproductie'!C8</f>
        <v>10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2.02</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2371.7368999999999</v>
      </c>
      <c r="C78" s="748">
        <f>SUM(C72:C77)</f>
        <v>9</v>
      </c>
      <c r="D78" s="749">
        <f t="shared" ref="D78:H78" si="10">SUM(D76:D77)</f>
        <v>10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2.02</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664</v>
      </c>
      <c r="Q84" s="1111" t="s">
        <v>663</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662</v>
      </c>
      <c r="C86" s="840" t="s">
        <v>874</v>
      </c>
      <c r="D86" s="1000" t="s">
        <v>199</v>
      </c>
      <c r="E86" s="993" t="s">
        <v>200</v>
      </c>
      <c r="F86" s="991" t="s">
        <v>201</v>
      </c>
      <c r="G86" s="993" t="s">
        <v>203</v>
      </c>
      <c r="H86" s="757" t="s">
        <v>204</v>
      </c>
      <c r="I86" s="1153"/>
      <c r="J86" s="1154"/>
      <c r="K86" s="1104"/>
      <c r="L86" s="1104"/>
      <c r="M86" s="1157"/>
      <c r="N86" s="1104"/>
      <c r="O86" s="1159"/>
      <c r="P86" s="1017"/>
      <c r="Q86" s="1000" t="s">
        <v>665</v>
      </c>
      <c r="R86" s="998" t="s">
        <v>666</v>
      </c>
    </row>
    <row r="87" spans="1:19" ht="15.75" thickTop="1">
      <c r="A87" s="758" t="s">
        <v>252</v>
      </c>
      <c r="B87" s="759">
        <f>'lokale energieproductie'!B17*IFERROR(SUM(I87:O87)/SUM(D87:O87),0)</f>
        <v>0</v>
      </c>
      <c r="C87" s="759">
        <f>'lokale energieproductie'!B17*IFERROR(SUM(D87:H87)/SUM(D87:O87),0)</f>
        <v>45</v>
      </c>
      <c r="D87" s="770">
        <f>'lokale energieproductie'!C17</f>
        <v>50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10.100000000000001</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45</v>
      </c>
      <c r="D90" s="748">
        <f t="shared" ref="D90:H90" si="12">SUM(D87:D89)</f>
        <v>50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10.100000000000001</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876</v>
      </c>
      <c r="N2" s="1247" t="s">
        <v>877</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0</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0</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2371.7368999999999</v>
      </c>
      <c r="C6" s="1250"/>
      <c r="D6" s="1253"/>
      <c r="E6" s="1253"/>
      <c r="F6" s="1256"/>
      <c r="G6" s="1259"/>
      <c r="H6" s="1262"/>
      <c r="I6" s="1253"/>
      <c r="J6" s="1253"/>
      <c r="K6" s="1253"/>
      <c r="L6" s="1253"/>
      <c r="M6" s="1253"/>
      <c r="N6" s="1026"/>
      <c r="O6" s="557"/>
      <c r="P6" s="1245"/>
      <c r="Q6" s="1246"/>
      <c r="S6" s="1040"/>
      <c r="T6" s="1266"/>
      <c r="U6" s="1266"/>
    </row>
    <row r="7" spans="1:21" s="548" customFormat="1">
      <c r="A7" s="556" t="s">
        <v>875</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9</v>
      </c>
      <c r="C8" s="560">
        <f>B101</f>
        <v>10</v>
      </c>
      <c r="D8" s="1028"/>
      <c r="E8" s="1028">
        <f>E101</f>
        <v>0</v>
      </c>
      <c r="F8" s="1029"/>
      <c r="G8" s="561"/>
      <c r="H8" s="1028">
        <f>I101</f>
        <v>0</v>
      </c>
      <c r="I8" s="1028">
        <f>G101+F101</f>
        <v>0</v>
      </c>
      <c r="J8" s="1028">
        <f>H101+D101+C101</f>
        <v>0</v>
      </c>
      <c r="K8" s="1028"/>
      <c r="L8" s="1028"/>
      <c r="M8" s="1028"/>
      <c r="N8" s="562"/>
      <c r="O8" s="563">
        <f>C8*$C$12+D8*$D$12+E8*$E$12+F8*$F$12+G8*$G$12+H8*$H$12+I8*$I$12+J8*$J$12</f>
        <v>2.02</v>
      </c>
      <c r="P8" s="1245"/>
      <c r="Q8" s="1246"/>
      <c r="S8" s="1040"/>
      <c r="T8" s="1266"/>
      <c r="U8" s="1266"/>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2380.7368999999999</v>
      </c>
      <c r="C10" s="573">
        <f t="shared" ref="C10:L10" si="0">SUM(C8:C9)</f>
        <v>10</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2.02</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876</v>
      </c>
      <c r="N15" s="1247" t="s">
        <v>877</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45</v>
      </c>
      <c r="C17" s="585">
        <f>B102</f>
        <v>50</v>
      </c>
      <c r="D17" s="586"/>
      <c r="E17" s="586">
        <f>E102</f>
        <v>0</v>
      </c>
      <c r="F17" s="1034"/>
      <c r="G17" s="587"/>
      <c r="H17" s="585">
        <f>I102</f>
        <v>0</v>
      </c>
      <c r="I17" s="586">
        <f>G102+F102</f>
        <v>0</v>
      </c>
      <c r="J17" s="586">
        <f>H102+D102+C102</f>
        <v>0</v>
      </c>
      <c r="K17" s="586"/>
      <c r="L17" s="586"/>
      <c r="M17" s="586"/>
      <c r="N17" s="1035"/>
      <c r="O17" s="588">
        <f>C17*$C$22+E17*$E$22+H17*$H$22+I17*$I$22+J17*$J$22+D17*$D$22+F17*$F$22+G17*$G$22+K17*$K$22+L17*$L$22</f>
        <v>10.100000000000001</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45</v>
      </c>
      <c r="C20" s="572">
        <f>SUM(C17:C19)</f>
        <v>50</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10.100000000000001</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25.5">
      <c r="A28" s="596"/>
      <c r="B28" s="791">
        <v>44012</v>
      </c>
      <c r="C28" s="791">
        <v>9840</v>
      </c>
      <c r="D28" s="644" t="s">
        <v>913</v>
      </c>
      <c r="E28" s="643" t="s">
        <v>914</v>
      </c>
      <c r="F28" s="643" t="s">
        <v>915</v>
      </c>
      <c r="G28" s="643" t="s">
        <v>916</v>
      </c>
      <c r="H28" s="643" t="s">
        <v>916</v>
      </c>
      <c r="I28" s="643" t="s">
        <v>914</v>
      </c>
      <c r="J28" s="790">
        <v>40904</v>
      </c>
      <c r="K28" s="790">
        <v>41091</v>
      </c>
      <c r="L28" s="643" t="s">
        <v>917</v>
      </c>
      <c r="M28" s="643">
        <v>1</v>
      </c>
      <c r="N28" s="643">
        <v>4.5</v>
      </c>
      <c r="O28" s="643">
        <v>22.5</v>
      </c>
      <c r="P28" s="643">
        <v>30</v>
      </c>
      <c r="Q28" s="643">
        <v>0</v>
      </c>
      <c r="R28" s="643">
        <v>0</v>
      </c>
      <c r="S28" s="643">
        <v>0</v>
      </c>
      <c r="T28" s="643">
        <v>0</v>
      </c>
      <c r="U28" s="643">
        <v>0</v>
      </c>
      <c r="V28" s="643">
        <v>0</v>
      </c>
      <c r="W28" s="643">
        <v>0</v>
      </c>
      <c r="X28" s="643">
        <v>10</v>
      </c>
      <c r="Y28" s="643" t="s">
        <v>112</v>
      </c>
      <c r="Z28" s="645" t="s">
        <v>112</v>
      </c>
    </row>
    <row r="29" spans="1:26" s="597" customFormat="1" ht="25.5">
      <c r="A29" s="596"/>
      <c r="B29" s="791">
        <v>44012</v>
      </c>
      <c r="C29" s="791">
        <v>9840</v>
      </c>
      <c r="D29" s="644" t="s">
        <v>918</v>
      </c>
      <c r="E29" s="643" t="s">
        <v>919</v>
      </c>
      <c r="F29" s="643" t="s">
        <v>920</v>
      </c>
      <c r="G29" s="643" t="s">
        <v>916</v>
      </c>
      <c r="H29" s="643" t="s">
        <v>916</v>
      </c>
      <c r="I29" s="643" t="s">
        <v>919</v>
      </c>
      <c r="J29" s="790">
        <v>41169</v>
      </c>
      <c r="K29" s="790">
        <v>41214</v>
      </c>
      <c r="L29" s="643" t="s">
        <v>917</v>
      </c>
      <c r="M29" s="643">
        <v>1</v>
      </c>
      <c r="N29" s="643">
        <v>4.5</v>
      </c>
      <c r="O29" s="643">
        <v>22.5</v>
      </c>
      <c r="P29" s="643">
        <v>30</v>
      </c>
      <c r="Q29" s="643">
        <v>0</v>
      </c>
      <c r="R29" s="643">
        <v>0</v>
      </c>
      <c r="S29" s="643">
        <v>0</v>
      </c>
      <c r="T29" s="643">
        <v>0</v>
      </c>
      <c r="U29" s="643">
        <v>0</v>
      </c>
      <c r="V29" s="643">
        <v>0</v>
      </c>
      <c r="W29" s="643">
        <v>0</v>
      </c>
      <c r="X29" s="643">
        <v>10</v>
      </c>
      <c r="Y29" s="643" t="s">
        <v>112</v>
      </c>
      <c r="Z29" s="645" t="s">
        <v>112</v>
      </c>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2</v>
      </c>
      <c r="N58" s="601">
        <f>SUM(N28:N57)</f>
        <v>9</v>
      </c>
      <c r="O58" s="601">
        <f t="shared" ref="O58:W58" si="2">SUM(O28:O57)</f>
        <v>45</v>
      </c>
      <c r="P58" s="601">
        <f t="shared" si="2"/>
        <v>60</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2</v>
      </c>
      <c r="N61" s="606">
        <f t="shared" si="4"/>
        <v>9</v>
      </c>
      <c r="O61" s="606">
        <f t="shared" si="4"/>
        <v>45</v>
      </c>
      <c r="P61" s="606">
        <f t="shared" si="4"/>
        <v>60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0.83333333333333337</v>
      </c>
      <c r="C98" s="626">
        <f>IF(ISERROR(N58/(O58+N58)),0,N58/(N58+O58))</f>
        <v>0.16666666666666666</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10</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50</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29" spans="1:4">
      <c r="A29" s="892" t="s">
        <v>903</v>
      </c>
      <c r="B29" s="772">
        <v>43678</v>
      </c>
      <c r="C29" s="911" t="s">
        <v>904</v>
      </c>
      <c r="D29" s="889" t="s">
        <v>905</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23103.665800102201</v>
      </c>
      <c r="C4" s="462">
        <f>huishoudens!C8</f>
        <v>0</v>
      </c>
      <c r="D4" s="462">
        <f>huishoudens!D8</f>
        <v>36503.291224998866</v>
      </c>
      <c r="E4" s="462">
        <f>huishoudens!E8</f>
        <v>1409.0672691598195</v>
      </c>
      <c r="F4" s="462">
        <f>huishoudens!F8</f>
        <v>24384.137720791514</v>
      </c>
      <c r="G4" s="462">
        <f>huishoudens!G8</f>
        <v>0</v>
      </c>
      <c r="H4" s="462">
        <f>huishoudens!H8</f>
        <v>0</v>
      </c>
      <c r="I4" s="462">
        <f>huishoudens!I8</f>
        <v>0</v>
      </c>
      <c r="J4" s="462">
        <f>huishoudens!J8</f>
        <v>0</v>
      </c>
      <c r="K4" s="462">
        <f>huishoudens!K8</f>
        <v>0</v>
      </c>
      <c r="L4" s="462">
        <f>huishoudens!L8</f>
        <v>0</v>
      </c>
      <c r="M4" s="462">
        <f>huishoudens!M8</f>
        <v>0</v>
      </c>
      <c r="N4" s="462">
        <f>huishoudens!N8</f>
        <v>5797.8558173981019</v>
      </c>
      <c r="O4" s="462">
        <f>huishoudens!O8</f>
        <v>131.32000000000002</v>
      </c>
      <c r="P4" s="463">
        <f>huishoudens!P8</f>
        <v>152.53333333333333</v>
      </c>
      <c r="Q4" s="464">
        <f>SUM(B4:P4)</f>
        <v>91481.871165783843</v>
      </c>
    </row>
    <row r="5" spans="1:17">
      <c r="A5" s="461" t="s">
        <v>156</v>
      </c>
      <c r="B5" s="462">
        <f ca="1">tertiair!B16</f>
        <v>6427.8020255626634</v>
      </c>
      <c r="C5" s="462">
        <f ca="1">tertiair!C16</f>
        <v>0</v>
      </c>
      <c r="D5" s="462">
        <f ca="1">tertiair!D16</f>
        <v>10094.751172394781</v>
      </c>
      <c r="E5" s="462">
        <f>tertiair!E16</f>
        <v>88.002297994364227</v>
      </c>
      <c r="F5" s="462">
        <f ca="1">tertiair!F16</f>
        <v>1220.5778045705558</v>
      </c>
      <c r="G5" s="462">
        <f>tertiair!G16</f>
        <v>0</v>
      </c>
      <c r="H5" s="462">
        <f>tertiair!H16</f>
        <v>0</v>
      </c>
      <c r="I5" s="462">
        <f>tertiair!I16</f>
        <v>0</v>
      </c>
      <c r="J5" s="462">
        <f>tertiair!J16</f>
        <v>0</v>
      </c>
      <c r="K5" s="462">
        <f>tertiair!K16</f>
        <v>0</v>
      </c>
      <c r="L5" s="462">
        <f ca="1">tertiair!L16</f>
        <v>0</v>
      </c>
      <c r="M5" s="462">
        <f>tertiair!M16</f>
        <v>0</v>
      </c>
      <c r="N5" s="462">
        <f ca="1">tertiair!N16</f>
        <v>197.76765945411131</v>
      </c>
      <c r="O5" s="462">
        <f>tertiair!O16</f>
        <v>0</v>
      </c>
      <c r="P5" s="463">
        <f>tertiair!P16</f>
        <v>19.066666666666666</v>
      </c>
      <c r="Q5" s="461">
        <f t="shared" ref="Q5:Q14" ca="1" si="0">SUM(B5:P5)</f>
        <v>18047.967626643142</v>
      </c>
    </row>
    <row r="6" spans="1:17">
      <c r="A6" s="461" t="s">
        <v>194</v>
      </c>
      <c r="B6" s="462">
        <f>'openbare verlichting'!B8</f>
        <v>915.65700000000004</v>
      </c>
      <c r="C6" s="462"/>
      <c r="D6" s="462"/>
      <c r="E6" s="462"/>
      <c r="F6" s="462"/>
      <c r="G6" s="462"/>
      <c r="H6" s="462"/>
      <c r="I6" s="462"/>
      <c r="J6" s="462"/>
      <c r="K6" s="462"/>
      <c r="L6" s="462"/>
      <c r="M6" s="462"/>
      <c r="N6" s="462"/>
      <c r="O6" s="462"/>
      <c r="P6" s="463"/>
      <c r="Q6" s="461">
        <f t="shared" si="0"/>
        <v>915.65700000000004</v>
      </c>
    </row>
    <row r="7" spans="1:17">
      <c r="A7" s="461" t="s">
        <v>112</v>
      </c>
      <c r="B7" s="462">
        <f>landbouw!B8</f>
        <v>490.71557578757415</v>
      </c>
      <c r="C7" s="462">
        <f>landbouw!C8</f>
        <v>45</v>
      </c>
      <c r="D7" s="462">
        <f>landbouw!D8</f>
        <v>1180.3485962856089</v>
      </c>
      <c r="E7" s="462">
        <f>landbouw!E8</f>
        <v>6.183648425118256</v>
      </c>
      <c r="F7" s="462">
        <f>landbouw!F8</f>
        <v>1693.0916680643297</v>
      </c>
      <c r="G7" s="462">
        <f>landbouw!G8</f>
        <v>0</v>
      </c>
      <c r="H7" s="462">
        <f>landbouw!H8</f>
        <v>0</v>
      </c>
      <c r="I7" s="462">
        <f>landbouw!I8</f>
        <v>0</v>
      </c>
      <c r="J7" s="462">
        <f>landbouw!J8</f>
        <v>73.798044340660638</v>
      </c>
      <c r="K7" s="462">
        <f>landbouw!K8</f>
        <v>0</v>
      </c>
      <c r="L7" s="462">
        <f>landbouw!L8</f>
        <v>0</v>
      </c>
      <c r="M7" s="462">
        <f>landbouw!M8</f>
        <v>0</v>
      </c>
      <c r="N7" s="462">
        <f>landbouw!N8</f>
        <v>0</v>
      </c>
      <c r="O7" s="462">
        <f>landbouw!O8</f>
        <v>0</v>
      </c>
      <c r="P7" s="463">
        <f>landbouw!P8</f>
        <v>0</v>
      </c>
      <c r="Q7" s="461">
        <f t="shared" si="0"/>
        <v>3489.1375329032917</v>
      </c>
    </row>
    <row r="8" spans="1:17">
      <c r="A8" s="461" t="s">
        <v>657</v>
      </c>
      <c r="B8" s="462">
        <f>industrie!B18</f>
        <v>1227.7473250852781</v>
      </c>
      <c r="C8" s="462">
        <f>industrie!C18</f>
        <v>0</v>
      </c>
      <c r="D8" s="462">
        <f>industrie!D18</f>
        <v>710.76764364206576</v>
      </c>
      <c r="E8" s="462">
        <f>industrie!E18</f>
        <v>201.15583148338814</v>
      </c>
      <c r="F8" s="462">
        <f>industrie!F18</f>
        <v>1005.1585926574505</v>
      </c>
      <c r="G8" s="462">
        <f>industrie!G18</f>
        <v>0</v>
      </c>
      <c r="H8" s="462">
        <f>industrie!H18</f>
        <v>0</v>
      </c>
      <c r="I8" s="462">
        <f>industrie!I18</f>
        <v>0</v>
      </c>
      <c r="J8" s="462">
        <f>industrie!J18</f>
        <v>0.72575049338279962</v>
      </c>
      <c r="K8" s="462">
        <f>industrie!K18</f>
        <v>0</v>
      </c>
      <c r="L8" s="462">
        <f>industrie!L18</f>
        <v>0</v>
      </c>
      <c r="M8" s="462">
        <f>industrie!M18</f>
        <v>0</v>
      </c>
      <c r="N8" s="462">
        <f>industrie!N18</f>
        <v>351.97722577572165</v>
      </c>
      <c r="O8" s="462">
        <f>industrie!O18</f>
        <v>0</v>
      </c>
      <c r="P8" s="463">
        <f>industrie!P18</f>
        <v>0</v>
      </c>
      <c r="Q8" s="461">
        <f t="shared" si="0"/>
        <v>3497.5323691372869</v>
      </c>
    </row>
    <row r="9" spans="1:17" s="467" customFormat="1">
      <c r="A9" s="465" t="s">
        <v>574</v>
      </c>
      <c r="B9" s="466">
        <f>transport!B14</f>
        <v>8.7125965038749822</v>
      </c>
      <c r="C9" s="466">
        <f>transport!C14</f>
        <v>0</v>
      </c>
      <c r="D9" s="466">
        <f>transport!D14</f>
        <v>13.871415356165313</v>
      </c>
      <c r="E9" s="466">
        <f>transport!E14</f>
        <v>506.26049348951233</v>
      </c>
      <c r="F9" s="466">
        <f>transport!F14</f>
        <v>0</v>
      </c>
      <c r="G9" s="466">
        <f>transport!G14</f>
        <v>164605.6128542056</v>
      </c>
      <c r="H9" s="466">
        <f>transport!H14</f>
        <v>21506.30978852959</v>
      </c>
      <c r="I9" s="466">
        <f>transport!I14</f>
        <v>0</v>
      </c>
      <c r="J9" s="466">
        <f>transport!J14</f>
        <v>0</v>
      </c>
      <c r="K9" s="466">
        <f>transport!K14</f>
        <v>0</v>
      </c>
      <c r="L9" s="466">
        <f>transport!L14</f>
        <v>0</v>
      </c>
      <c r="M9" s="466">
        <f>transport!M14</f>
        <v>8409.1129584611299</v>
      </c>
      <c r="N9" s="466">
        <f>transport!N14</f>
        <v>0</v>
      </c>
      <c r="O9" s="466">
        <f>transport!O14</f>
        <v>0</v>
      </c>
      <c r="P9" s="466">
        <f>transport!P14</f>
        <v>0</v>
      </c>
      <c r="Q9" s="465">
        <f>SUM(B9:P9)</f>
        <v>195049.88010654587</v>
      </c>
    </row>
    <row r="10" spans="1:17">
      <c r="A10" s="461" t="s">
        <v>564</v>
      </c>
      <c r="B10" s="462">
        <f>transport!B54</f>
        <v>0</v>
      </c>
      <c r="C10" s="462">
        <f>transport!C54</f>
        <v>0</v>
      </c>
      <c r="D10" s="462">
        <f>transport!D54</f>
        <v>0</v>
      </c>
      <c r="E10" s="462">
        <f>transport!E54</f>
        <v>0</v>
      </c>
      <c r="F10" s="462">
        <f>transport!F54</f>
        <v>0</v>
      </c>
      <c r="G10" s="462">
        <f>transport!G54</f>
        <v>1100.4978144362701</v>
      </c>
      <c r="H10" s="462">
        <f>transport!H54</f>
        <v>0</v>
      </c>
      <c r="I10" s="462">
        <f>transport!I54</f>
        <v>0</v>
      </c>
      <c r="J10" s="462">
        <f>transport!J54</f>
        <v>0</v>
      </c>
      <c r="K10" s="462">
        <f>transport!K54</f>
        <v>0</v>
      </c>
      <c r="L10" s="462">
        <f>transport!L54</f>
        <v>0</v>
      </c>
      <c r="M10" s="462">
        <f>transport!M54</f>
        <v>48.941829533609635</v>
      </c>
      <c r="N10" s="462">
        <f>transport!N54</f>
        <v>0</v>
      </c>
      <c r="O10" s="462">
        <f>transport!O54</f>
        <v>0</v>
      </c>
      <c r="P10" s="463">
        <f>transport!P54</f>
        <v>0</v>
      </c>
      <c r="Q10" s="461">
        <f t="shared" si="0"/>
        <v>1149.4396439698799</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726.02322302694802</v>
      </c>
      <c r="C14" s="469"/>
      <c r="D14" s="469">
        <f>'SEAP template'!E25</f>
        <v>2223.9773796131203</v>
      </c>
      <c r="E14" s="469"/>
      <c r="F14" s="469"/>
      <c r="G14" s="469"/>
      <c r="H14" s="469"/>
      <c r="I14" s="469"/>
      <c r="J14" s="469"/>
      <c r="K14" s="469"/>
      <c r="L14" s="469"/>
      <c r="M14" s="469"/>
      <c r="N14" s="469"/>
      <c r="O14" s="469"/>
      <c r="P14" s="470"/>
      <c r="Q14" s="461">
        <f t="shared" si="0"/>
        <v>2950.0006026400683</v>
      </c>
    </row>
    <row r="15" spans="1:17" s="474" customFormat="1">
      <c r="A15" s="471" t="s">
        <v>568</v>
      </c>
      <c r="B15" s="472">
        <f ca="1">SUM(B4:B14)</f>
        <v>32900.323546068539</v>
      </c>
      <c r="C15" s="472">
        <f t="shared" ref="C15:Q15" ca="1" si="1">SUM(C4:C14)</f>
        <v>45</v>
      </c>
      <c r="D15" s="472">
        <f t="shared" ca="1" si="1"/>
        <v>50727.007432290608</v>
      </c>
      <c r="E15" s="472">
        <f t="shared" si="1"/>
        <v>2210.6695405522023</v>
      </c>
      <c r="F15" s="472">
        <f t="shared" ca="1" si="1"/>
        <v>28302.965786083852</v>
      </c>
      <c r="G15" s="472">
        <f t="shared" si="1"/>
        <v>165706.11066864186</v>
      </c>
      <c r="H15" s="472">
        <f t="shared" si="1"/>
        <v>21506.30978852959</v>
      </c>
      <c r="I15" s="472">
        <f t="shared" si="1"/>
        <v>0</v>
      </c>
      <c r="J15" s="472">
        <f t="shared" si="1"/>
        <v>74.523794834043443</v>
      </c>
      <c r="K15" s="472">
        <f t="shared" si="1"/>
        <v>0</v>
      </c>
      <c r="L15" s="472">
        <f t="shared" ca="1" si="1"/>
        <v>0</v>
      </c>
      <c r="M15" s="472">
        <f t="shared" si="1"/>
        <v>8458.0547879947389</v>
      </c>
      <c r="N15" s="472">
        <f t="shared" ca="1" si="1"/>
        <v>6347.6007026279349</v>
      </c>
      <c r="O15" s="472">
        <f t="shared" si="1"/>
        <v>131.32000000000002</v>
      </c>
      <c r="P15" s="472">
        <f t="shared" si="1"/>
        <v>171.6</v>
      </c>
      <c r="Q15" s="472">
        <f t="shared" ca="1" si="1"/>
        <v>316581.48604762339</v>
      </c>
    </row>
    <row r="17" spans="1:17">
      <c r="A17" s="475" t="s">
        <v>569</v>
      </c>
      <c r="B17" s="781">
        <f ca="1">huishoudens!B10</f>
        <v>0.20506937080220203</v>
      </c>
      <c r="C17" s="781">
        <f ca="1">huishoudens!C10</f>
        <v>0.22444444444444447</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4737.8542088513113</v>
      </c>
      <c r="C22" s="462">
        <f t="shared" ref="C22:C32" ca="1" si="3">C4*$C$17</f>
        <v>0</v>
      </c>
      <c r="D22" s="462">
        <f t="shared" ref="D22:D32" si="4">D4*$D$17</f>
        <v>7373.6648274497711</v>
      </c>
      <c r="E22" s="462">
        <f t="shared" ref="E22:E32" si="5">E4*$E$17</f>
        <v>319.85827009927903</v>
      </c>
      <c r="F22" s="462">
        <f t="shared" ref="F22:F32" si="6">F4*$F$17</f>
        <v>6510.5647714513343</v>
      </c>
      <c r="G22" s="462">
        <f t="shared" ref="G22:G32" si="7">G4*$G$17</f>
        <v>0</v>
      </c>
      <c r="H22" s="462">
        <f t="shared" ref="H22:H32" si="8">H4*$H$17</f>
        <v>0</v>
      </c>
      <c r="I22" s="462">
        <f t="shared" ref="I22:I32" si="9">I4*$I$17</f>
        <v>0</v>
      </c>
      <c r="J22" s="462">
        <f t="shared" ref="J22:J32" si="10">J4*$J$17</f>
        <v>0</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18941.942077851694</v>
      </c>
    </row>
    <row r="23" spans="1:17">
      <c r="A23" s="461" t="s">
        <v>156</v>
      </c>
      <c r="B23" s="462">
        <f t="shared" ca="1" si="2"/>
        <v>1318.1453170232551</v>
      </c>
      <c r="C23" s="462">
        <f t="shared" ca="1" si="3"/>
        <v>0</v>
      </c>
      <c r="D23" s="462">
        <f t="shared" ca="1" si="4"/>
        <v>2039.1397368237458</v>
      </c>
      <c r="E23" s="462">
        <f t="shared" si="5"/>
        <v>19.97652164472068</v>
      </c>
      <c r="F23" s="462">
        <f t="shared" ca="1" si="6"/>
        <v>325.89427382033841</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3703.1558493120601</v>
      </c>
    </row>
    <row r="24" spans="1:17">
      <c r="A24" s="461" t="s">
        <v>194</v>
      </c>
      <c r="B24" s="462">
        <f t="shared" ca="1" si="2"/>
        <v>187.77320486063192</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187.77320486063192</v>
      </c>
    </row>
    <row r="25" spans="1:17">
      <c r="A25" s="461" t="s">
        <v>112</v>
      </c>
      <c r="B25" s="462">
        <f t="shared" ca="1" si="2"/>
        <v>100.63073436959812</v>
      </c>
      <c r="C25" s="462">
        <f t="shared" ca="1" si="3"/>
        <v>10.100000000000001</v>
      </c>
      <c r="D25" s="462">
        <f t="shared" si="4"/>
        <v>238.43041644969301</v>
      </c>
      <c r="E25" s="462">
        <f t="shared" si="5"/>
        <v>1.4036881925018441</v>
      </c>
      <c r="F25" s="462">
        <f t="shared" si="6"/>
        <v>452.05547537317608</v>
      </c>
      <c r="G25" s="462">
        <f t="shared" si="7"/>
        <v>0</v>
      </c>
      <c r="H25" s="462">
        <f t="shared" si="8"/>
        <v>0</v>
      </c>
      <c r="I25" s="462">
        <f t="shared" si="9"/>
        <v>0</v>
      </c>
      <c r="J25" s="462">
        <f t="shared" si="10"/>
        <v>26.124507696593863</v>
      </c>
      <c r="K25" s="462">
        <f t="shared" si="11"/>
        <v>0</v>
      </c>
      <c r="L25" s="462">
        <f t="shared" si="12"/>
        <v>0</v>
      </c>
      <c r="M25" s="462">
        <f t="shared" si="13"/>
        <v>0</v>
      </c>
      <c r="N25" s="462">
        <f t="shared" si="14"/>
        <v>0</v>
      </c>
      <c r="O25" s="462">
        <f t="shared" si="15"/>
        <v>0</v>
      </c>
      <c r="P25" s="463">
        <f t="shared" si="16"/>
        <v>0</v>
      </c>
      <c r="Q25" s="461">
        <f t="shared" ca="1" si="17"/>
        <v>828.74482208156292</v>
      </c>
    </row>
    <row r="26" spans="1:17">
      <c r="A26" s="461" t="s">
        <v>657</v>
      </c>
      <c r="B26" s="462">
        <f t="shared" ca="1" si="2"/>
        <v>251.77337145932458</v>
      </c>
      <c r="C26" s="462">
        <f t="shared" ca="1" si="3"/>
        <v>0</v>
      </c>
      <c r="D26" s="462">
        <f t="shared" si="4"/>
        <v>143.57506401569728</v>
      </c>
      <c r="E26" s="462">
        <f t="shared" si="5"/>
        <v>45.662373746729109</v>
      </c>
      <c r="F26" s="462">
        <f t="shared" si="6"/>
        <v>268.3773442395393</v>
      </c>
      <c r="G26" s="462">
        <f t="shared" si="7"/>
        <v>0</v>
      </c>
      <c r="H26" s="462">
        <f t="shared" si="8"/>
        <v>0</v>
      </c>
      <c r="I26" s="462">
        <f t="shared" si="9"/>
        <v>0</v>
      </c>
      <c r="J26" s="462">
        <f t="shared" si="10"/>
        <v>0.25691567465751103</v>
      </c>
      <c r="K26" s="462">
        <f t="shared" si="11"/>
        <v>0</v>
      </c>
      <c r="L26" s="462">
        <f t="shared" si="12"/>
        <v>0</v>
      </c>
      <c r="M26" s="462">
        <f t="shared" si="13"/>
        <v>0</v>
      </c>
      <c r="N26" s="462">
        <f t="shared" si="14"/>
        <v>0</v>
      </c>
      <c r="O26" s="462">
        <f t="shared" si="15"/>
        <v>0</v>
      </c>
      <c r="P26" s="463">
        <f t="shared" si="16"/>
        <v>0</v>
      </c>
      <c r="Q26" s="461">
        <f t="shared" ca="1" si="17"/>
        <v>709.64506913594778</v>
      </c>
    </row>
    <row r="27" spans="1:17" s="467" customFormat="1">
      <c r="A27" s="465" t="s">
        <v>574</v>
      </c>
      <c r="B27" s="775">
        <f t="shared" ca="1" si="2"/>
        <v>1.7866866831031076</v>
      </c>
      <c r="C27" s="466">
        <f t="shared" ca="1" si="3"/>
        <v>0</v>
      </c>
      <c r="D27" s="466">
        <f t="shared" si="4"/>
        <v>2.8020259019453935</v>
      </c>
      <c r="E27" s="466">
        <f t="shared" si="5"/>
        <v>114.92113202211931</v>
      </c>
      <c r="F27" s="466">
        <f t="shared" si="6"/>
        <v>0</v>
      </c>
      <c r="G27" s="466">
        <f t="shared" si="7"/>
        <v>43949.698632072897</v>
      </c>
      <c r="H27" s="466">
        <f t="shared" si="8"/>
        <v>5355.071137343868</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49424.27961402393</v>
      </c>
    </row>
    <row r="28" spans="1:17">
      <c r="A28" s="461" t="s">
        <v>564</v>
      </c>
      <c r="B28" s="462">
        <f t="shared" ca="1" si="2"/>
        <v>0</v>
      </c>
      <c r="C28" s="462">
        <f t="shared" ca="1" si="3"/>
        <v>0</v>
      </c>
      <c r="D28" s="462">
        <f t="shared" si="4"/>
        <v>0</v>
      </c>
      <c r="E28" s="462">
        <f t="shared" si="5"/>
        <v>0</v>
      </c>
      <c r="F28" s="462">
        <f t="shared" si="6"/>
        <v>0</v>
      </c>
      <c r="G28" s="462">
        <f t="shared" si="7"/>
        <v>293.83291645448412</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293.83291645448412</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148.88512553392303</v>
      </c>
      <c r="C32" s="462">
        <f t="shared" ca="1" si="3"/>
        <v>0</v>
      </c>
      <c r="D32" s="462">
        <f t="shared" si="4"/>
        <v>449.24343068185033</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598.12855621577341</v>
      </c>
    </row>
    <row r="33" spans="1:17" s="474" customFormat="1">
      <c r="A33" s="471" t="s">
        <v>568</v>
      </c>
      <c r="B33" s="472">
        <f ca="1">SUM(B22:B32)</f>
        <v>6746.8486487811469</v>
      </c>
      <c r="C33" s="472">
        <f t="shared" ref="C33:Q33" ca="1" si="18">SUM(C22:C32)</f>
        <v>10.100000000000001</v>
      </c>
      <c r="D33" s="472">
        <f t="shared" ca="1" si="18"/>
        <v>10246.855501322701</v>
      </c>
      <c r="E33" s="472">
        <f t="shared" si="18"/>
        <v>501.8219857053499</v>
      </c>
      <c r="F33" s="472">
        <f t="shared" ca="1" si="18"/>
        <v>7556.8918648843883</v>
      </c>
      <c r="G33" s="472">
        <f t="shared" si="18"/>
        <v>44243.531548527382</v>
      </c>
      <c r="H33" s="472">
        <f t="shared" si="18"/>
        <v>5355.071137343868</v>
      </c>
      <c r="I33" s="472">
        <f t="shared" si="18"/>
        <v>0</v>
      </c>
      <c r="J33" s="472">
        <f t="shared" si="18"/>
        <v>26.381423371251373</v>
      </c>
      <c r="K33" s="472">
        <f t="shared" si="18"/>
        <v>0</v>
      </c>
      <c r="L33" s="472">
        <f t="shared" ca="1" si="18"/>
        <v>0</v>
      </c>
      <c r="M33" s="472">
        <f t="shared" si="18"/>
        <v>0</v>
      </c>
      <c r="N33" s="472">
        <f t="shared" ca="1" si="18"/>
        <v>0</v>
      </c>
      <c r="O33" s="472">
        <f t="shared" si="18"/>
        <v>0</v>
      </c>
      <c r="P33" s="472">
        <f t="shared" si="18"/>
        <v>0</v>
      </c>
      <c r="Q33" s="472">
        <f t="shared" ca="1" si="18"/>
        <v>74687.502109936089</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60">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2371.7368999999999</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9</v>
      </c>
      <c r="D8" s="1047">
        <f>'SEAP template'!D76</f>
        <v>10</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2.02</v>
      </c>
    </row>
    <row r="9" spans="1:16">
      <c r="A9" s="1050" t="s">
        <v>887</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2371.7368999999999</v>
      </c>
      <c r="C10" s="1051">
        <f>SUM(C4:C9)</f>
        <v>9</v>
      </c>
      <c r="D10" s="1051">
        <f t="shared" ref="D10:H10" si="0">SUM(D8:D9)</f>
        <v>10</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2.02</v>
      </c>
    </row>
    <row r="11" spans="1:16">
      <c r="A11" s="892"/>
      <c r="B11" s="892"/>
      <c r="C11" s="892"/>
      <c r="D11" s="892"/>
      <c r="E11" s="892"/>
      <c r="F11" s="892"/>
      <c r="G11" s="892"/>
      <c r="H11" s="892"/>
      <c r="I11" s="892"/>
      <c r="J11" s="892"/>
      <c r="K11" s="892"/>
      <c r="L11" s="892"/>
      <c r="M11" s="892"/>
      <c r="N11" s="892"/>
      <c r="O11" s="892"/>
      <c r="P11" s="892"/>
    </row>
    <row r="12" spans="1:16">
      <c r="A12" s="475" t="s">
        <v>888</v>
      </c>
      <c r="B12" s="781" t="s">
        <v>889</v>
      </c>
      <c r="C12" s="781">
        <f ca="1">'EF ele_warmte'!B12</f>
        <v>0.20506937080220203</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45</v>
      </c>
      <c r="D17" s="1048">
        <f>'SEAP template'!D87</f>
        <v>50</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10.100000000000001</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894</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45</v>
      </c>
      <c r="D20" s="1051">
        <f t="shared" ref="D20:H20" si="2">SUM(D17:D19)</f>
        <v>50</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10.100000000000001</v>
      </c>
    </row>
    <row r="22" spans="1:16">
      <c r="A22" s="475" t="s">
        <v>895</v>
      </c>
      <c r="B22" s="781" t="s">
        <v>889</v>
      </c>
      <c r="C22" s="781">
        <f ca="1">'EF ele_warmte'!B22</f>
        <v>0.22444444444444447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15.75">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896</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897</v>
      </c>
    </row>
    <row r="5" spans="1:16" ht="135">
      <c r="A5" s="1060" t="s">
        <v>250</v>
      </c>
      <c r="B5" s="1057" t="s">
        <v>896</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897</v>
      </c>
    </row>
    <row r="6" spans="1:16" ht="135">
      <c r="A6" s="1060" t="s">
        <v>251</v>
      </c>
      <c r="B6" s="1057" t="s">
        <v>896</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897</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897</v>
      </c>
    </row>
    <row r="8" spans="1:16" ht="210">
      <c r="A8" s="1056" t="s">
        <v>252</v>
      </c>
      <c r="B8" s="1057" t="s">
        <v>898</v>
      </c>
      <c r="C8" s="1057" t="s">
        <v>898</v>
      </c>
      <c r="D8" s="1057" t="s">
        <v>898</v>
      </c>
      <c r="E8" s="1057" t="s">
        <v>898</v>
      </c>
      <c r="F8" s="1057" t="s">
        <v>898</v>
      </c>
      <c r="G8" s="1057" t="s">
        <v>898</v>
      </c>
      <c r="H8" s="1057" t="s">
        <v>898</v>
      </c>
      <c r="I8" s="1057" t="s">
        <v>898</v>
      </c>
      <c r="J8" s="1057" t="s">
        <v>898</v>
      </c>
      <c r="K8" s="1058" t="s">
        <v>839</v>
      </c>
      <c r="L8" s="1058" t="s">
        <v>839</v>
      </c>
      <c r="M8" s="1058" t="s">
        <v>839</v>
      </c>
      <c r="N8" s="1057" t="s">
        <v>899</v>
      </c>
      <c r="O8" s="1057" t="s">
        <v>899</v>
      </c>
      <c r="P8" s="1061"/>
    </row>
    <row r="9" spans="1:16" ht="210">
      <c r="A9" s="1062" t="s">
        <v>887</v>
      </c>
      <c r="B9" s="1057" t="s">
        <v>899</v>
      </c>
      <c r="C9" s="1057" t="s">
        <v>899</v>
      </c>
      <c r="D9" s="1057" t="s">
        <v>899</v>
      </c>
      <c r="E9" s="1057" t="s">
        <v>899</v>
      </c>
      <c r="F9" s="1057" t="s">
        <v>899</v>
      </c>
      <c r="G9" s="1057" t="s">
        <v>899</v>
      </c>
      <c r="H9" s="1057" t="s">
        <v>899</v>
      </c>
      <c r="I9" s="1057" t="s">
        <v>899</v>
      </c>
      <c r="J9" s="1057" t="s">
        <v>899</v>
      </c>
      <c r="K9" s="1058" t="s">
        <v>839</v>
      </c>
      <c r="L9" s="1057" t="s">
        <v>899</v>
      </c>
      <c r="M9" s="1057" t="s">
        <v>899</v>
      </c>
      <c r="N9" s="1057" t="s">
        <v>899</v>
      </c>
      <c r="O9" s="1057" t="s">
        <v>899</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888</v>
      </c>
      <c r="B12" s="781" t="s">
        <v>889</v>
      </c>
      <c r="C12" s="1064" t="s">
        <v>900</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899</v>
      </c>
      <c r="C17" s="1057" t="s">
        <v>899</v>
      </c>
      <c r="D17" s="1057" t="s">
        <v>899</v>
      </c>
      <c r="E17" s="1057" t="s">
        <v>899</v>
      </c>
      <c r="F17" s="1057" t="s">
        <v>899</v>
      </c>
      <c r="G17" s="1057" t="s">
        <v>899</v>
      </c>
      <c r="H17" s="1057" t="s">
        <v>899</v>
      </c>
      <c r="I17" s="1057" t="s">
        <v>899</v>
      </c>
      <c r="J17" s="1057" t="s">
        <v>899</v>
      </c>
      <c r="K17" s="1058" t="s">
        <v>839</v>
      </c>
      <c r="L17" s="1058" t="s">
        <v>839</v>
      </c>
      <c r="M17" s="1058" t="s">
        <v>839</v>
      </c>
      <c r="N17" s="1057" t="s">
        <v>899</v>
      </c>
      <c r="O17" s="1057" t="s">
        <v>899</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894</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895</v>
      </c>
      <c r="B22" s="781" t="s">
        <v>889</v>
      </c>
      <c r="C22" s="1064" t="s">
        <v>901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0.20506937080220203</v>
      </c>
      <c r="C17" s="512">
        <f ca="1">'EF ele_warmte'!B22</f>
        <v>0.22444444444444447</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1</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1.5633333333333335</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2019-08-12T08:04:01Z</dcterms:modified>
</cp:coreProperties>
</file>